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theme/themeOverride1.xml" ContentType="application/vnd.openxmlformats-officedocument.themeOverrid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theme/themeOverride2.xml" ContentType="application/vnd.openxmlformats-officedocument.themeOverrid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theme/themeOverride3.xml" ContentType="application/vnd.openxmlformats-officedocument.themeOverrid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theme/themeOverride4.xml" ContentType="application/vnd.openxmlformats-officedocument.themeOverrid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3.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theme/themeOverride5.xml" ContentType="application/vnd.openxmlformats-officedocument.themeOverrid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theme/themeOverride6.xml" ContentType="application/vnd.openxmlformats-officedocument.themeOverrid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4.xml" ContentType="application/vnd.openxmlformats-officedocument.drawing+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theme/themeOverride7.xml" ContentType="application/vnd.openxmlformats-officedocument.themeOverrid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theme/themeOverride8.xml" ContentType="application/vnd.openxmlformats-officedocument.themeOverrid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theme/themeOverride9.xml" ContentType="application/vnd.openxmlformats-officedocument.themeOverrid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theme/themeOverride10.xml" ContentType="application/vnd.openxmlformats-officedocument.themeOverrid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theme/themeOverride11.xml" ContentType="application/vnd.openxmlformats-officedocument.themeOverrid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theme/themeOverride12.xml" ContentType="application/vnd.openxmlformats-officedocument.themeOverrid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theme/themeOverride13.xml" ContentType="application/vnd.openxmlformats-officedocument.themeOverrid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theme/themeOverride14.xml" ContentType="application/vnd.openxmlformats-officedocument.themeOverrid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theme/themeOverride15.xml" ContentType="application/vnd.openxmlformats-officedocument.themeOverride+xml"/>
  <Override PartName="/xl/drawings/drawing5.xml" ContentType="application/vnd.openxmlformats-officedocument.drawing+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theme/themeOverride16.xml" ContentType="application/vnd.openxmlformats-officedocument.themeOverrid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theme/themeOverride17.xml" ContentType="application/vnd.openxmlformats-officedocument.themeOverrid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theme/themeOverride18.xml" ContentType="application/vnd.openxmlformats-officedocument.themeOverride+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theme/themeOverride19.xml" ContentType="application/vnd.openxmlformats-officedocument.themeOverrid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theme/themeOverride20.xml" ContentType="application/vnd.openxmlformats-officedocument.themeOverride+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theme/themeOverride21.xml" ContentType="application/vnd.openxmlformats-officedocument.themeOverride+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theme/themeOverride22.xml" ContentType="application/vnd.openxmlformats-officedocument.themeOverride+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theme/themeOverride23.xml" ContentType="application/vnd.openxmlformats-officedocument.themeOverride+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theme/themeOverride24.xml" ContentType="application/vnd.openxmlformats-officedocument.themeOverride+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theme/themeOverride25.xml" ContentType="application/vnd.openxmlformats-officedocument.themeOverride+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theme/themeOverride26.xml" ContentType="application/vnd.openxmlformats-officedocument.themeOverride+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theme/themeOverride27.xml" ContentType="application/vnd.openxmlformats-officedocument.themeOverride+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theme/themeOverride28.xml" ContentType="application/vnd.openxmlformats-officedocument.themeOverride+xml"/>
  <Override PartName="/xl/drawings/drawing6.xml" ContentType="application/vnd.openxmlformats-officedocument.drawing+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theme/themeOverride29.xml" ContentType="application/vnd.openxmlformats-officedocument.themeOverride+xml"/>
  <Override PartName="/xl/charts/chart44.xml" ContentType="application/vnd.openxmlformats-officedocument.drawingml.chart+xml"/>
  <Override PartName="/xl/charts/style44.xml" ContentType="application/vnd.ms-office.chartstyle+xml"/>
  <Override PartName="/xl/charts/colors44.xml" ContentType="application/vnd.ms-office.chartcolorstyle+xml"/>
  <Override PartName="/xl/theme/themeOverride30.xml" ContentType="application/vnd.openxmlformats-officedocument.themeOverride+xml"/>
  <Override PartName="/xl/charts/chart45.xml" ContentType="application/vnd.openxmlformats-officedocument.drawingml.chart+xml"/>
  <Override PartName="/xl/charts/style45.xml" ContentType="application/vnd.ms-office.chartstyle+xml"/>
  <Override PartName="/xl/charts/colors45.xml" ContentType="application/vnd.ms-office.chartcolorstyle+xml"/>
  <Override PartName="/xl/theme/themeOverride31.xml" ContentType="application/vnd.openxmlformats-officedocument.themeOverride+xml"/>
  <Override PartName="/xl/charts/chart46.xml" ContentType="application/vnd.openxmlformats-officedocument.drawingml.chart+xml"/>
  <Override PartName="/xl/charts/style46.xml" ContentType="application/vnd.ms-office.chartstyle+xml"/>
  <Override PartName="/xl/charts/colors46.xml" ContentType="application/vnd.ms-office.chartcolorstyle+xml"/>
  <Override PartName="/xl/theme/themeOverride32.xml" ContentType="application/vnd.openxmlformats-officedocument.themeOverride+xml"/>
  <Override PartName="/xl/charts/chart47.xml" ContentType="application/vnd.openxmlformats-officedocument.drawingml.chart+xml"/>
  <Override PartName="/xl/charts/style47.xml" ContentType="application/vnd.ms-office.chartstyle+xml"/>
  <Override PartName="/xl/charts/colors47.xml" ContentType="application/vnd.ms-office.chartcolorstyle+xml"/>
  <Override PartName="/xl/theme/themeOverride33.xml" ContentType="application/vnd.openxmlformats-officedocument.themeOverride+xml"/>
  <Override PartName="/xl/charts/chart48.xml" ContentType="application/vnd.openxmlformats-officedocument.drawingml.chart+xml"/>
  <Override PartName="/xl/charts/style48.xml" ContentType="application/vnd.ms-office.chartstyle+xml"/>
  <Override PartName="/xl/charts/colors48.xml" ContentType="application/vnd.ms-office.chartcolorstyle+xml"/>
  <Override PartName="/xl/theme/themeOverride34.xml" ContentType="application/vnd.openxmlformats-officedocument.themeOverride+xml"/>
  <Override PartName="/xl/charts/chart49.xml" ContentType="application/vnd.openxmlformats-officedocument.drawingml.chart+xml"/>
  <Override PartName="/xl/charts/style49.xml" ContentType="application/vnd.ms-office.chartstyle+xml"/>
  <Override PartName="/xl/charts/colors49.xml" ContentType="application/vnd.ms-office.chartcolorstyle+xml"/>
  <Override PartName="/xl/theme/themeOverride35.xml" ContentType="application/vnd.openxmlformats-officedocument.themeOverride+xml"/>
  <Override PartName="/xl/charts/chart50.xml" ContentType="application/vnd.openxmlformats-officedocument.drawingml.chart+xml"/>
  <Override PartName="/xl/charts/style50.xml" ContentType="application/vnd.ms-office.chartstyle+xml"/>
  <Override PartName="/xl/charts/colors50.xml" ContentType="application/vnd.ms-office.chartcolorstyle+xml"/>
  <Override PartName="/xl/theme/themeOverride36.xml" ContentType="application/vnd.openxmlformats-officedocument.themeOverride+xml"/>
  <Override PartName="/xl/charts/chart51.xml" ContentType="application/vnd.openxmlformats-officedocument.drawingml.chart+xml"/>
  <Override PartName="/xl/charts/style51.xml" ContentType="application/vnd.ms-office.chartstyle+xml"/>
  <Override PartName="/xl/charts/colors51.xml" ContentType="application/vnd.ms-office.chartcolorstyle+xml"/>
  <Override PartName="/xl/theme/themeOverride37.xml" ContentType="application/vnd.openxmlformats-officedocument.themeOverride+xml"/>
  <Override PartName="/xl/charts/chart52.xml" ContentType="application/vnd.openxmlformats-officedocument.drawingml.chart+xml"/>
  <Override PartName="/xl/charts/style52.xml" ContentType="application/vnd.ms-office.chartstyle+xml"/>
  <Override PartName="/xl/charts/colors52.xml" ContentType="application/vnd.ms-office.chartcolorstyle+xml"/>
  <Override PartName="/xl/theme/themeOverride38.xml" ContentType="application/vnd.openxmlformats-officedocument.themeOverride+xml"/>
  <Override PartName="/xl/charts/chart53.xml" ContentType="application/vnd.openxmlformats-officedocument.drawingml.chart+xml"/>
  <Override PartName="/xl/charts/style53.xml" ContentType="application/vnd.ms-office.chartstyle+xml"/>
  <Override PartName="/xl/charts/colors53.xml" ContentType="application/vnd.ms-office.chartcolorstyle+xml"/>
  <Override PartName="/xl/theme/themeOverride39.xml" ContentType="application/vnd.openxmlformats-officedocument.themeOverride+xml"/>
  <Override PartName="/xl/charts/chart54.xml" ContentType="application/vnd.openxmlformats-officedocument.drawingml.chart+xml"/>
  <Override PartName="/xl/charts/style54.xml" ContentType="application/vnd.ms-office.chartstyle+xml"/>
  <Override PartName="/xl/charts/colors54.xml" ContentType="application/vnd.ms-office.chartcolorstyle+xml"/>
  <Override PartName="/xl/theme/themeOverride40.xml" ContentType="application/vnd.openxmlformats-officedocument.themeOverride+xml"/>
  <Override PartName="/xl/drawings/drawing7.xml" ContentType="application/vnd.openxmlformats-officedocument.drawing+xml"/>
  <Override PartName="/xl/comments1.xml" ContentType="application/vnd.openxmlformats-officedocument.spreadsheetml.comments+xml"/>
  <Override PartName="/xl/charts/chart55.xml" ContentType="application/vnd.openxmlformats-officedocument.drawingml.chart+xml"/>
  <Override PartName="/xl/charts/style55.xml" ContentType="application/vnd.ms-office.chartstyle+xml"/>
  <Override PartName="/xl/charts/colors55.xml" ContentType="application/vnd.ms-office.chartcolorstyle+xml"/>
  <Override PartName="/xl/theme/themeOverride41.xml" ContentType="application/vnd.openxmlformats-officedocument.themeOverride+xml"/>
  <Override PartName="/xl/charts/chart56.xml" ContentType="application/vnd.openxmlformats-officedocument.drawingml.chart+xml"/>
  <Override PartName="/xl/charts/style56.xml" ContentType="application/vnd.ms-office.chartstyle+xml"/>
  <Override PartName="/xl/charts/colors56.xml" ContentType="application/vnd.ms-office.chartcolorstyle+xml"/>
  <Override PartName="/xl/theme/themeOverride42.xml" ContentType="application/vnd.openxmlformats-officedocument.themeOverride+xml"/>
  <Override PartName="/xl/charts/chart57.xml" ContentType="application/vnd.openxmlformats-officedocument.drawingml.chart+xml"/>
  <Override PartName="/xl/charts/style57.xml" ContentType="application/vnd.ms-office.chartstyle+xml"/>
  <Override PartName="/xl/charts/colors57.xml" ContentType="application/vnd.ms-office.chartcolorstyle+xml"/>
  <Override PartName="/xl/theme/themeOverride43.xml" ContentType="application/vnd.openxmlformats-officedocument.themeOverride+xml"/>
  <Override PartName="/xl/charts/chart58.xml" ContentType="application/vnd.openxmlformats-officedocument.drawingml.chart+xml"/>
  <Override PartName="/xl/charts/style58.xml" ContentType="application/vnd.ms-office.chartstyle+xml"/>
  <Override PartName="/xl/charts/colors58.xml" ContentType="application/vnd.ms-office.chartcolorstyle+xml"/>
  <Override PartName="/xl/theme/themeOverride44.xml" ContentType="application/vnd.openxmlformats-officedocument.themeOverride+xml"/>
  <Override PartName="/xl/charts/chart59.xml" ContentType="application/vnd.openxmlformats-officedocument.drawingml.chart+xml"/>
  <Override PartName="/xl/charts/style59.xml" ContentType="application/vnd.ms-office.chartstyle+xml"/>
  <Override PartName="/xl/charts/colors59.xml" ContentType="application/vnd.ms-office.chartcolorstyle+xml"/>
  <Override PartName="/xl/theme/themeOverride45.xml" ContentType="application/vnd.openxmlformats-officedocument.themeOverride+xml"/>
  <Override PartName="/xl/charts/chart60.xml" ContentType="application/vnd.openxmlformats-officedocument.drawingml.chart+xml"/>
  <Override PartName="/xl/charts/style60.xml" ContentType="application/vnd.ms-office.chartstyle+xml"/>
  <Override PartName="/xl/charts/colors60.xml" ContentType="application/vnd.ms-office.chartcolorstyle+xml"/>
  <Override PartName="/xl/theme/themeOverride46.xml" ContentType="application/vnd.openxmlformats-officedocument.themeOverride+xml"/>
  <Override PartName="/xl/charts/chart61.xml" ContentType="application/vnd.openxmlformats-officedocument.drawingml.chart+xml"/>
  <Override PartName="/xl/charts/style61.xml" ContentType="application/vnd.ms-office.chartstyle+xml"/>
  <Override PartName="/xl/charts/colors61.xml" ContentType="application/vnd.ms-office.chartcolorstyle+xml"/>
  <Override PartName="/xl/theme/themeOverride47.xml" ContentType="application/vnd.openxmlformats-officedocument.themeOverride+xml"/>
  <Override PartName="/xl/charts/chart62.xml" ContentType="application/vnd.openxmlformats-officedocument.drawingml.chart+xml"/>
  <Override PartName="/xl/charts/style62.xml" ContentType="application/vnd.ms-office.chartstyle+xml"/>
  <Override PartName="/xl/charts/colors62.xml" ContentType="application/vnd.ms-office.chartcolorstyle+xml"/>
  <Override PartName="/xl/theme/themeOverride48.xml" ContentType="application/vnd.openxmlformats-officedocument.themeOverride+xml"/>
  <Override PartName="/xl/charts/chart63.xml" ContentType="application/vnd.openxmlformats-officedocument.drawingml.chart+xml"/>
  <Override PartName="/xl/charts/style63.xml" ContentType="application/vnd.ms-office.chartstyle+xml"/>
  <Override PartName="/xl/charts/colors63.xml" ContentType="application/vnd.ms-office.chartcolorstyle+xml"/>
  <Override PartName="/xl/theme/themeOverride49.xml" ContentType="application/vnd.openxmlformats-officedocument.themeOverride+xml"/>
  <Override PartName="/xl/charts/chart64.xml" ContentType="application/vnd.openxmlformats-officedocument.drawingml.chart+xml"/>
  <Override PartName="/xl/charts/style64.xml" ContentType="application/vnd.ms-office.chartstyle+xml"/>
  <Override PartName="/xl/charts/colors64.xml" ContentType="application/vnd.ms-office.chartcolorstyle+xml"/>
  <Override PartName="/xl/theme/themeOverride50.xml" ContentType="application/vnd.openxmlformats-officedocument.themeOverride+xml"/>
  <Override PartName="/xl/charts/chart65.xml" ContentType="application/vnd.openxmlformats-officedocument.drawingml.chart+xml"/>
  <Override PartName="/xl/charts/style65.xml" ContentType="application/vnd.ms-office.chartstyle+xml"/>
  <Override PartName="/xl/charts/colors65.xml" ContentType="application/vnd.ms-office.chartcolorstyle+xml"/>
  <Override PartName="/xl/theme/themeOverride51.xml" ContentType="application/vnd.openxmlformats-officedocument.themeOverride+xml"/>
  <Override PartName="/xl/charts/chart66.xml" ContentType="application/vnd.openxmlformats-officedocument.drawingml.chart+xml"/>
  <Override PartName="/xl/charts/style66.xml" ContentType="application/vnd.ms-office.chartstyle+xml"/>
  <Override PartName="/xl/charts/colors66.xml" ContentType="application/vnd.ms-office.chartcolorstyle+xml"/>
  <Override PartName="/xl/theme/themeOverride52.xml" ContentType="application/vnd.openxmlformats-officedocument.themeOverride+xml"/>
  <Override PartName="/xl/charts/chart67.xml" ContentType="application/vnd.openxmlformats-officedocument.drawingml.chart+xml"/>
  <Override PartName="/xl/charts/style67.xml" ContentType="application/vnd.ms-office.chartstyle+xml"/>
  <Override PartName="/xl/charts/colors67.xml" ContentType="application/vnd.ms-office.chartcolorstyle+xml"/>
  <Override PartName="/xl/charts/chart68.xml" ContentType="application/vnd.openxmlformats-officedocument.drawingml.chart+xml"/>
  <Override PartName="/xl/charts/style68.xml" ContentType="application/vnd.ms-office.chartstyle+xml"/>
  <Override PartName="/xl/charts/colors68.xml" ContentType="application/vnd.ms-office.chartcolorstyle+xml"/>
  <Override PartName="/xl/theme/themeOverride53.xml" ContentType="application/vnd.openxmlformats-officedocument.themeOverride+xml"/>
  <Override PartName="/xl/charts/chart69.xml" ContentType="application/vnd.openxmlformats-officedocument.drawingml.chart+xml"/>
  <Override PartName="/xl/charts/style69.xml" ContentType="application/vnd.ms-office.chartstyle+xml"/>
  <Override PartName="/xl/charts/colors69.xml" ContentType="application/vnd.ms-office.chartcolorstyle+xml"/>
  <Override PartName="/xl/theme/themeOverride54.xml" ContentType="application/vnd.openxmlformats-officedocument.themeOverride+xml"/>
  <Override PartName="/xl/charts/chart70.xml" ContentType="application/vnd.openxmlformats-officedocument.drawingml.chart+xml"/>
  <Override PartName="/xl/charts/style70.xml" ContentType="application/vnd.ms-office.chartstyle+xml"/>
  <Override PartName="/xl/charts/colors70.xml" ContentType="application/vnd.ms-office.chartcolorstyle+xml"/>
  <Override PartName="/xl/theme/themeOverride55.xml" ContentType="application/vnd.openxmlformats-officedocument.themeOverride+xml"/>
  <Override PartName="/xl/charts/chart71.xml" ContentType="application/vnd.openxmlformats-officedocument.drawingml.chart+xml"/>
  <Override PartName="/xl/charts/style71.xml" ContentType="application/vnd.ms-office.chartstyle+xml"/>
  <Override PartName="/xl/charts/colors71.xml" ContentType="application/vnd.ms-office.chartcolorstyle+xml"/>
  <Override PartName="/xl/theme/themeOverride56.xml" ContentType="application/vnd.openxmlformats-officedocument.themeOverride+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wesley.oliveira\Documents\Wesley - IFS\2019\NAEC\Egressos\PBiex 2017\Resultados\"/>
    </mc:Choice>
  </mc:AlternateContent>
  <workbookProtection workbookAlgorithmName="SHA-512" workbookHashValue="HWCdndVc7VcBpfbQvKv51yyj2t/9F35PbbX7xIMf3930ULeu0I6QyZm8dABXTOuN+ootE2CUlPPNm0QiI3T5+w==" workbookSaltValue="wUp/ARkp3+WJ5ThsJIv6LA==" workbookSpinCount="100000" lockStructure="1"/>
  <bookViews>
    <workbookView xWindow="0" yWindow="0" windowWidth="15360" windowHeight="7650" tabRatio="662" firstSheet="3" activeTab="3"/>
  </bookViews>
  <sheets>
    <sheet name="Respostas_Formatadas" sheetId="1" state="hidden" r:id="rId1"/>
    <sheet name="Tabulacao" sheetId="2" state="hidden" r:id="rId2"/>
    <sheet name="Graf_Tab" sheetId="9" state="hidden" r:id="rId3"/>
    <sheet name="Índice" sheetId="18" r:id="rId4"/>
    <sheet name="CaractAmostra" sheetId="11" r:id="rId5"/>
    <sheet name="ContEstudos" sheetId="12" r:id="rId6"/>
    <sheet name="TransEstTrab" sheetId="13" r:id="rId7"/>
    <sheet name="1Emp" sheetId="14" r:id="rId8"/>
    <sheet name="EmpAtual" sheetId="15" r:id="rId9"/>
    <sheet name="AvalInst" sheetId="16" r:id="rId10"/>
    <sheet name="Coments" sheetId="17" r:id="rId11"/>
  </sheets>
  <definedNames>
    <definedName name="_xlnm._FilterDatabase" localSheetId="2" hidden="1">Graf_Tab!#REF!</definedName>
    <definedName name="_xlchart.0" hidden="1">ContEstudos!$N$32:$N$36</definedName>
    <definedName name="_xlchart.1" hidden="1">ContEstudos!$P$31</definedName>
    <definedName name="_xlchart.10" hidden="1">ContEstudos!$P$50</definedName>
    <definedName name="_xlchart.11" hidden="1">ContEstudos!$P$51:$P$55</definedName>
    <definedName name="_xlchart.2" hidden="1">ContEstudos!$P$32:$P$36</definedName>
    <definedName name="_xlchart.3" hidden="1">ContEstudos!$N$9:$N$13</definedName>
    <definedName name="_xlchart.4" hidden="1">ContEstudos!$P$8</definedName>
    <definedName name="_xlchart.5" hidden="1">ContEstudos!$P$9:$P$13</definedName>
    <definedName name="_xlchart.6" hidden="1">ContEstudos!$N$69:$N$73</definedName>
    <definedName name="_xlchart.7" hidden="1">ContEstudos!$P$68</definedName>
    <definedName name="_xlchart.8" hidden="1">ContEstudos!$P$69:$P$73</definedName>
    <definedName name="_xlchart.9" hidden="1">ContEstudos!$N$51:$N$55</definedName>
  </definedNames>
  <calcPr calcId="162913"/>
</workbook>
</file>

<file path=xl/calcChain.xml><?xml version="1.0" encoding="utf-8"?>
<calcChain xmlns="http://schemas.openxmlformats.org/spreadsheetml/2006/main">
  <c r="J12" i="17" l="1"/>
  <c r="J8" i="17"/>
  <c r="J5" i="17"/>
  <c r="J4" i="17"/>
  <c r="J7" i="17" s="1"/>
  <c r="BQ53" i="15" l="1"/>
  <c r="BQ57" i="15"/>
  <c r="BQ61" i="15"/>
  <c r="BQ65" i="15"/>
  <c r="BQ69" i="15"/>
  <c r="BQ73" i="15"/>
  <c r="BQ77" i="15"/>
  <c r="BQ81" i="15"/>
  <c r="BQ47" i="15"/>
  <c r="BQ10" i="15"/>
  <c r="BQ50" i="15" s="1"/>
  <c r="BQ11" i="15"/>
  <c r="BQ51" i="15" s="1"/>
  <c r="BQ12" i="15"/>
  <c r="BQ52" i="15" s="1"/>
  <c r="BQ13" i="15"/>
  <c r="BQ14" i="15"/>
  <c r="BQ54" i="15" s="1"/>
  <c r="BQ15" i="15"/>
  <c r="BQ55" i="15" s="1"/>
  <c r="BQ16" i="15"/>
  <c r="BQ56" i="15" s="1"/>
  <c r="BQ17" i="15"/>
  <c r="BQ18" i="15"/>
  <c r="BQ58" i="15" s="1"/>
  <c r="BQ19" i="15"/>
  <c r="BQ59" i="15" s="1"/>
  <c r="BQ20" i="15"/>
  <c r="BQ60" i="15" s="1"/>
  <c r="BQ21" i="15"/>
  <c r="BQ22" i="15"/>
  <c r="BQ62" i="15" s="1"/>
  <c r="BQ23" i="15"/>
  <c r="BQ63" i="15" s="1"/>
  <c r="BQ24" i="15"/>
  <c r="BQ64" i="15" s="1"/>
  <c r="BQ25" i="15"/>
  <c r="BQ26" i="15"/>
  <c r="BQ66" i="15" s="1"/>
  <c r="BQ27" i="15"/>
  <c r="BQ67" i="15" s="1"/>
  <c r="BQ28" i="15"/>
  <c r="BQ68" i="15" s="1"/>
  <c r="BQ29" i="15"/>
  <c r="BQ30" i="15"/>
  <c r="BQ70" i="15" s="1"/>
  <c r="BQ31" i="15"/>
  <c r="BQ71" i="15" s="1"/>
  <c r="BQ32" i="15"/>
  <c r="BQ72" i="15" s="1"/>
  <c r="BQ33" i="15"/>
  <c r="BQ34" i="15"/>
  <c r="BQ74" i="15" s="1"/>
  <c r="BQ35" i="15"/>
  <c r="BQ75" i="15" s="1"/>
  <c r="BQ36" i="15"/>
  <c r="BQ76" i="15" s="1"/>
  <c r="BQ37" i="15"/>
  <c r="BQ38" i="15"/>
  <c r="BQ78" i="15" s="1"/>
  <c r="BQ39" i="15"/>
  <c r="BQ79" i="15" s="1"/>
  <c r="BQ40" i="15"/>
  <c r="BQ80" i="15" s="1"/>
  <c r="BQ41" i="15"/>
  <c r="BQ42" i="15"/>
  <c r="BQ82" i="15" s="1"/>
  <c r="BQ9" i="15"/>
  <c r="BQ49" i="15" s="1"/>
  <c r="EN3" i="2"/>
  <c r="EN4" i="2"/>
  <c r="EN5" i="2"/>
  <c r="EN6" i="2"/>
  <c r="EN7" i="2"/>
  <c r="EN8" i="2"/>
  <c r="EN9" i="2"/>
  <c r="EN10" i="2"/>
  <c r="EN11" i="2"/>
  <c r="EN12" i="2"/>
  <c r="EN13" i="2"/>
  <c r="EN14" i="2"/>
  <c r="EN15" i="2"/>
  <c r="EN16" i="2"/>
  <c r="EN17" i="2"/>
  <c r="EN18" i="2"/>
  <c r="EN19" i="2"/>
  <c r="EN20" i="2"/>
  <c r="EN21" i="2"/>
  <c r="EN22" i="2"/>
  <c r="EN23" i="2"/>
  <c r="EN24" i="2"/>
  <c r="EN25" i="2"/>
  <c r="EN26" i="2"/>
  <c r="EN27" i="2"/>
  <c r="EN28" i="2"/>
  <c r="EN29" i="2"/>
  <c r="EN30" i="2"/>
  <c r="EN31" i="2"/>
  <c r="EN32" i="2"/>
  <c r="EN33" i="2"/>
  <c r="EN34" i="2"/>
  <c r="EN35" i="2"/>
  <c r="EN36" i="2"/>
  <c r="BR51" i="15" l="1"/>
  <c r="BR78" i="15"/>
  <c r="BR70" i="15"/>
  <c r="BR62" i="15"/>
  <c r="BR54" i="15"/>
  <c r="BR73" i="15"/>
  <c r="BR65" i="15"/>
  <c r="BR80" i="15"/>
  <c r="BR76" i="15"/>
  <c r="BR72" i="15"/>
  <c r="BR68" i="15"/>
  <c r="BR64" i="15"/>
  <c r="BR60" i="15"/>
  <c r="BR56" i="15"/>
  <c r="BR52" i="15"/>
  <c r="BR82" i="15"/>
  <c r="BR74" i="15"/>
  <c r="BR66" i="15"/>
  <c r="BR58" i="15"/>
  <c r="BR50" i="15"/>
  <c r="BR81" i="15"/>
  <c r="BR77" i="15"/>
  <c r="BR69" i="15"/>
  <c r="BR61" i="15"/>
  <c r="BR57" i="15"/>
  <c r="BR53" i="15"/>
  <c r="BR49" i="15"/>
  <c r="BR79" i="15"/>
  <c r="BR75" i="15"/>
  <c r="BR71" i="15"/>
  <c r="BR67" i="15"/>
  <c r="BR63" i="15"/>
  <c r="BR59" i="15"/>
  <c r="BR55" i="15"/>
  <c r="EL101" i="2"/>
  <c r="EL80" i="2"/>
  <c r="EL6" i="2"/>
  <c r="EL8" i="2"/>
  <c r="EL10" i="2"/>
  <c r="EL11" i="2"/>
  <c r="EL12" i="2"/>
  <c r="EL14" i="2"/>
  <c r="EL15" i="2"/>
  <c r="EL18" i="2"/>
  <c r="EL19" i="2"/>
  <c r="EL20" i="2"/>
  <c r="EL23" i="2"/>
  <c r="EL24" i="2"/>
  <c r="EL25" i="2"/>
  <c r="EL28" i="2"/>
  <c r="EL29" i="2"/>
  <c r="EL30" i="2"/>
  <c r="EL31" i="2"/>
  <c r="EL32" i="2"/>
  <c r="EL35" i="2"/>
  <c r="EL36" i="2"/>
  <c r="EL40" i="2"/>
  <c r="EL41" i="2"/>
  <c r="EL42" i="2"/>
  <c r="EL43" i="2"/>
  <c r="EL45" i="2"/>
  <c r="EL46" i="2"/>
  <c r="EL51" i="2"/>
  <c r="EL53" i="2"/>
  <c r="EL54" i="2"/>
  <c r="EL55" i="2"/>
  <c r="EL56" i="2"/>
  <c r="EL59" i="2"/>
  <c r="EL61" i="2"/>
  <c r="EL62" i="2"/>
  <c r="EL64" i="2"/>
  <c r="EL65" i="2"/>
  <c r="EL66" i="2"/>
  <c r="EL67" i="2"/>
  <c r="EL71" i="2"/>
  <c r="EL73" i="2"/>
  <c r="EL74" i="2"/>
  <c r="EL75" i="2"/>
  <c r="EL77" i="2"/>
  <c r="EL79" i="2"/>
  <c r="EL84" i="2"/>
  <c r="EL87" i="2"/>
  <c r="EL89" i="2"/>
  <c r="EL90" i="2"/>
  <c r="EL91" i="2"/>
  <c r="EL92" i="2"/>
  <c r="EL93" i="2"/>
  <c r="EL94" i="2"/>
  <c r="EL95" i="2"/>
  <c r="EL96" i="2"/>
  <c r="EL98" i="2"/>
  <c r="EL102" i="2"/>
  <c r="EL104" i="2"/>
  <c r="EL106" i="2"/>
  <c r="EL107" i="2"/>
  <c r="EL109" i="2"/>
  <c r="EL114" i="2"/>
  <c r="EL117" i="2"/>
  <c r="EL120" i="2"/>
  <c r="EL125" i="2"/>
  <c r="EL128" i="2"/>
  <c r="EL131" i="2"/>
  <c r="EL132" i="2"/>
  <c r="EL133" i="2"/>
  <c r="EL134" i="2"/>
  <c r="EL139" i="2"/>
  <c r="EL140" i="2"/>
  <c r="EL142" i="2"/>
  <c r="EL143" i="2"/>
  <c r="EL148" i="2"/>
  <c r="EL149" i="2"/>
  <c r="EL150" i="2"/>
  <c r="EL152" i="2"/>
  <c r="EL153" i="2"/>
  <c r="EL155" i="2"/>
  <c r="EL156" i="2"/>
  <c r="EL157" i="2"/>
  <c r="EL159" i="2"/>
  <c r="EL160" i="2"/>
  <c r="EL161" i="2"/>
  <c r="EL162" i="2"/>
  <c r="EL166" i="2"/>
  <c r="EL168" i="2"/>
  <c r="EL169" i="2"/>
  <c r="EL170" i="2"/>
  <c r="EL172" i="2"/>
  <c r="EL173" i="2"/>
  <c r="EL175" i="2"/>
  <c r="EL176" i="2"/>
  <c r="EL177" i="2"/>
  <c r="EL181" i="2"/>
  <c r="EL184" i="2"/>
  <c r="EL185" i="2"/>
  <c r="EL186" i="2"/>
  <c r="EL190" i="2"/>
  <c r="EL193" i="2"/>
  <c r="EL198" i="2"/>
  <c r="EL200" i="2"/>
  <c r="EL203" i="2"/>
  <c r="EL205" i="2"/>
  <c r="EL207" i="2"/>
  <c r="EL208" i="2"/>
  <c r="EL209" i="2"/>
  <c r="EL211" i="2"/>
  <c r="EL214" i="2"/>
  <c r="EL215" i="2"/>
  <c r="EL217" i="2"/>
  <c r="EL220" i="2"/>
  <c r="EL221" i="2"/>
  <c r="EL223" i="2"/>
  <c r="EL228" i="2"/>
  <c r="EL229" i="2"/>
  <c r="EL233" i="2"/>
  <c r="EL234" i="2"/>
  <c r="EL235" i="2"/>
  <c r="EL241" i="2"/>
  <c r="EL242" i="2"/>
  <c r="EL243" i="2"/>
  <c r="EL244" i="2"/>
  <c r="EL248" i="2"/>
  <c r="EL250" i="2"/>
  <c r="EL251" i="2"/>
  <c r="EL252" i="2"/>
  <c r="EL253" i="2"/>
  <c r="EL259" i="2"/>
  <c r="EL260" i="2"/>
  <c r="EL261" i="2"/>
  <c r="EL262" i="2"/>
  <c r="EL263" i="2"/>
  <c r="EL264" i="2"/>
  <c r="EL267" i="2"/>
  <c r="EL268" i="2"/>
  <c r="EL269" i="2"/>
  <c r="EL270" i="2"/>
  <c r="EL271" i="2"/>
  <c r="EL272" i="2"/>
  <c r="EL3" i="2"/>
  <c r="S4" i="15"/>
  <c r="H82" i="15"/>
  <c r="H83" i="15"/>
  <c r="H84" i="15"/>
  <c r="H85" i="15"/>
  <c r="H86" i="15"/>
  <c r="H87" i="15"/>
  <c r="H88" i="15"/>
  <c r="H89" i="15"/>
  <c r="H90" i="15"/>
  <c r="H91" i="15"/>
  <c r="H92" i="15"/>
  <c r="H93" i="15"/>
  <c r="H94" i="15"/>
  <c r="H81" i="15"/>
  <c r="BW12" i="15" l="1"/>
  <c r="BW16" i="15"/>
  <c r="BW24" i="15"/>
  <c r="BW28" i="15"/>
  <c r="BW36" i="15"/>
  <c r="BW17" i="15"/>
  <c r="BW25" i="15"/>
  <c r="BW33" i="15"/>
  <c r="BW41" i="15"/>
  <c r="BW13" i="15"/>
  <c r="BW10" i="15"/>
  <c r="BW14" i="15"/>
  <c r="BW18" i="15"/>
  <c r="BW22" i="15"/>
  <c r="BW26" i="15"/>
  <c r="BW30" i="15"/>
  <c r="BW34" i="15"/>
  <c r="BW38" i="15"/>
  <c r="BW42" i="15"/>
  <c r="BW11" i="15"/>
  <c r="BW15" i="15"/>
  <c r="BW19" i="15"/>
  <c r="BW23" i="15"/>
  <c r="BW27" i="15"/>
  <c r="BW31" i="15"/>
  <c r="BW35" i="15"/>
  <c r="BW39" i="15"/>
  <c r="BW9" i="15"/>
  <c r="BW20" i="15"/>
  <c r="BW32" i="15"/>
  <c r="BW40" i="15"/>
  <c r="BW21" i="15"/>
  <c r="BW29" i="15"/>
  <c r="BW37" i="15"/>
  <c r="BR83" i="15"/>
  <c r="BS51" i="15" s="1"/>
  <c r="O4" i="14"/>
  <c r="AU4" i="12"/>
  <c r="AE23" i="12"/>
  <c r="AD23" i="12"/>
  <c r="AE22" i="12"/>
  <c r="AD22" i="12"/>
  <c r="AC25" i="12"/>
  <c r="AN4" i="11"/>
  <c r="AE4" i="11"/>
  <c r="V4" i="11"/>
  <c r="BV24" i="15" l="1" a="1"/>
  <c r="BV24" i="15" s="1"/>
  <c r="BV27" i="15" a="1"/>
  <c r="BV27" i="15" s="1"/>
  <c r="BV36" i="15" a="1"/>
  <c r="BV36" i="15" s="1"/>
  <c r="BV12" i="15" a="1"/>
  <c r="BV12" i="15" s="1"/>
  <c r="BV29" i="15" a="1"/>
  <c r="BV29" i="15" s="1"/>
  <c r="BV32" i="15" a="1"/>
  <c r="BV32" i="15" s="1"/>
  <c r="BV21" i="15" a="1"/>
  <c r="BV21" i="15" s="1"/>
  <c r="BV9" i="15" a="1"/>
  <c r="BV9" i="15" s="1"/>
  <c r="BV11" i="15" a="1"/>
  <c r="BV11" i="15" s="1"/>
  <c r="BV16" i="15" a="1"/>
  <c r="BV16" i="15" s="1"/>
  <c r="BV34" i="15" a="1"/>
  <c r="BV34" i="15" s="1"/>
  <c r="BV18" i="15" a="1"/>
  <c r="BV18" i="15" s="1"/>
  <c r="BV39" i="15" a="1"/>
  <c r="BV39" i="15" s="1"/>
  <c r="BV23" i="15" a="1"/>
  <c r="BV23" i="15" s="1"/>
  <c r="BV30" i="15" a="1"/>
  <c r="BV30" i="15" s="1"/>
  <c r="BV14" i="15" a="1"/>
  <c r="BV14" i="15" s="1"/>
  <c r="BV37" i="15" a="1"/>
  <c r="BV37" i="15" s="1"/>
  <c r="BV20" i="15" a="1"/>
  <c r="BV20" i="15" s="1"/>
  <c r="BV41" i="15" a="1"/>
  <c r="BV41" i="15" s="1"/>
  <c r="BV25" i="15" a="1"/>
  <c r="BV25" i="15" s="1"/>
  <c r="BV31" i="15" a="1"/>
  <c r="BV31" i="15" s="1"/>
  <c r="BV15" i="15" a="1"/>
  <c r="BV15" i="15" s="1"/>
  <c r="BV38" i="15" a="1"/>
  <c r="BV38" i="15" s="1"/>
  <c r="BV22" i="15" a="1"/>
  <c r="BV22" i="15" s="1"/>
  <c r="BV40" i="15" a="1"/>
  <c r="BV40" i="15" s="1"/>
  <c r="BV13" i="15" a="1"/>
  <c r="BV13" i="15" s="1"/>
  <c r="BW43" i="15"/>
  <c r="BX35" i="15" s="1"/>
  <c r="BV28" i="15" a="1"/>
  <c r="BV28" i="15" s="1"/>
  <c r="BV33" i="15" a="1"/>
  <c r="BV33" i="15" s="1"/>
  <c r="BV17" i="15" a="1"/>
  <c r="BV17" i="15" s="1"/>
  <c r="BV35" i="15" a="1"/>
  <c r="BV35" i="15" s="1"/>
  <c r="BV19" i="15" a="1"/>
  <c r="BV19" i="15" s="1"/>
  <c r="BV42" i="15" a="1"/>
  <c r="BV42" i="15" s="1"/>
  <c r="BV26" i="15" a="1"/>
  <c r="BV26" i="15" s="1"/>
  <c r="BV10" i="15" a="1"/>
  <c r="BV10" i="15" s="1"/>
  <c r="BS59" i="15"/>
  <c r="BS74" i="15"/>
  <c r="BS72" i="15"/>
  <c r="BS53" i="15"/>
  <c r="BS62" i="15"/>
  <c r="BS50" i="15"/>
  <c r="BS54" i="15"/>
  <c r="BS81" i="15"/>
  <c r="BS55" i="15"/>
  <c r="BS56" i="15"/>
  <c r="BS71" i="15"/>
  <c r="BS52" i="15"/>
  <c r="BS49" i="15"/>
  <c r="BS80" i="15"/>
  <c r="BS61" i="15"/>
  <c r="BS76" i="15"/>
  <c r="BS57" i="15"/>
  <c r="BS78" i="15"/>
  <c r="BS66" i="15"/>
  <c r="BS70" i="15"/>
  <c r="BS58" i="15"/>
  <c r="BS67" i="15"/>
  <c r="BS64" i="15"/>
  <c r="BS79" i="15"/>
  <c r="BS60" i="15"/>
  <c r="BS75" i="15"/>
  <c r="BS73" i="15"/>
  <c r="BS77" i="15"/>
  <c r="BS65" i="15"/>
  <c r="BS69" i="15"/>
  <c r="BS63" i="15"/>
  <c r="BS82" i="15"/>
  <c r="BS68" i="15"/>
  <c r="AF22" i="12"/>
  <c r="AE27" i="12" s="1"/>
  <c r="AF23" i="12"/>
  <c r="AE28" i="12" s="1"/>
  <c r="BM26" i="11"/>
  <c r="BM27" i="11"/>
  <c r="BM28" i="11"/>
  <c r="BM25" i="11"/>
  <c r="BM10" i="11"/>
  <c r="BM11" i="11"/>
  <c r="BM12" i="11"/>
  <c r="BM9" i="11"/>
  <c r="ET31" i="1"/>
  <c r="ET32" i="1"/>
  <c r="ET33" i="1"/>
  <c r="ET34" i="1"/>
  <c r="ET35" i="1"/>
  <c r="ET36" i="1"/>
  <c r="ET37" i="1"/>
  <c r="ET38" i="1"/>
  <c r="ET39" i="1"/>
  <c r="ET40" i="1"/>
  <c r="ET41" i="1"/>
  <c r="ET42" i="1"/>
  <c r="ET43" i="1"/>
  <c r="ET44" i="1"/>
  <c r="ET45" i="1"/>
  <c r="ET46" i="1"/>
  <c r="ET47" i="1"/>
  <c r="ET48" i="1"/>
  <c r="ET49" i="1"/>
  <c r="ET50" i="1"/>
  <c r="ET51" i="1"/>
  <c r="ET52" i="1"/>
  <c r="ET53" i="1"/>
  <c r="ET54" i="1"/>
  <c r="ET55" i="1"/>
  <c r="ET56" i="1"/>
  <c r="ET57" i="1"/>
  <c r="ET58" i="1"/>
  <c r="ET59" i="1"/>
  <c r="ET60" i="1"/>
  <c r="ET61" i="1"/>
  <c r="ET62" i="1"/>
  <c r="ET63" i="1"/>
  <c r="ET64" i="1"/>
  <c r="ET65" i="1"/>
  <c r="ET66" i="1"/>
  <c r="ET67" i="1"/>
  <c r="ET68" i="1"/>
  <c r="ET69" i="1"/>
  <c r="ET70" i="1"/>
  <c r="ET71" i="1"/>
  <c r="ET72" i="1"/>
  <c r="ET73" i="1"/>
  <c r="ET74" i="1"/>
  <c r="ET75" i="1"/>
  <c r="ET76" i="1"/>
  <c r="ET77" i="1"/>
  <c r="ET78" i="1"/>
  <c r="ET79" i="1"/>
  <c r="ET80" i="1"/>
  <c r="ET81" i="1"/>
  <c r="ET82" i="1"/>
  <c r="ET83" i="1"/>
  <c r="ET84" i="1"/>
  <c r="ET85" i="1"/>
  <c r="ET86" i="1"/>
  <c r="ET87" i="1"/>
  <c r="ET88" i="1"/>
  <c r="ET89" i="1"/>
  <c r="ET90" i="1"/>
  <c r="ET91" i="1"/>
  <c r="ET92" i="1"/>
  <c r="ET93" i="1"/>
  <c r="ET94" i="1"/>
  <c r="ET95" i="1"/>
  <c r="ET96" i="1"/>
  <c r="ET97" i="1"/>
  <c r="ET98" i="1"/>
  <c r="ET99" i="1"/>
  <c r="ET100" i="1"/>
  <c r="ET101" i="1"/>
  <c r="ET102" i="1"/>
  <c r="ET103" i="1"/>
  <c r="ET104" i="1"/>
  <c r="ET105" i="1"/>
  <c r="ET106" i="1"/>
  <c r="ET107" i="1"/>
  <c r="ET108" i="1"/>
  <c r="ET109" i="1"/>
  <c r="ET110" i="1"/>
  <c r="ET111" i="1"/>
  <c r="ET112" i="1"/>
  <c r="ET113" i="1"/>
  <c r="ET114" i="1"/>
  <c r="ET115" i="1"/>
  <c r="ET116" i="1"/>
  <c r="ET117" i="1"/>
  <c r="ET118" i="1"/>
  <c r="ET119" i="1"/>
  <c r="ET120" i="1"/>
  <c r="ET121" i="1"/>
  <c r="ET122" i="1"/>
  <c r="ET123" i="1"/>
  <c r="ET124" i="1"/>
  <c r="ET125" i="1"/>
  <c r="ET126" i="1"/>
  <c r="ET127" i="1"/>
  <c r="ET128" i="1"/>
  <c r="ET129" i="1"/>
  <c r="ET130" i="1"/>
  <c r="ET131" i="1"/>
  <c r="ET132" i="1"/>
  <c r="ET133" i="1"/>
  <c r="ET134" i="1"/>
  <c r="ET135" i="1"/>
  <c r="ET136" i="1"/>
  <c r="ET137" i="1"/>
  <c r="ET138" i="1"/>
  <c r="ET139" i="1"/>
  <c r="ET140" i="1"/>
  <c r="ET141" i="1"/>
  <c r="ET142" i="1"/>
  <c r="ET143" i="1"/>
  <c r="ET144" i="1"/>
  <c r="ET145" i="1"/>
  <c r="ET146" i="1"/>
  <c r="ET147" i="1"/>
  <c r="ET148" i="1"/>
  <c r="ET149" i="1"/>
  <c r="ET150" i="1"/>
  <c r="ET151" i="1"/>
  <c r="ET152" i="1"/>
  <c r="ET153" i="1"/>
  <c r="ET154" i="1"/>
  <c r="ET155" i="1"/>
  <c r="ET156" i="1"/>
  <c r="ET157" i="1"/>
  <c r="ET158" i="1"/>
  <c r="ET159" i="1"/>
  <c r="ET160" i="1"/>
  <c r="ET161" i="1"/>
  <c r="ET162" i="1"/>
  <c r="ET163" i="1"/>
  <c r="ET164" i="1"/>
  <c r="ET165" i="1"/>
  <c r="ET166" i="1"/>
  <c r="ET167" i="1"/>
  <c r="ET168" i="1"/>
  <c r="ET169" i="1"/>
  <c r="ET170" i="1"/>
  <c r="ET171" i="1"/>
  <c r="ET172" i="1"/>
  <c r="ET173" i="1"/>
  <c r="ET174" i="1"/>
  <c r="ET175" i="1"/>
  <c r="ET176" i="1"/>
  <c r="ET177" i="1"/>
  <c r="ET178" i="1"/>
  <c r="ET179" i="1"/>
  <c r="ET180" i="1"/>
  <c r="ET181" i="1"/>
  <c r="ET182" i="1"/>
  <c r="ET183" i="1"/>
  <c r="ET184" i="1"/>
  <c r="ET185" i="1"/>
  <c r="ET186" i="1"/>
  <c r="ET187" i="1"/>
  <c r="ET188" i="1"/>
  <c r="ET189" i="1"/>
  <c r="ET190" i="1"/>
  <c r="ET191" i="1"/>
  <c r="ET192" i="1"/>
  <c r="ET193" i="1"/>
  <c r="ET194" i="1"/>
  <c r="ET195" i="1"/>
  <c r="ET196" i="1"/>
  <c r="ET197" i="1"/>
  <c r="ET198" i="1"/>
  <c r="ET199" i="1"/>
  <c r="ET200" i="1"/>
  <c r="ET201" i="1"/>
  <c r="ET202" i="1"/>
  <c r="ET203" i="1"/>
  <c r="ET204" i="1"/>
  <c r="ET205" i="1"/>
  <c r="ET206" i="1"/>
  <c r="ET207" i="1"/>
  <c r="ET208" i="1"/>
  <c r="ET209" i="1"/>
  <c r="ET210" i="1"/>
  <c r="ET211" i="1"/>
  <c r="ET212" i="1"/>
  <c r="ET213" i="1"/>
  <c r="ET214" i="1"/>
  <c r="ET215" i="1"/>
  <c r="ET216" i="1"/>
  <c r="ET217" i="1"/>
  <c r="ET218" i="1"/>
  <c r="ET219" i="1"/>
  <c r="ET220" i="1"/>
  <c r="ET221" i="1"/>
  <c r="ET222" i="1"/>
  <c r="ET223" i="1"/>
  <c r="ET224" i="1"/>
  <c r="ET225" i="1"/>
  <c r="ET226" i="1"/>
  <c r="ET227" i="1"/>
  <c r="ET228" i="1"/>
  <c r="ET229" i="1"/>
  <c r="ET230" i="1"/>
  <c r="ET231" i="1"/>
  <c r="ET232" i="1"/>
  <c r="ET233" i="1"/>
  <c r="ET234" i="1"/>
  <c r="ET235" i="1"/>
  <c r="ET236" i="1"/>
  <c r="ET237" i="1"/>
  <c r="ET238" i="1"/>
  <c r="ET239" i="1"/>
  <c r="ET240" i="1"/>
  <c r="ET241" i="1"/>
  <c r="ET242" i="1"/>
  <c r="ET243" i="1"/>
  <c r="ET244" i="1"/>
  <c r="ET245" i="1"/>
  <c r="ET246" i="1"/>
  <c r="ET247" i="1"/>
  <c r="ET248" i="1"/>
  <c r="ET249" i="1"/>
  <c r="ET250" i="1"/>
  <c r="ET251" i="1"/>
  <c r="ET252" i="1"/>
  <c r="ET253" i="1"/>
  <c r="ET254" i="1"/>
  <c r="ET255" i="1"/>
  <c r="ET256" i="1"/>
  <c r="ET257" i="1"/>
  <c r="ET258" i="1"/>
  <c r="ET259" i="1"/>
  <c r="ET260" i="1"/>
  <c r="ET261" i="1"/>
  <c r="ET262" i="1"/>
  <c r="ET263" i="1"/>
  <c r="ET264" i="1"/>
  <c r="ET265" i="1"/>
  <c r="ET266" i="1"/>
  <c r="ET267" i="1"/>
  <c r="ET268" i="1"/>
  <c r="ET269" i="1"/>
  <c r="ET270" i="1"/>
  <c r="ET271" i="1"/>
  <c r="ET272" i="1"/>
  <c r="ET273" i="1"/>
  <c r="ET4" i="1"/>
  <c r="ET5" i="1"/>
  <c r="ET6" i="1"/>
  <c r="ET7" i="1"/>
  <c r="ET8" i="1"/>
  <c r="ET9" i="1"/>
  <c r="ET10" i="1"/>
  <c r="ET11" i="1"/>
  <c r="ET12" i="1"/>
  <c r="ET13" i="1"/>
  <c r="ET14" i="1"/>
  <c r="ET15" i="1"/>
  <c r="ET16" i="1"/>
  <c r="ET17" i="1"/>
  <c r="ET18" i="1"/>
  <c r="ET19" i="1"/>
  <c r="ET20" i="1"/>
  <c r="ET21" i="1"/>
  <c r="ET22" i="1"/>
  <c r="ET23" i="1"/>
  <c r="ET24" i="1"/>
  <c r="ET25" i="1"/>
  <c r="ET26" i="1"/>
  <c r="ET27" i="1"/>
  <c r="ET28" i="1"/>
  <c r="ET29" i="1"/>
  <c r="ET30" i="1"/>
  <c r="ET3" i="1"/>
  <c r="ET2" i="1"/>
  <c r="ER3" i="1"/>
  <c r="ER4" i="1"/>
  <c r="ER5" i="1"/>
  <c r="ER6" i="1"/>
  <c r="ER7" i="1"/>
  <c r="ER8" i="1"/>
  <c r="ER9" i="1"/>
  <c r="ER10" i="1"/>
  <c r="ER11" i="1"/>
  <c r="ER12" i="1"/>
  <c r="ER13" i="1"/>
  <c r="ER14" i="1"/>
  <c r="ER15" i="1"/>
  <c r="ER16" i="1"/>
  <c r="ER17" i="1"/>
  <c r="ER18" i="1"/>
  <c r="ER19" i="1"/>
  <c r="ER20" i="1"/>
  <c r="ER21" i="1"/>
  <c r="ER22" i="1"/>
  <c r="ER23" i="1"/>
  <c r="ER24" i="1"/>
  <c r="ER25" i="1"/>
  <c r="ER35" i="1"/>
  <c r="ER36" i="1"/>
  <c r="ER37" i="1"/>
  <c r="ER38" i="1"/>
  <c r="ER39" i="1"/>
  <c r="ER40" i="1"/>
  <c r="ER41" i="1"/>
  <c r="ER42" i="1"/>
  <c r="ER43" i="1"/>
  <c r="ER44" i="1"/>
  <c r="ER45" i="1"/>
  <c r="ER46" i="1"/>
  <c r="ER47" i="1"/>
  <c r="ER48" i="1"/>
  <c r="ER49" i="1"/>
  <c r="ER50" i="1"/>
  <c r="ER51" i="1"/>
  <c r="ER52" i="1"/>
  <c r="ER53" i="1"/>
  <c r="ER54" i="1"/>
  <c r="ER55" i="1"/>
  <c r="ER56" i="1"/>
  <c r="ER57" i="1"/>
  <c r="ER58" i="1"/>
  <c r="ER59" i="1"/>
  <c r="ER60" i="1"/>
  <c r="ER61" i="1"/>
  <c r="ER62" i="1"/>
  <c r="ER63" i="1"/>
  <c r="ER64" i="1"/>
  <c r="ER65" i="1"/>
  <c r="ER66" i="1"/>
  <c r="ER67" i="1"/>
  <c r="ER68" i="1"/>
  <c r="ER69" i="1"/>
  <c r="ER70" i="1"/>
  <c r="ER71" i="1"/>
  <c r="ER72" i="1"/>
  <c r="ER73" i="1"/>
  <c r="ER74" i="1"/>
  <c r="ER75" i="1"/>
  <c r="ER76" i="1"/>
  <c r="ER77" i="1"/>
  <c r="ER78" i="1"/>
  <c r="ER79" i="1"/>
  <c r="ER80" i="1"/>
  <c r="ER81" i="1"/>
  <c r="ER82" i="1"/>
  <c r="ER83" i="1"/>
  <c r="ER84" i="1"/>
  <c r="ER85" i="1"/>
  <c r="ER86" i="1"/>
  <c r="ER87" i="1"/>
  <c r="ER88" i="1"/>
  <c r="ER89" i="1"/>
  <c r="ER90" i="1"/>
  <c r="ER91" i="1"/>
  <c r="ER92" i="1"/>
  <c r="ER93" i="1"/>
  <c r="ER94" i="1"/>
  <c r="ER95" i="1"/>
  <c r="ER96" i="1"/>
  <c r="ER97" i="1"/>
  <c r="ER98" i="1"/>
  <c r="ER99" i="1"/>
  <c r="ER100" i="1"/>
  <c r="ER101" i="1"/>
  <c r="ER102" i="1"/>
  <c r="ER103" i="1"/>
  <c r="ER104" i="1"/>
  <c r="ER105" i="1"/>
  <c r="ER106" i="1"/>
  <c r="ER107" i="1"/>
  <c r="ER108" i="1"/>
  <c r="ER109" i="1"/>
  <c r="ER110" i="1"/>
  <c r="ER111" i="1"/>
  <c r="ER112" i="1"/>
  <c r="ER113" i="1"/>
  <c r="ER114" i="1"/>
  <c r="ER115" i="1"/>
  <c r="ER116" i="1"/>
  <c r="ER117" i="1"/>
  <c r="ER118" i="1"/>
  <c r="ER119" i="1"/>
  <c r="ER120" i="1"/>
  <c r="ER121" i="1"/>
  <c r="ER122" i="1"/>
  <c r="ER123" i="1"/>
  <c r="ER124" i="1"/>
  <c r="ER125" i="1"/>
  <c r="ER126" i="1"/>
  <c r="ER127" i="1"/>
  <c r="ER128" i="1"/>
  <c r="ER129" i="1"/>
  <c r="ER130" i="1"/>
  <c r="ER131" i="1"/>
  <c r="ER132" i="1"/>
  <c r="ER133" i="1"/>
  <c r="ER134" i="1"/>
  <c r="ER135" i="1"/>
  <c r="ER136" i="1"/>
  <c r="ER137" i="1"/>
  <c r="ER138" i="1"/>
  <c r="ER139" i="1"/>
  <c r="ER140" i="1"/>
  <c r="ER141" i="1"/>
  <c r="ER142" i="1"/>
  <c r="ER143" i="1"/>
  <c r="ER144" i="1"/>
  <c r="ER145" i="1"/>
  <c r="ER146" i="1"/>
  <c r="ER147" i="1"/>
  <c r="ER148" i="1"/>
  <c r="ER149" i="1"/>
  <c r="ER150" i="1"/>
  <c r="ER151" i="1"/>
  <c r="ER152" i="1"/>
  <c r="ER153" i="1"/>
  <c r="ER154" i="1"/>
  <c r="ER155" i="1"/>
  <c r="ER156" i="1"/>
  <c r="ER157" i="1"/>
  <c r="ER158" i="1"/>
  <c r="ER159" i="1"/>
  <c r="ER160" i="1"/>
  <c r="ER161" i="1"/>
  <c r="ER162" i="1"/>
  <c r="ER163" i="1"/>
  <c r="ER164" i="1"/>
  <c r="ER165" i="1"/>
  <c r="ER166" i="1"/>
  <c r="ER167" i="1"/>
  <c r="ER168" i="1"/>
  <c r="ER169" i="1"/>
  <c r="ER170" i="1"/>
  <c r="ER171" i="1"/>
  <c r="ER172" i="1"/>
  <c r="ER173" i="1"/>
  <c r="ER174" i="1"/>
  <c r="ER175" i="1"/>
  <c r="ER176" i="1"/>
  <c r="ER177" i="1"/>
  <c r="ER178" i="1"/>
  <c r="ER179" i="1"/>
  <c r="ER180" i="1"/>
  <c r="ER181" i="1"/>
  <c r="ER182" i="1"/>
  <c r="ER183" i="1"/>
  <c r="ER184" i="1"/>
  <c r="ER185" i="1"/>
  <c r="ER186" i="1"/>
  <c r="ER187" i="1"/>
  <c r="ER188" i="1"/>
  <c r="ER189" i="1"/>
  <c r="ER190" i="1"/>
  <c r="ER191" i="1"/>
  <c r="ER192" i="1"/>
  <c r="ER193" i="1"/>
  <c r="ER194" i="1"/>
  <c r="ER195" i="1"/>
  <c r="ER196" i="1"/>
  <c r="ER197" i="1"/>
  <c r="ER198" i="1"/>
  <c r="ER199" i="1"/>
  <c r="ER200" i="1"/>
  <c r="ER201" i="1"/>
  <c r="ER202" i="1"/>
  <c r="ER203" i="1"/>
  <c r="ER204" i="1"/>
  <c r="ER205" i="1"/>
  <c r="ER206" i="1"/>
  <c r="ER207" i="1"/>
  <c r="ER208" i="1"/>
  <c r="ER209" i="1"/>
  <c r="ER210" i="1"/>
  <c r="ER211" i="1"/>
  <c r="ER212" i="1"/>
  <c r="ER213" i="1"/>
  <c r="ER214" i="1"/>
  <c r="ER215" i="1"/>
  <c r="ER216" i="1"/>
  <c r="ER217" i="1"/>
  <c r="ER218" i="1"/>
  <c r="ER219" i="1"/>
  <c r="ER220" i="1"/>
  <c r="ER221" i="1"/>
  <c r="ER222" i="1"/>
  <c r="ER223" i="1"/>
  <c r="ER224" i="1"/>
  <c r="ER225" i="1"/>
  <c r="ER226" i="1"/>
  <c r="ER227" i="1"/>
  <c r="ER228" i="1"/>
  <c r="ER229" i="1"/>
  <c r="ER230" i="1"/>
  <c r="ER231" i="1"/>
  <c r="ER232" i="1"/>
  <c r="ER233" i="1"/>
  <c r="ER234" i="1"/>
  <c r="ER235" i="1"/>
  <c r="ER236" i="1"/>
  <c r="ER237" i="1"/>
  <c r="ER238" i="1"/>
  <c r="ER239" i="1"/>
  <c r="ER240" i="1"/>
  <c r="ER241" i="1"/>
  <c r="ER242" i="1"/>
  <c r="ER243" i="1"/>
  <c r="ER244" i="1"/>
  <c r="ER245" i="1"/>
  <c r="ER246" i="1"/>
  <c r="ER247" i="1"/>
  <c r="ER248" i="1"/>
  <c r="ER249" i="1"/>
  <c r="ER250" i="1"/>
  <c r="ER251" i="1"/>
  <c r="ER252" i="1"/>
  <c r="ER253" i="1"/>
  <c r="ER254" i="1"/>
  <c r="ER255" i="1"/>
  <c r="ER256" i="1"/>
  <c r="ER257" i="1"/>
  <c r="ER258" i="1"/>
  <c r="ER259" i="1"/>
  <c r="ER260" i="1"/>
  <c r="ER261" i="1"/>
  <c r="ER262" i="1"/>
  <c r="ER263" i="1"/>
  <c r="ER264" i="1"/>
  <c r="ER265" i="1"/>
  <c r="ER266" i="1"/>
  <c r="ER267" i="1"/>
  <c r="ER268" i="1"/>
  <c r="ER269" i="1"/>
  <c r="ER270" i="1"/>
  <c r="ER271" i="1"/>
  <c r="ER272" i="1"/>
  <c r="ER273" i="1"/>
  <c r="ER26" i="1"/>
  <c r="ER27" i="1"/>
  <c r="ER28" i="1"/>
  <c r="ER29" i="1"/>
  <c r="ER30" i="1"/>
  <c r="ER31" i="1"/>
  <c r="ER32" i="1"/>
  <c r="ER33" i="1"/>
  <c r="ER34" i="1"/>
  <c r="BX28" i="15" l="1"/>
  <c r="BX33" i="15"/>
  <c r="BX27" i="15"/>
  <c r="BX9" i="15"/>
  <c r="BX36" i="15"/>
  <c r="BX21" i="15"/>
  <c r="BX25" i="15"/>
  <c r="BX26" i="15"/>
  <c r="BX23" i="15"/>
  <c r="BX14" i="15"/>
  <c r="BX11" i="15"/>
  <c r="BX29" i="15"/>
  <c r="BX41" i="15"/>
  <c r="BX18" i="15"/>
  <c r="BX15" i="15"/>
  <c r="BX16" i="15"/>
  <c r="BX32" i="15"/>
  <c r="BX42" i="15"/>
  <c r="BX39" i="15"/>
  <c r="BX30" i="15"/>
  <c r="BX34" i="15"/>
  <c r="BX31" i="15"/>
  <c r="BX17" i="15"/>
  <c r="BX22" i="15"/>
  <c r="BX40" i="15"/>
  <c r="BX19" i="15"/>
  <c r="BX12" i="15"/>
  <c r="BX20" i="15"/>
  <c r="BX13" i="15"/>
  <c r="BX38" i="15"/>
  <c r="BX24" i="15"/>
  <c r="BX10" i="15"/>
  <c r="BX37" i="15"/>
  <c r="BS83" i="15"/>
  <c r="BM13" i="11"/>
  <c r="BN10" i="11" s="1"/>
  <c r="BN12" i="11"/>
  <c r="AD28" i="12"/>
  <c r="AF28" i="12" s="1"/>
  <c r="BN11" i="11"/>
  <c r="AD27" i="12"/>
  <c r="AF27" i="12" s="1"/>
  <c r="BM29" i="11"/>
  <c r="BN28" i="11" s="1"/>
  <c r="BI27" i="11"/>
  <c r="BI25" i="11"/>
  <c r="BI12" i="11"/>
  <c r="BI11" i="11"/>
  <c r="BI29" i="11"/>
  <c r="BI26" i="11"/>
  <c r="BI9" i="11"/>
  <c r="BI10" i="11"/>
  <c r="BI28" i="11"/>
  <c r="BI13" i="11"/>
  <c r="BE30" i="11"/>
  <c r="BE29" i="11"/>
  <c r="BE26" i="11"/>
  <c r="BE28" i="11"/>
  <c r="BE25" i="11"/>
  <c r="BE27" i="11"/>
  <c r="BE12" i="11"/>
  <c r="BE9" i="11"/>
  <c r="BE10" i="11"/>
  <c r="BE13" i="11"/>
  <c r="ER2" i="1"/>
  <c r="BE11" i="11" s="1"/>
  <c r="AZ26" i="11"/>
  <c r="BA26" i="11"/>
  <c r="AZ27" i="11"/>
  <c r="BA27" i="11"/>
  <c r="AY27" i="11"/>
  <c r="AY26" i="11"/>
  <c r="AZ25" i="11"/>
  <c r="BA25" i="11"/>
  <c r="AY25" i="11"/>
  <c r="AZ10" i="11"/>
  <c r="BA10" i="11"/>
  <c r="AZ11" i="11"/>
  <c r="BA11" i="11"/>
  <c r="AY11" i="11"/>
  <c r="AY10" i="11"/>
  <c r="AZ9" i="11"/>
  <c r="BA9" i="11"/>
  <c r="AY9" i="11"/>
  <c r="AT27" i="11"/>
  <c r="AU27" i="11"/>
  <c r="AS27" i="11"/>
  <c r="AT26" i="11"/>
  <c r="AU26" i="11"/>
  <c r="AS26" i="11"/>
  <c r="AT25" i="11"/>
  <c r="AU25" i="11"/>
  <c r="AS25" i="11"/>
  <c r="AT11" i="11"/>
  <c r="AU11" i="11"/>
  <c r="AS11" i="11"/>
  <c r="AT10" i="11"/>
  <c r="AU10" i="11"/>
  <c r="AS10" i="11"/>
  <c r="AT9" i="11"/>
  <c r="AU9" i="11"/>
  <c r="AS9" i="11"/>
  <c r="AI91" i="11"/>
  <c r="AI84" i="11"/>
  <c r="AI85" i="11"/>
  <c r="AI73" i="11"/>
  <c r="AI74" i="11"/>
  <c r="AI75" i="11"/>
  <c r="AI76" i="11"/>
  <c r="AI77" i="11"/>
  <c r="AI78" i="11"/>
  <c r="AI79" i="11"/>
  <c r="AI80" i="11"/>
  <c r="AI81" i="11"/>
  <c r="AI82" i="11"/>
  <c r="AI83" i="11"/>
  <c r="AI64" i="11"/>
  <c r="AI65" i="11"/>
  <c r="AI66" i="11"/>
  <c r="AI67" i="11"/>
  <c r="AI68" i="11"/>
  <c r="AI69" i="11"/>
  <c r="AI70" i="11"/>
  <c r="AI71" i="11"/>
  <c r="AI72" i="11"/>
  <c r="AI47" i="11"/>
  <c r="AI48" i="11"/>
  <c r="AI49" i="11"/>
  <c r="AI50" i="11"/>
  <c r="AI51" i="11"/>
  <c r="AI52" i="11"/>
  <c r="AI53" i="11"/>
  <c r="AI54" i="11"/>
  <c r="AI55" i="11"/>
  <c r="AI56" i="11"/>
  <c r="AI57" i="11"/>
  <c r="AI58" i="11"/>
  <c r="AI59" i="11"/>
  <c r="AI60" i="11"/>
  <c r="AI61" i="11"/>
  <c r="AI62" i="11"/>
  <c r="AI63" i="11"/>
  <c r="AI10" i="11"/>
  <c r="AI11" i="11"/>
  <c r="AI12" i="11"/>
  <c r="BR12" i="15" s="1"/>
  <c r="AI13" i="11"/>
  <c r="AI14" i="11"/>
  <c r="AI15" i="11"/>
  <c r="AI16" i="11"/>
  <c r="BR16" i="15" s="1"/>
  <c r="AI17" i="11"/>
  <c r="AI18" i="11"/>
  <c r="AI19" i="11"/>
  <c r="AI20" i="11"/>
  <c r="BR20" i="15" s="1"/>
  <c r="AI21" i="11"/>
  <c r="AI22" i="11"/>
  <c r="AI23" i="11"/>
  <c r="AI24" i="11"/>
  <c r="BR24" i="15" s="1"/>
  <c r="AI25" i="11"/>
  <c r="AI26" i="11"/>
  <c r="AI27" i="11"/>
  <c r="AI28" i="11"/>
  <c r="BR28" i="15" s="1"/>
  <c r="AI29" i="11"/>
  <c r="AI30" i="11"/>
  <c r="AI31" i="11"/>
  <c r="AI32" i="11"/>
  <c r="BR32" i="15" s="1"/>
  <c r="AI33" i="11"/>
  <c r="AI34" i="11"/>
  <c r="AI35" i="11"/>
  <c r="AI36" i="11"/>
  <c r="BR36" i="15" s="1"/>
  <c r="AI37" i="11"/>
  <c r="AI38" i="11"/>
  <c r="AI39" i="11"/>
  <c r="AI40" i="11"/>
  <c r="BR40" i="15" s="1"/>
  <c r="AI41" i="11"/>
  <c r="AI42" i="11"/>
  <c r="AI43" i="11"/>
  <c r="AI44" i="11"/>
  <c r="AI45" i="11"/>
  <c r="AI46" i="11"/>
  <c r="AI9" i="11"/>
  <c r="BX43" i="15" l="1"/>
  <c r="BE14" i="11"/>
  <c r="BE15" i="11" s="1"/>
  <c r="BF10" i="11" s="1"/>
  <c r="BN9" i="11"/>
  <c r="BN13" i="11" s="1"/>
  <c r="AI146" i="11"/>
  <c r="AI134" i="11"/>
  <c r="AJ46" i="11"/>
  <c r="AJ42" i="11"/>
  <c r="BR42" i="15"/>
  <c r="AJ38" i="11"/>
  <c r="BR38" i="15"/>
  <c r="AJ34" i="11"/>
  <c r="BR34" i="15"/>
  <c r="AJ30" i="11"/>
  <c r="BR30" i="15"/>
  <c r="AJ26" i="11"/>
  <c r="BR26" i="15"/>
  <c r="AJ22" i="11"/>
  <c r="BR22" i="15"/>
  <c r="AJ18" i="11"/>
  <c r="BR18" i="15"/>
  <c r="AJ14" i="11"/>
  <c r="BR14" i="15"/>
  <c r="AJ10" i="11"/>
  <c r="BR10" i="15"/>
  <c r="AJ60" i="11"/>
  <c r="AJ56" i="11"/>
  <c r="AJ52" i="11"/>
  <c r="AJ48" i="11"/>
  <c r="AJ70" i="11"/>
  <c r="AJ66" i="11"/>
  <c r="AJ82" i="11"/>
  <c r="AJ78" i="11"/>
  <c r="AJ74" i="11"/>
  <c r="AI129" i="11"/>
  <c r="AI125" i="11"/>
  <c r="BR41" i="15"/>
  <c r="AI121" i="11"/>
  <c r="BR37" i="15"/>
  <c r="AI117" i="11"/>
  <c r="BR33" i="15"/>
  <c r="AI113" i="11"/>
  <c r="BR29" i="15"/>
  <c r="AI109" i="11"/>
  <c r="BR25" i="15"/>
  <c r="AI105" i="11"/>
  <c r="BR21" i="15"/>
  <c r="AI101" i="11"/>
  <c r="BR17" i="15"/>
  <c r="AI97" i="11"/>
  <c r="BR13" i="15"/>
  <c r="AJ63" i="11"/>
  <c r="AJ59" i="11"/>
  <c r="AJ55" i="11"/>
  <c r="AJ51" i="11"/>
  <c r="AJ47" i="11"/>
  <c r="AI153" i="11"/>
  <c r="AI149" i="11"/>
  <c r="AJ81" i="11"/>
  <c r="AJ77" i="11"/>
  <c r="AJ73" i="11"/>
  <c r="AI142" i="11"/>
  <c r="AI138" i="11"/>
  <c r="AI93" i="11"/>
  <c r="BR9" i="15"/>
  <c r="AJ43" i="11"/>
  <c r="AJ39" i="11"/>
  <c r="BR39" i="15"/>
  <c r="AJ35" i="11"/>
  <c r="BR35" i="15"/>
  <c r="AJ31" i="11"/>
  <c r="BR31" i="15"/>
  <c r="AJ27" i="11"/>
  <c r="BR27" i="15"/>
  <c r="AJ23" i="11"/>
  <c r="BR23" i="15"/>
  <c r="AJ19" i="11"/>
  <c r="BR19" i="15"/>
  <c r="AJ15" i="11"/>
  <c r="BR15" i="15"/>
  <c r="AJ11" i="11"/>
  <c r="BR11" i="15"/>
  <c r="AI145" i="11"/>
  <c r="AI141" i="11"/>
  <c r="AI137" i="11"/>
  <c r="AI133" i="11"/>
  <c r="AJ71" i="11"/>
  <c r="AJ67" i="11"/>
  <c r="AJ83" i="11"/>
  <c r="AJ79" i="11"/>
  <c r="AJ75" i="11"/>
  <c r="AJ84" i="11"/>
  <c r="BN26" i="11"/>
  <c r="BN27" i="11"/>
  <c r="BN25" i="11"/>
  <c r="BI14" i="11"/>
  <c r="BJ9" i="11" s="1"/>
  <c r="BI30" i="11"/>
  <c r="BJ26" i="11" s="1"/>
  <c r="AT12" i="11"/>
  <c r="BE31" i="11"/>
  <c r="AS12" i="11"/>
  <c r="AV11" i="11"/>
  <c r="AT17" i="11" s="1"/>
  <c r="AV10" i="11"/>
  <c r="AT16" i="11" s="1"/>
  <c r="AI161" i="11"/>
  <c r="BB9" i="11"/>
  <c r="BA15" i="11" s="1"/>
  <c r="AZ12" i="11"/>
  <c r="AJ69" i="11"/>
  <c r="AV9" i="11"/>
  <c r="AT15" i="11" s="1"/>
  <c r="AZ28" i="11"/>
  <c r="AI131" i="11"/>
  <c r="BB26" i="11"/>
  <c r="BA32" i="11" s="1"/>
  <c r="BB25" i="11"/>
  <c r="AY31" i="11" s="1"/>
  <c r="BB27" i="11"/>
  <c r="BA33" i="11" s="1"/>
  <c r="AY28" i="11"/>
  <c r="BB10" i="11"/>
  <c r="AY16" i="11" s="1"/>
  <c r="BB11" i="11"/>
  <c r="AZ17" i="11" s="1"/>
  <c r="AY12" i="11"/>
  <c r="AI150" i="11"/>
  <c r="AI132" i="11"/>
  <c r="AV25" i="11"/>
  <c r="AV27" i="11"/>
  <c r="AV26" i="11"/>
  <c r="AS32" i="11" s="1"/>
  <c r="AS28" i="11"/>
  <c r="AT28" i="11"/>
  <c r="AI154" i="11"/>
  <c r="AI144" i="11"/>
  <c r="AI136" i="11"/>
  <c r="AI130" i="11"/>
  <c r="AI122" i="11"/>
  <c r="AI114" i="11"/>
  <c r="AI106" i="11"/>
  <c r="AI98" i="11"/>
  <c r="AI165" i="11"/>
  <c r="AI157" i="11"/>
  <c r="AJ65" i="11"/>
  <c r="AJ41" i="11"/>
  <c r="AJ33" i="11"/>
  <c r="AJ25" i="11"/>
  <c r="AJ17" i="11"/>
  <c r="AI151" i="11"/>
  <c r="AI143" i="11"/>
  <c r="AI135" i="11"/>
  <c r="AI127" i="11"/>
  <c r="AI119" i="11"/>
  <c r="AI111" i="11"/>
  <c r="AI103" i="11"/>
  <c r="AI95" i="11"/>
  <c r="AI162" i="11"/>
  <c r="AI140" i="11"/>
  <c r="AI126" i="11"/>
  <c r="AI118" i="11"/>
  <c r="AI110" i="11"/>
  <c r="AI102" i="11"/>
  <c r="AI94" i="11"/>
  <c r="AJ9" i="11"/>
  <c r="AJ45" i="11"/>
  <c r="AJ37" i="11"/>
  <c r="AJ29" i="11"/>
  <c r="AJ21" i="11"/>
  <c r="AJ13" i="11"/>
  <c r="AI155" i="11"/>
  <c r="AI147" i="11"/>
  <c r="AI139" i="11"/>
  <c r="AI123" i="11"/>
  <c r="AI115" i="11"/>
  <c r="AI107" i="11"/>
  <c r="AI99" i="11"/>
  <c r="AI166" i="11"/>
  <c r="AI158" i="11"/>
  <c r="AI124" i="11"/>
  <c r="AJ40" i="11"/>
  <c r="AI108" i="11"/>
  <c r="AJ24" i="11"/>
  <c r="AI100" i="11"/>
  <c r="AJ16" i="11"/>
  <c r="AI96" i="11"/>
  <c r="AJ12" i="11"/>
  <c r="AI152" i="11"/>
  <c r="AJ68" i="11"/>
  <c r="AI164" i="11"/>
  <c r="AJ80" i="11"/>
  <c r="AI160" i="11"/>
  <c r="AJ76" i="11"/>
  <c r="AI128" i="11"/>
  <c r="AJ44" i="11"/>
  <c r="AI120" i="11"/>
  <c r="AJ36" i="11"/>
  <c r="AI116" i="11"/>
  <c r="AJ32" i="11"/>
  <c r="AI112" i="11"/>
  <c r="AJ28" i="11"/>
  <c r="AI104" i="11"/>
  <c r="AJ20" i="11"/>
  <c r="AI156" i="11"/>
  <c r="AJ72" i="11"/>
  <c r="AI148" i="11"/>
  <c r="AJ64" i="11"/>
  <c r="AJ85" i="11"/>
  <c r="AI169" i="11"/>
  <c r="AJ62" i="11"/>
  <c r="AJ58" i="11"/>
  <c r="AJ54" i="11"/>
  <c r="AJ50" i="11"/>
  <c r="AJ61" i="11"/>
  <c r="AJ57" i="11"/>
  <c r="AJ53" i="11"/>
  <c r="AJ49" i="11"/>
  <c r="AI167" i="11"/>
  <c r="AI163" i="11"/>
  <c r="AI159" i="11"/>
  <c r="AI168" i="11"/>
  <c r="Z78" i="11"/>
  <c r="Z10" i="11"/>
  <c r="Z81" i="11" s="1"/>
  <c r="Z11" i="11"/>
  <c r="Z12" i="11"/>
  <c r="Z83" i="11" s="1"/>
  <c r="Z13" i="11"/>
  <c r="AA13" i="11" s="1"/>
  <c r="Z14" i="11"/>
  <c r="Z85" i="11" s="1"/>
  <c r="Z15" i="11"/>
  <c r="Z16" i="11"/>
  <c r="Z87" i="11" s="1"/>
  <c r="Z17" i="11"/>
  <c r="AA17" i="11" s="1"/>
  <c r="Z18" i="11"/>
  <c r="Z89" i="11" s="1"/>
  <c r="Z19" i="11"/>
  <c r="Z20" i="11"/>
  <c r="Z91" i="11" s="1"/>
  <c r="Z21" i="11"/>
  <c r="AA21" i="11" s="1"/>
  <c r="Z22" i="11"/>
  <c r="Z93" i="11" s="1"/>
  <c r="Z23" i="11"/>
  <c r="Z24" i="11"/>
  <c r="Z95" i="11" s="1"/>
  <c r="Z25" i="11"/>
  <c r="AA25" i="11" s="1"/>
  <c r="Z26" i="11"/>
  <c r="Z97" i="11" s="1"/>
  <c r="Z27" i="11"/>
  <c r="Z28" i="11"/>
  <c r="Z99" i="11" s="1"/>
  <c r="Z29" i="11"/>
  <c r="AA29" i="11" s="1"/>
  <c r="Z30" i="11"/>
  <c r="Z101" i="11" s="1"/>
  <c r="Z31" i="11"/>
  <c r="Z32" i="11"/>
  <c r="Z103" i="11" s="1"/>
  <c r="Z33" i="11"/>
  <c r="AA33" i="11" s="1"/>
  <c r="Z34" i="11"/>
  <c r="Z105" i="11" s="1"/>
  <c r="Z35" i="11"/>
  <c r="Z36" i="11"/>
  <c r="Z107" i="11" s="1"/>
  <c r="Z37" i="11"/>
  <c r="AA37" i="11" s="1"/>
  <c r="Z38" i="11"/>
  <c r="Z109" i="11" s="1"/>
  <c r="Z39" i="11"/>
  <c r="Z40" i="11"/>
  <c r="Z111" i="11" s="1"/>
  <c r="Z41" i="11"/>
  <c r="AA41" i="11" s="1"/>
  <c r="Z42" i="11"/>
  <c r="Z113" i="11" s="1"/>
  <c r="Z43" i="11"/>
  <c r="Z44" i="11"/>
  <c r="Z115" i="11" s="1"/>
  <c r="Z45" i="11"/>
  <c r="AA45" i="11" s="1"/>
  <c r="Z46" i="11"/>
  <c r="Z117" i="11" s="1"/>
  <c r="Z47" i="11"/>
  <c r="Z48" i="11"/>
  <c r="Z119" i="11" s="1"/>
  <c r="Z49" i="11"/>
  <c r="AA49" i="11" s="1"/>
  <c r="Z50" i="11"/>
  <c r="Z121" i="11" s="1"/>
  <c r="Z51" i="11"/>
  <c r="Z52" i="11"/>
  <c r="Z123" i="11" s="1"/>
  <c r="Z53" i="11"/>
  <c r="AA53" i="11" s="1"/>
  <c r="Z54" i="11"/>
  <c r="Z125" i="11" s="1"/>
  <c r="Z55" i="11"/>
  <c r="Z56" i="11"/>
  <c r="Z127" i="11" s="1"/>
  <c r="Z57" i="11"/>
  <c r="AA57" i="11" s="1"/>
  <c r="Z58" i="11"/>
  <c r="Z129" i="11" s="1"/>
  <c r="Z59" i="11"/>
  <c r="Z60" i="11"/>
  <c r="Z131" i="11" s="1"/>
  <c r="Z61" i="11"/>
  <c r="AA61" i="11" s="1"/>
  <c r="Z62" i="11"/>
  <c r="Z133" i="11" s="1"/>
  <c r="Z63" i="11"/>
  <c r="Z64" i="11"/>
  <c r="Z135" i="11" s="1"/>
  <c r="Z65" i="11"/>
  <c r="AA65" i="11" s="1"/>
  <c r="Z66" i="11"/>
  <c r="Z137" i="11" s="1"/>
  <c r="Z67" i="11"/>
  <c r="Z68" i="11"/>
  <c r="Z139" i="11" s="1"/>
  <c r="Z69" i="11"/>
  <c r="AA69" i="11" s="1"/>
  <c r="Z70" i="11"/>
  <c r="Z141" i="11" s="1"/>
  <c r="Z71" i="11"/>
  <c r="Z142" i="11" s="1"/>
  <c r="Z72" i="11"/>
  <c r="Z143" i="11" s="1"/>
  <c r="Z9" i="11"/>
  <c r="AA9" i="11" s="1"/>
  <c r="Q78" i="11"/>
  <c r="EJ4" i="1"/>
  <c r="EJ5" i="1"/>
  <c r="EJ6" i="1"/>
  <c r="EJ7" i="1"/>
  <c r="EJ8" i="1"/>
  <c r="EJ9" i="1"/>
  <c r="EJ10" i="1"/>
  <c r="EJ11" i="1"/>
  <c r="EJ12" i="1"/>
  <c r="EJ13" i="1"/>
  <c r="EJ14" i="1"/>
  <c r="EJ15" i="1"/>
  <c r="EJ16" i="1"/>
  <c r="EJ17" i="1"/>
  <c r="EJ18" i="1"/>
  <c r="EJ19" i="1"/>
  <c r="EJ20" i="1"/>
  <c r="EJ21" i="1"/>
  <c r="EJ22" i="1"/>
  <c r="EJ23" i="1"/>
  <c r="EJ24" i="1"/>
  <c r="EJ25" i="1"/>
  <c r="EJ26" i="1"/>
  <c r="EJ27" i="1"/>
  <c r="EJ28" i="1"/>
  <c r="EJ29" i="1"/>
  <c r="EJ30" i="1"/>
  <c r="EJ31" i="1"/>
  <c r="EJ32" i="1"/>
  <c r="EJ33" i="1"/>
  <c r="EJ34" i="1"/>
  <c r="EJ35" i="1"/>
  <c r="EJ36" i="1"/>
  <c r="EJ37" i="1"/>
  <c r="EJ38" i="1"/>
  <c r="EJ39" i="1"/>
  <c r="EJ40" i="1"/>
  <c r="EJ41" i="1"/>
  <c r="EJ42" i="1"/>
  <c r="EJ43" i="1"/>
  <c r="EJ44" i="1"/>
  <c r="EJ45" i="1"/>
  <c r="EJ46" i="1"/>
  <c r="EJ47" i="1"/>
  <c r="EJ48" i="1"/>
  <c r="EJ49" i="1"/>
  <c r="EJ50" i="1"/>
  <c r="EJ51" i="1"/>
  <c r="EJ52" i="1"/>
  <c r="EJ53" i="1"/>
  <c r="EJ54" i="1"/>
  <c r="EJ55" i="1"/>
  <c r="EJ56" i="1"/>
  <c r="EJ57" i="1"/>
  <c r="EJ58" i="1"/>
  <c r="EJ59" i="1"/>
  <c r="EJ60" i="1"/>
  <c r="EJ61" i="1"/>
  <c r="EJ62" i="1"/>
  <c r="EJ63" i="1"/>
  <c r="EJ64" i="1"/>
  <c r="EJ65" i="1"/>
  <c r="EJ66" i="1"/>
  <c r="EJ67" i="1"/>
  <c r="EJ68" i="1"/>
  <c r="EJ69" i="1"/>
  <c r="EJ70" i="1"/>
  <c r="EJ71" i="1"/>
  <c r="EJ72" i="1"/>
  <c r="EJ73" i="1"/>
  <c r="EJ74" i="1"/>
  <c r="EJ75" i="1"/>
  <c r="EJ76" i="1"/>
  <c r="EJ77" i="1"/>
  <c r="EJ78" i="1"/>
  <c r="EJ79" i="1"/>
  <c r="EJ80" i="1"/>
  <c r="EJ81" i="1"/>
  <c r="EJ82" i="1"/>
  <c r="EJ83" i="1"/>
  <c r="EJ84" i="1"/>
  <c r="EJ85" i="1"/>
  <c r="EJ86" i="1"/>
  <c r="EJ87" i="1"/>
  <c r="EJ88" i="1"/>
  <c r="EJ89" i="1"/>
  <c r="EJ90" i="1"/>
  <c r="EJ91" i="1"/>
  <c r="EJ92" i="1"/>
  <c r="EJ93" i="1"/>
  <c r="EJ94" i="1"/>
  <c r="EJ95" i="1"/>
  <c r="EJ96" i="1"/>
  <c r="EJ97" i="1"/>
  <c r="EJ98" i="1"/>
  <c r="EJ99" i="1"/>
  <c r="EJ100" i="1"/>
  <c r="EJ101" i="1"/>
  <c r="EJ102" i="1"/>
  <c r="EJ103" i="1"/>
  <c r="EJ104" i="1"/>
  <c r="EJ105" i="1"/>
  <c r="EJ106" i="1"/>
  <c r="EJ107" i="1"/>
  <c r="EJ108" i="1"/>
  <c r="EJ109" i="1"/>
  <c r="EJ110" i="1"/>
  <c r="EJ111" i="1"/>
  <c r="EJ112" i="1"/>
  <c r="EJ113" i="1"/>
  <c r="EJ114" i="1"/>
  <c r="EJ115" i="1"/>
  <c r="EJ116" i="1"/>
  <c r="EJ117" i="1"/>
  <c r="EJ118" i="1"/>
  <c r="EJ119" i="1"/>
  <c r="EJ120" i="1"/>
  <c r="EJ121" i="1"/>
  <c r="EJ122" i="1"/>
  <c r="EJ123" i="1"/>
  <c r="EJ124" i="1"/>
  <c r="EJ125" i="1"/>
  <c r="EJ126" i="1"/>
  <c r="EJ127" i="1"/>
  <c r="EJ128" i="1"/>
  <c r="EJ129" i="1"/>
  <c r="EJ130" i="1"/>
  <c r="EJ131" i="1"/>
  <c r="EJ132" i="1"/>
  <c r="EJ133" i="1"/>
  <c r="EJ134" i="1"/>
  <c r="EJ135" i="1"/>
  <c r="EJ136" i="1"/>
  <c r="EJ137" i="1"/>
  <c r="EJ138" i="1"/>
  <c r="EJ139" i="1"/>
  <c r="EJ140" i="1"/>
  <c r="EJ141" i="1"/>
  <c r="EJ142" i="1"/>
  <c r="EJ143" i="1"/>
  <c r="EJ144" i="1"/>
  <c r="EJ145" i="1"/>
  <c r="EJ146" i="1"/>
  <c r="EJ147" i="1"/>
  <c r="EJ148" i="1"/>
  <c r="EJ149" i="1"/>
  <c r="EJ150" i="1"/>
  <c r="EJ151" i="1"/>
  <c r="EJ152" i="1"/>
  <c r="EJ153" i="1"/>
  <c r="EJ154" i="1"/>
  <c r="EJ155" i="1"/>
  <c r="EJ156" i="1"/>
  <c r="EJ157" i="1"/>
  <c r="EJ158" i="1"/>
  <c r="EJ159" i="1"/>
  <c r="EJ160" i="1"/>
  <c r="EJ161" i="1"/>
  <c r="EJ162" i="1"/>
  <c r="EJ163" i="1"/>
  <c r="EJ164" i="1"/>
  <c r="EJ165" i="1"/>
  <c r="EJ166" i="1"/>
  <c r="EJ167" i="1"/>
  <c r="EJ168" i="1"/>
  <c r="EJ169" i="1"/>
  <c r="EJ170" i="1"/>
  <c r="EJ171" i="1"/>
  <c r="EJ172" i="1"/>
  <c r="EJ173" i="1"/>
  <c r="EJ174" i="1"/>
  <c r="EJ175" i="1"/>
  <c r="EJ176" i="1"/>
  <c r="EJ177" i="1"/>
  <c r="EJ178" i="1"/>
  <c r="EJ179" i="1"/>
  <c r="EJ180" i="1"/>
  <c r="EJ181" i="1"/>
  <c r="EJ182" i="1"/>
  <c r="EJ183" i="1"/>
  <c r="EJ184" i="1"/>
  <c r="EJ185" i="1"/>
  <c r="EJ186" i="1"/>
  <c r="EJ187" i="1"/>
  <c r="EJ188" i="1"/>
  <c r="EJ189" i="1"/>
  <c r="EJ190" i="1"/>
  <c r="EJ191" i="1"/>
  <c r="EJ192" i="1"/>
  <c r="EJ193" i="1"/>
  <c r="EJ194" i="1"/>
  <c r="EJ195" i="1"/>
  <c r="EJ196" i="1"/>
  <c r="EJ197" i="1"/>
  <c r="EJ198" i="1"/>
  <c r="EJ199" i="1"/>
  <c r="EJ200" i="1"/>
  <c r="EJ201" i="1"/>
  <c r="EJ202" i="1"/>
  <c r="EJ203" i="1"/>
  <c r="EJ204" i="1"/>
  <c r="EJ205" i="1"/>
  <c r="EJ206" i="1"/>
  <c r="EJ207" i="1"/>
  <c r="EJ208" i="1"/>
  <c r="EJ209" i="1"/>
  <c r="EJ210" i="1"/>
  <c r="EJ211" i="1"/>
  <c r="EJ212" i="1"/>
  <c r="EJ213" i="1"/>
  <c r="EJ214" i="1"/>
  <c r="EJ215" i="1"/>
  <c r="EJ216" i="1"/>
  <c r="EJ217" i="1"/>
  <c r="EJ218" i="1"/>
  <c r="EJ219" i="1"/>
  <c r="EJ220" i="1"/>
  <c r="EJ221" i="1"/>
  <c r="EJ222" i="1"/>
  <c r="EJ223" i="1"/>
  <c r="EJ224" i="1"/>
  <c r="EJ225" i="1"/>
  <c r="EJ226" i="1"/>
  <c r="EJ227" i="1"/>
  <c r="EJ228" i="1"/>
  <c r="EJ229" i="1"/>
  <c r="EJ230" i="1"/>
  <c r="EJ231" i="1"/>
  <c r="EJ232" i="1"/>
  <c r="EJ233" i="1"/>
  <c r="EJ234" i="1"/>
  <c r="EJ235" i="1"/>
  <c r="EJ236" i="1"/>
  <c r="EJ237" i="1"/>
  <c r="EJ238" i="1"/>
  <c r="EJ239" i="1"/>
  <c r="EJ240" i="1"/>
  <c r="EJ241" i="1"/>
  <c r="EJ242" i="1"/>
  <c r="EJ243" i="1"/>
  <c r="EJ244" i="1"/>
  <c r="EJ245" i="1"/>
  <c r="EJ246" i="1"/>
  <c r="EJ247" i="1"/>
  <c r="EJ248" i="1"/>
  <c r="EJ249" i="1"/>
  <c r="EJ250" i="1"/>
  <c r="EJ251" i="1"/>
  <c r="EJ252" i="1"/>
  <c r="EJ253" i="1"/>
  <c r="EJ254" i="1"/>
  <c r="EJ255" i="1"/>
  <c r="EJ256" i="1"/>
  <c r="EJ257" i="1"/>
  <c r="EJ258" i="1"/>
  <c r="EJ259" i="1"/>
  <c r="EJ260" i="1"/>
  <c r="EJ261" i="1"/>
  <c r="EJ262" i="1"/>
  <c r="EJ263" i="1"/>
  <c r="EJ264" i="1"/>
  <c r="EJ265" i="1"/>
  <c r="EJ266" i="1"/>
  <c r="EJ267" i="1"/>
  <c r="EJ268" i="1"/>
  <c r="EJ269" i="1"/>
  <c r="EJ270" i="1"/>
  <c r="EJ271" i="1"/>
  <c r="EJ272" i="1"/>
  <c r="EJ273" i="1"/>
  <c r="EH4" i="1"/>
  <c r="EH5" i="1"/>
  <c r="EH6" i="1"/>
  <c r="EH7" i="1"/>
  <c r="EH8" i="1"/>
  <c r="EH9" i="1"/>
  <c r="EH10" i="1"/>
  <c r="EH11" i="1"/>
  <c r="EH12" i="1"/>
  <c r="EH13" i="1"/>
  <c r="EH14" i="1"/>
  <c r="EH15" i="1"/>
  <c r="EH16" i="1"/>
  <c r="EH17" i="1"/>
  <c r="EH18" i="1"/>
  <c r="EH19" i="1"/>
  <c r="EH20" i="1"/>
  <c r="EH21" i="1"/>
  <c r="EH22" i="1"/>
  <c r="EH23" i="1"/>
  <c r="EH24" i="1"/>
  <c r="EH25" i="1"/>
  <c r="EH26" i="1"/>
  <c r="EH27" i="1"/>
  <c r="EH28" i="1"/>
  <c r="EH29" i="1"/>
  <c r="EH30" i="1"/>
  <c r="EH31" i="1"/>
  <c r="EH32" i="1"/>
  <c r="EH33" i="1"/>
  <c r="EH34" i="1"/>
  <c r="EH35" i="1"/>
  <c r="EH36" i="1"/>
  <c r="EH37" i="1"/>
  <c r="EH38" i="1"/>
  <c r="EH39" i="1"/>
  <c r="EH40" i="1"/>
  <c r="EH41" i="1"/>
  <c r="EH42" i="1"/>
  <c r="EH43" i="1"/>
  <c r="EH44" i="1"/>
  <c r="EH45" i="1"/>
  <c r="EH46" i="1"/>
  <c r="EH47" i="1"/>
  <c r="EH48" i="1"/>
  <c r="EH49" i="1"/>
  <c r="EH50" i="1"/>
  <c r="EH51" i="1"/>
  <c r="EH52" i="1"/>
  <c r="EH53" i="1"/>
  <c r="EH54" i="1"/>
  <c r="EH55" i="1"/>
  <c r="EH56" i="1"/>
  <c r="EH57" i="1"/>
  <c r="EH58" i="1"/>
  <c r="EH59" i="1"/>
  <c r="EH60" i="1"/>
  <c r="EH61" i="1"/>
  <c r="EH62" i="1"/>
  <c r="EH63" i="1"/>
  <c r="EH64" i="1"/>
  <c r="EH65" i="1"/>
  <c r="EH66" i="1"/>
  <c r="EH67" i="1"/>
  <c r="EH68" i="1"/>
  <c r="EH69" i="1"/>
  <c r="EH70" i="1"/>
  <c r="EH71" i="1"/>
  <c r="EH72" i="1"/>
  <c r="EH73" i="1"/>
  <c r="EH74" i="1"/>
  <c r="EH75" i="1"/>
  <c r="EH76" i="1"/>
  <c r="EH77" i="1"/>
  <c r="EH78" i="1"/>
  <c r="EH79" i="1"/>
  <c r="EH80" i="1"/>
  <c r="EH81" i="1"/>
  <c r="EH82" i="1"/>
  <c r="EH83" i="1"/>
  <c r="EH84" i="1"/>
  <c r="EH85" i="1"/>
  <c r="EH86" i="1"/>
  <c r="EH87" i="1"/>
  <c r="EH88" i="1"/>
  <c r="EH89" i="1"/>
  <c r="EH90" i="1"/>
  <c r="EH91" i="1"/>
  <c r="EH92" i="1"/>
  <c r="EH93" i="1"/>
  <c r="EH94" i="1"/>
  <c r="EH95" i="1"/>
  <c r="EH96" i="1"/>
  <c r="EH97" i="1"/>
  <c r="EH98" i="1"/>
  <c r="EH99" i="1"/>
  <c r="EH100" i="1"/>
  <c r="EH101" i="1"/>
  <c r="EH102" i="1"/>
  <c r="EH103" i="1"/>
  <c r="EH104" i="1"/>
  <c r="EH105" i="1"/>
  <c r="EH106" i="1"/>
  <c r="EH107" i="1"/>
  <c r="EH108" i="1"/>
  <c r="EH109" i="1"/>
  <c r="EH110" i="1"/>
  <c r="EH111" i="1"/>
  <c r="EH112" i="1"/>
  <c r="EH113" i="1"/>
  <c r="EH114" i="1"/>
  <c r="EH115" i="1"/>
  <c r="EH116" i="1"/>
  <c r="EH117" i="1"/>
  <c r="EH118" i="1"/>
  <c r="EH119" i="1"/>
  <c r="EH120" i="1"/>
  <c r="EH121" i="1"/>
  <c r="EH122" i="1"/>
  <c r="EH123" i="1"/>
  <c r="EH124" i="1"/>
  <c r="EH125" i="1"/>
  <c r="EH126" i="1"/>
  <c r="EH127" i="1"/>
  <c r="EH128" i="1"/>
  <c r="EH129" i="1"/>
  <c r="EH130" i="1"/>
  <c r="EH131" i="1"/>
  <c r="EH132" i="1"/>
  <c r="EH133" i="1"/>
  <c r="EH134" i="1"/>
  <c r="EH135" i="1"/>
  <c r="EH136" i="1"/>
  <c r="EH137" i="1"/>
  <c r="EH138" i="1"/>
  <c r="EH139" i="1"/>
  <c r="EH140" i="1"/>
  <c r="EH141" i="1"/>
  <c r="EH142" i="1"/>
  <c r="EH143" i="1"/>
  <c r="EH144" i="1"/>
  <c r="EH145" i="1"/>
  <c r="EH146" i="1"/>
  <c r="EH147" i="1"/>
  <c r="EH148" i="1"/>
  <c r="EH149" i="1"/>
  <c r="EH150" i="1"/>
  <c r="EH151" i="1"/>
  <c r="EH152" i="1"/>
  <c r="EH153" i="1"/>
  <c r="EH154" i="1"/>
  <c r="EH155" i="1"/>
  <c r="EH156" i="1"/>
  <c r="EH157" i="1"/>
  <c r="EH158" i="1"/>
  <c r="EH159" i="1"/>
  <c r="EH160" i="1"/>
  <c r="EH161" i="1"/>
  <c r="EH162" i="1"/>
  <c r="EH163" i="1"/>
  <c r="EH164" i="1"/>
  <c r="EH165" i="1"/>
  <c r="EH166" i="1"/>
  <c r="EH167" i="1"/>
  <c r="EH168" i="1"/>
  <c r="EH169" i="1"/>
  <c r="EH170" i="1"/>
  <c r="EH171" i="1"/>
  <c r="EH172" i="1"/>
  <c r="EH173" i="1"/>
  <c r="EH174" i="1"/>
  <c r="EH175" i="1"/>
  <c r="EH176" i="1"/>
  <c r="EH177" i="1"/>
  <c r="EH178" i="1"/>
  <c r="EH179" i="1"/>
  <c r="EH180" i="1"/>
  <c r="EH181" i="1"/>
  <c r="EH182" i="1"/>
  <c r="EH183" i="1"/>
  <c r="EH184" i="1"/>
  <c r="EH185" i="1"/>
  <c r="EH186" i="1"/>
  <c r="EH187" i="1"/>
  <c r="EH188" i="1"/>
  <c r="EH189" i="1"/>
  <c r="EH190" i="1"/>
  <c r="EH191" i="1"/>
  <c r="EH192" i="1"/>
  <c r="EH193" i="1"/>
  <c r="EH194" i="1"/>
  <c r="EH195" i="1"/>
  <c r="EH196" i="1"/>
  <c r="EH197" i="1"/>
  <c r="EH198" i="1"/>
  <c r="EH199" i="1"/>
  <c r="EH200" i="1"/>
  <c r="EH201" i="1"/>
  <c r="EH202" i="1"/>
  <c r="EH203" i="1"/>
  <c r="EH204" i="1"/>
  <c r="EH205" i="1"/>
  <c r="EH206" i="1"/>
  <c r="EH207" i="1"/>
  <c r="EH208" i="1"/>
  <c r="EH209" i="1"/>
  <c r="EH210" i="1"/>
  <c r="EH211" i="1"/>
  <c r="EH212" i="1"/>
  <c r="EH213" i="1"/>
  <c r="EH214" i="1"/>
  <c r="EH215" i="1"/>
  <c r="EH216" i="1"/>
  <c r="EH217" i="1"/>
  <c r="EH218" i="1"/>
  <c r="EH219" i="1"/>
  <c r="EH220" i="1"/>
  <c r="EH221" i="1"/>
  <c r="EH222" i="1"/>
  <c r="EH223" i="1"/>
  <c r="EH224" i="1"/>
  <c r="EH225" i="1"/>
  <c r="EH226" i="1"/>
  <c r="EH227" i="1"/>
  <c r="EH228" i="1"/>
  <c r="EH229" i="1"/>
  <c r="EH230" i="1"/>
  <c r="EH231" i="1"/>
  <c r="EH232" i="1"/>
  <c r="EH233" i="1"/>
  <c r="EH234" i="1"/>
  <c r="EH235" i="1"/>
  <c r="EH236" i="1"/>
  <c r="EH237" i="1"/>
  <c r="EH238" i="1"/>
  <c r="EH239" i="1"/>
  <c r="EH240" i="1"/>
  <c r="EH241" i="1"/>
  <c r="EH242" i="1"/>
  <c r="EH243" i="1"/>
  <c r="EH244" i="1"/>
  <c r="EH245" i="1"/>
  <c r="EH246" i="1"/>
  <c r="EH247" i="1"/>
  <c r="EH248" i="1"/>
  <c r="EH249" i="1"/>
  <c r="EH250" i="1"/>
  <c r="EH251" i="1"/>
  <c r="EH252" i="1"/>
  <c r="EH253" i="1"/>
  <c r="EH254" i="1"/>
  <c r="EH255" i="1"/>
  <c r="EH256" i="1"/>
  <c r="EH257" i="1"/>
  <c r="EH258" i="1"/>
  <c r="EH259" i="1"/>
  <c r="EH260" i="1"/>
  <c r="EH261" i="1"/>
  <c r="EH262" i="1"/>
  <c r="EH263" i="1"/>
  <c r="EH264" i="1"/>
  <c r="EH265" i="1"/>
  <c r="EH266" i="1"/>
  <c r="EH267" i="1"/>
  <c r="EH268" i="1"/>
  <c r="EH269" i="1"/>
  <c r="EH270" i="1"/>
  <c r="EH271" i="1"/>
  <c r="EH272" i="1"/>
  <c r="EH273" i="1"/>
  <c r="EJ3" i="1"/>
  <c r="EH3" i="1"/>
  <c r="EJ2" i="1"/>
  <c r="EJ1" i="1"/>
  <c r="EH2" i="1"/>
  <c r="EH1" i="1"/>
  <c r="EF33" i="1"/>
  <c r="EF34" i="1"/>
  <c r="EF35" i="1"/>
  <c r="EF36" i="1"/>
  <c r="EF37" i="1"/>
  <c r="EF38" i="1"/>
  <c r="EF39" i="1"/>
  <c r="EF40" i="1"/>
  <c r="EF41" i="1"/>
  <c r="EF42" i="1"/>
  <c r="EF43" i="1"/>
  <c r="EF44" i="1"/>
  <c r="EF45" i="1"/>
  <c r="EF46" i="1"/>
  <c r="EF47" i="1"/>
  <c r="EF48" i="1"/>
  <c r="EF49" i="1"/>
  <c r="EF50" i="1"/>
  <c r="EF51" i="1"/>
  <c r="EF52" i="1"/>
  <c r="EF53" i="1"/>
  <c r="EF54" i="1"/>
  <c r="EF55" i="1"/>
  <c r="EF56" i="1"/>
  <c r="EF57" i="1"/>
  <c r="EF58" i="1"/>
  <c r="EF59" i="1"/>
  <c r="EF60" i="1"/>
  <c r="EF61" i="1"/>
  <c r="EF62" i="1"/>
  <c r="EF63" i="1"/>
  <c r="EF64" i="1"/>
  <c r="EF65" i="1"/>
  <c r="EF66" i="1"/>
  <c r="EF67" i="1"/>
  <c r="EF68" i="1"/>
  <c r="EF69" i="1"/>
  <c r="EF70" i="1"/>
  <c r="EF71" i="1"/>
  <c r="EF72" i="1"/>
  <c r="EF73" i="1"/>
  <c r="EF74" i="1"/>
  <c r="EF75" i="1"/>
  <c r="EF76" i="1"/>
  <c r="EF77" i="1"/>
  <c r="EF78" i="1"/>
  <c r="EF79" i="1"/>
  <c r="EF80" i="1"/>
  <c r="EF81" i="1"/>
  <c r="EF82" i="1"/>
  <c r="EF83" i="1"/>
  <c r="EF84" i="1"/>
  <c r="EF85" i="1"/>
  <c r="EF86" i="1"/>
  <c r="EF87" i="1"/>
  <c r="EF88" i="1"/>
  <c r="EF89" i="1"/>
  <c r="EF90" i="1"/>
  <c r="EF91" i="1"/>
  <c r="EF92" i="1"/>
  <c r="EF93" i="1"/>
  <c r="EF94" i="1"/>
  <c r="EF95" i="1"/>
  <c r="EF96" i="1"/>
  <c r="EF97" i="1"/>
  <c r="EF98" i="1"/>
  <c r="EF99" i="1"/>
  <c r="EF100" i="1"/>
  <c r="EF101" i="1"/>
  <c r="EF102" i="1"/>
  <c r="EF103" i="1"/>
  <c r="EF104" i="1"/>
  <c r="EF105" i="1"/>
  <c r="EF106" i="1"/>
  <c r="EF107" i="1"/>
  <c r="EF108" i="1"/>
  <c r="EF109" i="1"/>
  <c r="EF110" i="1"/>
  <c r="EF111" i="1"/>
  <c r="EF112" i="1"/>
  <c r="EF113" i="1"/>
  <c r="EF114" i="1"/>
  <c r="EF115" i="1"/>
  <c r="EF116" i="1"/>
  <c r="EF117" i="1"/>
  <c r="EF118" i="1"/>
  <c r="EF119" i="1"/>
  <c r="EF120" i="1"/>
  <c r="EF121" i="1"/>
  <c r="EF122" i="1"/>
  <c r="EF123" i="1"/>
  <c r="EF124" i="1"/>
  <c r="EF125" i="1"/>
  <c r="EF126" i="1"/>
  <c r="EF127" i="1"/>
  <c r="EF128" i="1"/>
  <c r="EF129" i="1"/>
  <c r="EF130" i="1"/>
  <c r="EF131" i="1"/>
  <c r="EF132" i="1"/>
  <c r="EF133" i="1"/>
  <c r="EF134" i="1"/>
  <c r="EF135" i="1"/>
  <c r="EF136" i="1"/>
  <c r="EF137" i="1"/>
  <c r="EF138" i="1"/>
  <c r="EF139" i="1"/>
  <c r="EF140" i="1"/>
  <c r="EF141" i="1"/>
  <c r="EF142" i="1"/>
  <c r="EF143" i="1"/>
  <c r="EF144" i="1"/>
  <c r="EF145" i="1"/>
  <c r="EF146" i="1"/>
  <c r="EF147" i="1"/>
  <c r="EF148" i="1"/>
  <c r="EF149" i="1"/>
  <c r="EF150" i="1"/>
  <c r="EF151" i="1"/>
  <c r="EF152" i="1"/>
  <c r="EF153" i="1"/>
  <c r="EF154" i="1"/>
  <c r="EF155" i="1"/>
  <c r="EF156" i="1"/>
  <c r="EF157" i="1"/>
  <c r="EF158" i="1"/>
  <c r="EF159" i="1"/>
  <c r="EF160" i="1"/>
  <c r="EF161" i="1"/>
  <c r="EF162" i="1"/>
  <c r="EF163" i="1"/>
  <c r="EF164" i="1"/>
  <c r="EF165" i="1"/>
  <c r="EF166" i="1"/>
  <c r="EF167" i="1"/>
  <c r="EF168" i="1"/>
  <c r="EF169" i="1"/>
  <c r="EF170" i="1"/>
  <c r="EF171" i="1"/>
  <c r="EF172" i="1"/>
  <c r="EF173" i="1"/>
  <c r="EF174" i="1"/>
  <c r="EF175" i="1"/>
  <c r="EF176" i="1"/>
  <c r="EF177" i="1"/>
  <c r="EF178" i="1"/>
  <c r="EF179" i="1"/>
  <c r="EF180" i="1"/>
  <c r="EF181" i="1"/>
  <c r="EF182" i="1"/>
  <c r="EF183" i="1"/>
  <c r="EF184" i="1"/>
  <c r="EF185" i="1"/>
  <c r="EF186" i="1"/>
  <c r="EF187" i="1"/>
  <c r="EF188" i="1"/>
  <c r="EF189" i="1"/>
  <c r="EF190" i="1"/>
  <c r="EF191" i="1"/>
  <c r="EF192" i="1"/>
  <c r="EF193" i="1"/>
  <c r="EF194" i="1"/>
  <c r="EF195" i="1"/>
  <c r="EF196" i="1"/>
  <c r="EF197" i="1"/>
  <c r="EF198" i="1"/>
  <c r="EF199" i="1"/>
  <c r="EF200" i="1"/>
  <c r="EF201" i="1"/>
  <c r="EF202" i="1"/>
  <c r="EF203" i="1"/>
  <c r="EF204" i="1"/>
  <c r="EF205" i="1"/>
  <c r="EF206" i="1"/>
  <c r="EF207" i="1"/>
  <c r="EF208" i="1"/>
  <c r="EF209" i="1"/>
  <c r="EF210" i="1"/>
  <c r="EF211" i="1"/>
  <c r="EF212" i="1"/>
  <c r="EF213" i="1"/>
  <c r="EF214" i="1"/>
  <c r="EF215" i="1"/>
  <c r="EF216" i="1"/>
  <c r="EF217" i="1"/>
  <c r="EF218" i="1"/>
  <c r="EF219" i="1"/>
  <c r="EF220" i="1"/>
  <c r="EF221" i="1"/>
  <c r="EF222" i="1"/>
  <c r="EF223" i="1"/>
  <c r="EF224" i="1"/>
  <c r="EF225" i="1"/>
  <c r="EF226" i="1"/>
  <c r="EF227" i="1"/>
  <c r="EF228" i="1"/>
  <c r="EF229" i="1"/>
  <c r="EF230" i="1"/>
  <c r="EF231" i="1"/>
  <c r="EF232" i="1"/>
  <c r="EF233" i="1"/>
  <c r="EF234" i="1"/>
  <c r="EF235" i="1"/>
  <c r="EF236" i="1"/>
  <c r="EF237" i="1"/>
  <c r="EF238" i="1"/>
  <c r="EF239" i="1"/>
  <c r="EF240" i="1"/>
  <c r="EF241" i="1"/>
  <c r="EF242" i="1"/>
  <c r="EF243" i="1"/>
  <c r="EF244" i="1"/>
  <c r="EF245" i="1"/>
  <c r="EF246" i="1"/>
  <c r="EF247" i="1"/>
  <c r="EF248" i="1"/>
  <c r="EF249" i="1"/>
  <c r="EF250" i="1"/>
  <c r="EF251" i="1"/>
  <c r="EF252" i="1"/>
  <c r="EF253" i="1"/>
  <c r="EF254" i="1"/>
  <c r="EF255" i="1"/>
  <c r="EF256" i="1"/>
  <c r="EF257" i="1"/>
  <c r="EF258" i="1"/>
  <c r="EF259" i="1"/>
  <c r="EF260" i="1"/>
  <c r="EF261" i="1"/>
  <c r="EF262" i="1"/>
  <c r="EF263" i="1"/>
  <c r="EF264" i="1"/>
  <c r="EF265" i="1"/>
  <c r="EF266" i="1"/>
  <c r="EF267" i="1"/>
  <c r="EF268" i="1"/>
  <c r="EF269" i="1"/>
  <c r="EF270" i="1"/>
  <c r="EF271" i="1"/>
  <c r="EF272" i="1"/>
  <c r="EF273" i="1"/>
  <c r="EF4" i="1"/>
  <c r="EF5" i="1"/>
  <c r="EF6" i="1"/>
  <c r="EF7" i="1"/>
  <c r="EF8" i="1"/>
  <c r="EF9" i="1"/>
  <c r="EF10" i="1"/>
  <c r="EF11" i="1"/>
  <c r="EF12" i="1"/>
  <c r="EF13" i="1"/>
  <c r="EF14" i="1"/>
  <c r="EF15" i="1"/>
  <c r="EF16" i="1"/>
  <c r="EF17" i="1"/>
  <c r="EF18" i="1"/>
  <c r="EF19" i="1"/>
  <c r="EF20" i="1"/>
  <c r="EF21" i="1"/>
  <c r="EF22" i="1"/>
  <c r="EF23" i="1"/>
  <c r="EF24" i="1"/>
  <c r="EF25" i="1"/>
  <c r="EF26" i="1"/>
  <c r="EF27" i="1"/>
  <c r="EF28" i="1"/>
  <c r="EF29" i="1"/>
  <c r="EF30" i="1"/>
  <c r="EF31" i="1"/>
  <c r="EF32" i="1"/>
  <c r="EF3" i="1"/>
  <c r="EF1" i="1"/>
  <c r="EF2" i="1"/>
  <c r="Q10" i="11"/>
  <c r="R10" i="11" s="1"/>
  <c r="Q11" i="11"/>
  <c r="R11" i="11" s="1"/>
  <c r="Q12" i="11"/>
  <c r="R12" i="11" s="1"/>
  <c r="Q13" i="11"/>
  <c r="R13" i="11" s="1"/>
  <c r="Q14" i="11"/>
  <c r="R14" i="11" s="1"/>
  <c r="Q15" i="11"/>
  <c r="R15" i="11" s="1"/>
  <c r="Q16" i="11"/>
  <c r="R16" i="11" s="1"/>
  <c r="Q17" i="11"/>
  <c r="R17" i="11" s="1"/>
  <c r="Q18" i="11"/>
  <c r="R18" i="11" s="1"/>
  <c r="Q19" i="11"/>
  <c r="R19" i="11" s="1"/>
  <c r="Q20" i="11"/>
  <c r="R20" i="11" s="1"/>
  <c r="Q21" i="11"/>
  <c r="R21" i="11" s="1"/>
  <c r="Q22" i="11"/>
  <c r="R22" i="11" s="1"/>
  <c r="Q23" i="11"/>
  <c r="R23" i="11" s="1"/>
  <c r="Q24" i="11"/>
  <c r="R24" i="11" s="1"/>
  <c r="Q25" i="11"/>
  <c r="R25" i="11" s="1"/>
  <c r="Q26" i="11"/>
  <c r="R26" i="11" s="1"/>
  <c r="Q27" i="11"/>
  <c r="R27" i="11" s="1"/>
  <c r="Q28" i="11"/>
  <c r="R28" i="11" s="1"/>
  <c r="Q29" i="11"/>
  <c r="R29" i="11" s="1"/>
  <c r="Q30" i="11"/>
  <c r="R30" i="11" s="1"/>
  <c r="Q31" i="11"/>
  <c r="R31" i="11" s="1"/>
  <c r="Q32" i="11"/>
  <c r="R32" i="11" s="1"/>
  <c r="Q33" i="11"/>
  <c r="R33" i="11" s="1"/>
  <c r="Q34" i="11"/>
  <c r="R34" i="11" s="1"/>
  <c r="Q35" i="11"/>
  <c r="R35" i="11" s="1"/>
  <c r="Q36" i="11"/>
  <c r="R36" i="11" s="1"/>
  <c r="Q37" i="11"/>
  <c r="R37" i="11" s="1"/>
  <c r="Q38" i="11"/>
  <c r="R38" i="11" s="1"/>
  <c r="Q39" i="11"/>
  <c r="R39" i="11" s="1"/>
  <c r="Q40" i="11"/>
  <c r="R40" i="11" s="1"/>
  <c r="Q41" i="11"/>
  <c r="R41" i="11" s="1"/>
  <c r="Q42" i="11"/>
  <c r="R42" i="11" s="1"/>
  <c r="Q43" i="11"/>
  <c r="R43" i="11" s="1"/>
  <c r="Q44" i="11"/>
  <c r="R44" i="11" s="1"/>
  <c r="Q45" i="11"/>
  <c r="R45" i="11" s="1"/>
  <c r="Q46" i="11"/>
  <c r="R46" i="11" s="1"/>
  <c r="Q47" i="11"/>
  <c r="R47" i="11" s="1"/>
  <c r="Q48" i="11"/>
  <c r="R48" i="11" s="1"/>
  <c r="Q49" i="11"/>
  <c r="R49" i="11" s="1"/>
  <c r="Q50" i="11"/>
  <c r="R50" i="11" s="1"/>
  <c r="Q51" i="11"/>
  <c r="R51" i="11" s="1"/>
  <c r="Q52" i="11"/>
  <c r="R52" i="11" s="1"/>
  <c r="Q53" i="11"/>
  <c r="R53" i="11" s="1"/>
  <c r="Q54" i="11"/>
  <c r="R54" i="11" s="1"/>
  <c r="Q55" i="11"/>
  <c r="R55" i="11" s="1"/>
  <c r="Q56" i="11"/>
  <c r="R56" i="11" s="1"/>
  <c r="Q57" i="11"/>
  <c r="R57" i="11" s="1"/>
  <c r="Q58" i="11"/>
  <c r="R58" i="11" s="1"/>
  <c r="Q59" i="11"/>
  <c r="R59" i="11" s="1"/>
  <c r="Q60" i="11"/>
  <c r="R60" i="11" s="1"/>
  <c r="Q61" i="11"/>
  <c r="R61" i="11" s="1"/>
  <c r="Q62" i="11"/>
  <c r="R62" i="11" s="1"/>
  <c r="Q63" i="11"/>
  <c r="R63" i="11" s="1"/>
  <c r="Q64" i="11"/>
  <c r="R64" i="11" s="1"/>
  <c r="Q65" i="11"/>
  <c r="R65" i="11" s="1"/>
  <c r="Q66" i="11"/>
  <c r="R66" i="11" s="1"/>
  <c r="Q67" i="11"/>
  <c r="R67" i="11" s="1"/>
  <c r="Q68" i="11"/>
  <c r="R68" i="11" s="1"/>
  <c r="Q69" i="11"/>
  <c r="R69" i="11" s="1"/>
  <c r="Q70" i="11"/>
  <c r="R70" i="11" s="1"/>
  <c r="Q71" i="11"/>
  <c r="R71" i="11" s="1"/>
  <c r="Q72" i="11"/>
  <c r="R72" i="11" s="1"/>
  <c r="Q9" i="11"/>
  <c r="R9" i="11" s="1"/>
  <c r="MN4" i="2"/>
  <c r="MN5" i="2"/>
  <c r="MN6" i="2"/>
  <c r="MN7" i="2"/>
  <c r="MN8" i="2"/>
  <c r="MN9" i="2"/>
  <c r="MN10" i="2"/>
  <c r="MN11" i="2"/>
  <c r="MN12" i="2"/>
  <c r="MN13" i="2"/>
  <c r="MN14" i="2"/>
  <c r="MN15" i="2"/>
  <c r="MN16" i="2"/>
  <c r="MN17" i="2"/>
  <c r="MN18" i="2"/>
  <c r="MN19" i="2"/>
  <c r="MN20" i="2"/>
  <c r="MN21" i="2"/>
  <c r="MN22" i="2"/>
  <c r="MN23" i="2"/>
  <c r="MN24" i="2"/>
  <c r="MN25" i="2"/>
  <c r="MN26" i="2"/>
  <c r="MN27" i="2"/>
  <c r="MN28" i="2"/>
  <c r="MN29" i="2"/>
  <c r="MN30" i="2"/>
  <c r="MN31" i="2"/>
  <c r="MN32" i="2"/>
  <c r="MN33" i="2"/>
  <c r="MN34" i="2"/>
  <c r="MN35" i="2"/>
  <c r="MN36" i="2"/>
  <c r="MN37" i="2"/>
  <c r="MN38" i="2"/>
  <c r="MN39" i="2"/>
  <c r="MN40" i="2"/>
  <c r="MN41" i="2"/>
  <c r="MN42" i="2"/>
  <c r="MN43" i="2"/>
  <c r="MN44" i="2"/>
  <c r="MN45" i="2"/>
  <c r="MN46" i="2"/>
  <c r="MN47" i="2"/>
  <c r="MN48" i="2"/>
  <c r="MN49" i="2"/>
  <c r="MN50" i="2"/>
  <c r="MN51" i="2"/>
  <c r="MN52" i="2"/>
  <c r="MN53" i="2"/>
  <c r="MN54" i="2"/>
  <c r="MN55" i="2"/>
  <c r="MN56" i="2"/>
  <c r="MN57" i="2"/>
  <c r="MN58" i="2"/>
  <c r="MN59" i="2"/>
  <c r="MN60" i="2"/>
  <c r="MN61" i="2"/>
  <c r="MN62" i="2"/>
  <c r="MN63" i="2"/>
  <c r="MN64" i="2"/>
  <c r="MN65" i="2"/>
  <c r="MN66" i="2"/>
  <c r="MN67" i="2"/>
  <c r="MN68" i="2"/>
  <c r="MN69" i="2"/>
  <c r="MN70" i="2"/>
  <c r="MN71" i="2"/>
  <c r="MN72" i="2"/>
  <c r="MN73" i="2"/>
  <c r="MN74" i="2"/>
  <c r="MN75" i="2"/>
  <c r="MN76" i="2"/>
  <c r="MN77" i="2"/>
  <c r="MN78" i="2"/>
  <c r="MN79" i="2"/>
  <c r="MN3" i="2"/>
  <c r="MJ4" i="2"/>
  <c r="MJ5" i="2"/>
  <c r="MJ6" i="2"/>
  <c r="MJ7" i="2"/>
  <c r="MJ8" i="2"/>
  <c r="MJ9" i="2"/>
  <c r="MJ10" i="2"/>
  <c r="MJ11" i="2"/>
  <c r="MJ12" i="2"/>
  <c r="MJ13" i="2"/>
  <c r="MJ14" i="2"/>
  <c r="MJ15" i="2"/>
  <c r="MJ16" i="2"/>
  <c r="MJ17" i="2"/>
  <c r="MJ18" i="2"/>
  <c r="MJ19" i="2"/>
  <c r="MJ20" i="2"/>
  <c r="MJ21" i="2"/>
  <c r="MJ22" i="2"/>
  <c r="MJ23" i="2"/>
  <c r="MJ24" i="2"/>
  <c r="MJ25" i="2"/>
  <c r="MJ26" i="2"/>
  <c r="MJ27" i="2"/>
  <c r="MJ28" i="2"/>
  <c r="MJ29" i="2"/>
  <c r="MJ30" i="2"/>
  <c r="MJ31" i="2"/>
  <c r="MJ32" i="2"/>
  <c r="MJ33" i="2"/>
  <c r="MJ34" i="2"/>
  <c r="MJ35" i="2"/>
  <c r="MJ36" i="2"/>
  <c r="MJ37" i="2"/>
  <c r="MJ38" i="2"/>
  <c r="MJ39" i="2"/>
  <c r="MJ40" i="2"/>
  <c r="MJ41" i="2"/>
  <c r="MJ42" i="2"/>
  <c r="MJ43" i="2"/>
  <c r="MJ44" i="2"/>
  <c r="MJ45" i="2"/>
  <c r="MJ46" i="2"/>
  <c r="MJ47" i="2"/>
  <c r="MJ48" i="2"/>
  <c r="MJ49" i="2"/>
  <c r="MJ50" i="2"/>
  <c r="MJ51" i="2"/>
  <c r="MJ52" i="2"/>
  <c r="MJ53" i="2"/>
  <c r="MJ54" i="2"/>
  <c r="MJ55" i="2"/>
  <c r="MJ56" i="2"/>
  <c r="MJ57" i="2"/>
  <c r="MJ58" i="2"/>
  <c r="MJ59" i="2"/>
  <c r="MJ60" i="2"/>
  <c r="MJ61" i="2"/>
  <c r="MJ62" i="2"/>
  <c r="MJ63" i="2"/>
  <c r="MJ64" i="2"/>
  <c r="MJ65" i="2"/>
  <c r="MJ66" i="2"/>
  <c r="MJ3" i="2"/>
  <c r="MF4" i="2"/>
  <c r="MF5" i="2"/>
  <c r="MF6" i="2"/>
  <c r="MF7" i="2"/>
  <c r="MF8" i="2"/>
  <c r="MF9" i="2"/>
  <c r="MF10" i="2"/>
  <c r="MF11" i="2"/>
  <c r="MF12" i="2"/>
  <c r="MF13" i="2"/>
  <c r="MF14" i="2"/>
  <c r="MF15" i="2"/>
  <c r="MF16" i="2"/>
  <c r="MF17" i="2"/>
  <c r="MF18" i="2"/>
  <c r="MF19" i="2"/>
  <c r="MF20" i="2"/>
  <c r="MF21" i="2"/>
  <c r="MF22" i="2"/>
  <c r="MF23" i="2"/>
  <c r="MF24" i="2"/>
  <c r="MF25" i="2"/>
  <c r="MF26" i="2"/>
  <c r="MF27" i="2"/>
  <c r="MF28" i="2"/>
  <c r="MF29" i="2"/>
  <c r="MF30" i="2"/>
  <c r="MF31" i="2"/>
  <c r="MF32" i="2"/>
  <c r="MF33" i="2"/>
  <c r="MF34" i="2"/>
  <c r="MF35" i="2"/>
  <c r="MF36" i="2"/>
  <c r="MF37" i="2"/>
  <c r="MF38" i="2"/>
  <c r="MF39" i="2"/>
  <c r="MF40" i="2"/>
  <c r="MF41" i="2"/>
  <c r="MF42" i="2"/>
  <c r="MF43" i="2"/>
  <c r="MF44" i="2"/>
  <c r="MF45" i="2"/>
  <c r="MF46" i="2"/>
  <c r="MF47" i="2"/>
  <c r="MF48" i="2"/>
  <c r="MF49" i="2"/>
  <c r="MF50" i="2"/>
  <c r="MF51" i="2"/>
  <c r="MF52" i="2"/>
  <c r="MF53" i="2"/>
  <c r="MF54" i="2"/>
  <c r="MF55" i="2"/>
  <c r="MF56" i="2"/>
  <c r="MF57" i="2"/>
  <c r="MF58" i="2"/>
  <c r="MF59" i="2"/>
  <c r="MF60" i="2"/>
  <c r="MF61" i="2"/>
  <c r="MF62" i="2"/>
  <c r="MF63" i="2"/>
  <c r="MF64" i="2"/>
  <c r="MF65" i="2"/>
  <c r="MF66" i="2"/>
  <c r="MF3" i="2"/>
  <c r="BR43" i="15" l="1"/>
  <c r="BS25" i="15" s="1"/>
  <c r="BS17" i="15"/>
  <c r="BS10" i="15"/>
  <c r="BS42" i="15"/>
  <c r="BS39" i="15"/>
  <c r="BS37" i="15"/>
  <c r="BS14" i="15"/>
  <c r="BS38" i="15"/>
  <c r="BS29" i="15"/>
  <c r="BS27" i="15"/>
  <c r="BS35" i="15"/>
  <c r="R74" i="11"/>
  <c r="AJ87" i="11"/>
  <c r="AJ142" i="11"/>
  <c r="AU16" i="11"/>
  <c r="BN29" i="11"/>
  <c r="BJ10" i="11"/>
  <c r="BJ13" i="11"/>
  <c r="BJ11" i="11"/>
  <c r="BJ12" i="11"/>
  <c r="AU12" i="11"/>
  <c r="AV12" i="11" s="1"/>
  <c r="AS16" i="11"/>
  <c r="BJ28" i="11"/>
  <c r="Z80" i="11"/>
  <c r="BJ25" i="11"/>
  <c r="BJ27" i="11"/>
  <c r="Z112" i="11"/>
  <c r="BJ29" i="11"/>
  <c r="BF13" i="11"/>
  <c r="BF11" i="11"/>
  <c r="AJ165" i="11"/>
  <c r="BF28" i="11"/>
  <c r="BF26" i="11"/>
  <c r="BF29" i="11"/>
  <c r="BF30" i="11"/>
  <c r="BF25" i="11"/>
  <c r="BF27" i="11"/>
  <c r="BF9" i="11"/>
  <c r="BF14" i="11"/>
  <c r="BF12" i="11"/>
  <c r="AJ135" i="11"/>
  <c r="AJ108" i="11"/>
  <c r="AJ156" i="11"/>
  <c r="AJ113" i="11"/>
  <c r="AJ145" i="11"/>
  <c r="AJ138" i="11"/>
  <c r="AJ158" i="11"/>
  <c r="AJ107" i="11"/>
  <c r="AJ123" i="11"/>
  <c r="AJ139" i="11"/>
  <c r="AJ155" i="11"/>
  <c r="AJ96" i="11"/>
  <c r="AJ112" i="11"/>
  <c r="AJ128" i="11"/>
  <c r="AJ144" i="11"/>
  <c r="AJ160" i="11"/>
  <c r="AJ101" i="11"/>
  <c r="AJ117" i="11"/>
  <c r="AJ133" i="11"/>
  <c r="AJ149" i="11"/>
  <c r="AJ169" i="11"/>
  <c r="AJ150" i="11"/>
  <c r="AJ154" i="11"/>
  <c r="AJ95" i="11"/>
  <c r="AJ166" i="11"/>
  <c r="AJ110" i="11"/>
  <c r="AJ162" i="11"/>
  <c r="AJ98" i="11"/>
  <c r="AJ130" i="11"/>
  <c r="AU17" i="11"/>
  <c r="AJ103" i="11"/>
  <c r="AJ151" i="11"/>
  <c r="AJ124" i="11"/>
  <c r="AJ97" i="11"/>
  <c r="AJ129" i="11"/>
  <c r="AJ134" i="11"/>
  <c r="AJ146" i="11"/>
  <c r="AJ111" i="11"/>
  <c r="AJ127" i="11"/>
  <c r="AJ143" i="11"/>
  <c r="AJ159" i="11"/>
  <c r="AJ100" i="11"/>
  <c r="AJ116" i="11"/>
  <c r="AJ132" i="11"/>
  <c r="AJ148" i="11"/>
  <c r="AJ164" i="11"/>
  <c r="AJ105" i="11"/>
  <c r="AJ121" i="11"/>
  <c r="AJ137" i="11"/>
  <c r="AJ153" i="11"/>
  <c r="AJ102" i="11"/>
  <c r="AJ106" i="11"/>
  <c r="AJ93" i="11"/>
  <c r="AT18" i="11"/>
  <c r="AJ119" i="11"/>
  <c r="AJ167" i="11"/>
  <c r="AJ140" i="11"/>
  <c r="AJ99" i="11"/>
  <c r="AJ115" i="11"/>
  <c r="AJ131" i="11"/>
  <c r="AJ147" i="11"/>
  <c r="AJ163" i="11"/>
  <c r="AJ104" i="11"/>
  <c r="AJ120" i="11"/>
  <c r="AJ136" i="11"/>
  <c r="AJ152" i="11"/>
  <c r="AJ168" i="11"/>
  <c r="AJ109" i="11"/>
  <c r="AJ125" i="11"/>
  <c r="AJ141" i="11"/>
  <c r="AJ161" i="11"/>
  <c r="AJ118" i="11"/>
  <c r="AJ122" i="11"/>
  <c r="AJ94" i="11"/>
  <c r="AJ126" i="11"/>
  <c r="AJ157" i="11"/>
  <c r="AJ114" i="11"/>
  <c r="AS17" i="11"/>
  <c r="AZ16" i="11"/>
  <c r="BA16" i="11"/>
  <c r="AV17" i="11"/>
  <c r="AY32" i="11"/>
  <c r="BA17" i="11"/>
  <c r="AV16" i="11"/>
  <c r="AS15" i="11"/>
  <c r="AS18" i="11" s="1"/>
  <c r="AZ32" i="11"/>
  <c r="BB32" i="11" s="1"/>
  <c r="AY17" i="11"/>
  <c r="Z128" i="11"/>
  <c r="AU15" i="11"/>
  <c r="AZ15" i="11"/>
  <c r="BA12" i="11"/>
  <c r="BB12" i="11" s="1"/>
  <c r="AY15" i="11"/>
  <c r="BB15" i="11" s="1"/>
  <c r="BA31" i="11"/>
  <c r="AZ31" i="11"/>
  <c r="AZ33" i="11"/>
  <c r="AY33" i="11"/>
  <c r="BA28" i="11"/>
  <c r="BB28" i="11" s="1"/>
  <c r="AU28" i="11"/>
  <c r="AV28" i="11" s="1"/>
  <c r="Z96" i="11"/>
  <c r="AU18" i="11"/>
  <c r="AT33" i="11"/>
  <c r="AU33" i="11"/>
  <c r="AS33" i="11"/>
  <c r="AU32" i="11"/>
  <c r="AT32" i="11"/>
  <c r="AT31" i="11"/>
  <c r="AU31" i="11"/>
  <c r="AS31" i="11"/>
  <c r="Z140" i="11"/>
  <c r="Z124" i="11"/>
  <c r="Z108" i="11"/>
  <c r="Z92" i="11"/>
  <c r="Z136" i="11"/>
  <c r="Z120" i="11"/>
  <c r="Z104" i="11"/>
  <c r="Z88" i="11"/>
  <c r="Z132" i="11"/>
  <c r="Z116" i="11"/>
  <c r="Z100" i="11"/>
  <c r="Z84" i="11"/>
  <c r="AA71" i="11"/>
  <c r="AA56" i="11"/>
  <c r="AA40" i="11"/>
  <c r="AA24" i="11"/>
  <c r="Z138" i="11"/>
  <c r="AA138" i="11" s="1"/>
  <c r="AA67" i="11"/>
  <c r="Z134" i="11"/>
  <c r="AA63" i="11"/>
  <c r="Z130" i="11"/>
  <c r="AA130" i="11" s="1"/>
  <c r="AA59" i="11"/>
  <c r="Z126" i="11"/>
  <c r="AA55" i="11"/>
  <c r="Z122" i="11"/>
  <c r="AA51" i="11"/>
  <c r="Z118" i="11"/>
  <c r="AA47" i="11"/>
  <c r="Z114" i="11"/>
  <c r="AA114" i="11" s="1"/>
  <c r="AA43" i="11"/>
  <c r="Z110" i="11"/>
  <c r="AA39" i="11"/>
  <c r="Z106" i="11"/>
  <c r="AA35" i="11"/>
  <c r="Z102" i="11"/>
  <c r="AA102" i="11" s="1"/>
  <c r="AA31" i="11"/>
  <c r="Z98" i="11"/>
  <c r="AA98" i="11" s="1"/>
  <c r="AA27" i="11"/>
  <c r="Z94" i="11"/>
  <c r="AA23" i="11"/>
  <c r="Z90" i="11"/>
  <c r="AA19" i="11"/>
  <c r="Z86" i="11"/>
  <c r="AA15" i="11"/>
  <c r="Z82" i="11"/>
  <c r="AA82" i="11" s="1"/>
  <c r="AA11" i="11"/>
  <c r="AA68" i="11"/>
  <c r="AA52" i="11"/>
  <c r="AA36" i="11"/>
  <c r="AA20" i="11"/>
  <c r="AA64" i="11"/>
  <c r="AA48" i="11"/>
  <c r="AA32" i="11"/>
  <c r="AA16" i="11"/>
  <c r="AA72" i="11"/>
  <c r="AA60" i="11"/>
  <c r="AA44" i="11"/>
  <c r="AA28" i="11"/>
  <c r="AA12" i="11"/>
  <c r="AA70" i="11"/>
  <c r="AA66" i="11"/>
  <c r="AA62" i="11"/>
  <c r="AA58" i="11"/>
  <c r="AA54" i="11"/>
  <c r="AA50" i="11"/>
  <c r="AA46" i="11"/>
  <c r="AA42" i="11"/>
  <c r="AA38" i="11"/>
  <c r="AA34" i="11"/>
  <c r="AA30" i="11"/>
  <c r="AA26" i="11"/>
  <c r="AA22" i="11"/>
  <c r="AA18" i="11"/>
  <c r="AA14" i="11"/>
  <c r="AA10" i="11"/>
  <c r="AA74" i="11" s="1"/>
  <c r="AA81" i="11"/>
  <c r="AJ86" i="11"/>
  <c r="AA139" i="11"/>
  <c r="AA119" i="11"/>
  <c r="AA135" i="11"/>
  <c r="AA93" i="11"/>
  <c r="AA109" i="11"/>
  <c r="AA87" i="11"/>
  <c r="AA143" i="11"/>
  <c r="AA125" i="11"/>
  <c r="AA103" i="11"/>
  <c r="AA142" i="11"/>
  <c r="AA134" i="11"/>
  <c r="AA129" i="11"/>
  <c r="AA123" i="11"/>
  <c r="AA118" i="11"/>
  <c r="AA113" i="11"/>
  <c r="AA107" i="11"/>
  <c r="AA97" i="11"/>
  <c r="AA91" i="11"/>
  <c r="AA86" i="11"/>
  <c r="AA84" i="11"/>
  <c r="AA88" i="11"/>
  <c r="AA92" i="11"/>
  <c r="AA96" i="11"/>
  <c r="AA100" i="11"/>
  <c r="AA104" i="11"/>
  <c r="AA108" i="11"/>
  <c r="AA112" i="11"/>
  <c r="AA116" i="11"/>
  <c r="AA120" i="11"/>
  <c r="AA124" i="11"/>
  <c r="AA128" i="11"/>
  <c r="AA132" i="11"/>
  <c r="AA141" i="11"/>
  <c r="AA137" i="11"/>
  <c r="AA133" i="11"/>
  <c r="AA127" i="11"/>
  <c r="AA122" i="11"/>
  <c r="AA117" i="11"/>
  <c r="AA111" i="11"/>
  <c r="AA106" i="11"/>
  <c r="AA101" i="11"/>
  <c r="AA95" i="11"/>
  <c r="AA85" i="11"/>
  <c r="AA90" i="11"/>
  <c r="AA80" i="11"/>
  <c r="AA140" i="11"/>
  <c r="AA136" i="11"/>
  <c r="AA131" i="11"/>
  <c r="AA126" i="11"/>
  <c r="AA121" i="11"/>
  <c r="AA115" i="11"/>
  <c r="AA110" i="11"/>
  <c r="AA105" i="11"/>
  <c r="AA99" i="11"/>
  <c r="AA94" i="11"/>
  <c r="AA89" i="11"/>
  <c r="AA83" i="11"/>
  <c r="AA73" i="11"/>
  <c r="AB65" i="11" s="1"/>
  <c r="Q140" i="11"/>
  <c r="R140" i="11" s="1"/>
  <c r="Q124" i="11"/>
  <c r="R124" i="11" s="1"/>
  <c r="Q108" i="11"/>
  <c r="R108" i="11" s="1"/>
  <c r="Q92" i="11"/>
  <c r="R92" i="11" s="1"/>
  <c r="Q136" i="11"/>
  <c r="R136" i="11" s="1"/>
  <c r="Q120" i="11"/>
  <c r="R120" i="11" s="1"/>
  <c r="Q104" i="11"/>
  <c r="R104" i="11" s="1"/>
  <c r="Q88" i="11"/>
  <c r="R88" i="11" s="1"/>
  <c r="Q132" i="11"/>
  <c r="R132" i="11" s="1"/>
  <c r="Q116" i="11"/>
  <c r="R116" i="11" s="1"/>
  <c r="Q100" i="11"/>
  <c r="R100" i="11" s="1"/>
  <c r="Q84" i="11"/>
  <c r="R84" i="11" s="1"/>
  <c r="Q80" i="11"/>
  <c r="Q128" i="11"/>
  <c r="R128" i="11" s="1"/>
  <c r="Q112" i="11"/>
  <c r="R112" i="11" s="1"/>
  <c r="Q96" i="11"/>
  <c r="R96" i="11" s="1"/>
  <c r="Q141" i="11"/>
  <c r="R141" i="11" s="1"/>
  <c r="Q137" i="11"/>
  <c r="R137" i="11" s="1"/>
  <c r="Q133" i="11"/>
  <c r="R133" i="11" s="1"/>
  <c r="Q129" i="11"/>
  <c r="R129" i="11" s="1"/>
  <c r="Q125" i="11"/>
  <c r="R125" i="11" s="1"/>
  <c r="Q121" i="11"/>
  <c r="R121" i="11" s="1"/>
  <c r="Q117" i="11"/>
  <c r="R117" i="11" s="1"/>
  <c r="Q113" i="11"/>
  <c r="R113" i="11" s="1"/>
  <c r="Q109" i="11"/>
  <c r="R109" i="11" s="1"/>
  <c r="Q105" i="11"/>
  <c r="R105" i="11" s="1"/>
  <c r="Q101" i="11"/>
  <c r="R101" i="11" s="1"/>
  <c r="Q97" i="11"/>
  <c r="R97" i="11" s="1"/>
  <c r="Q93" i="11"/>
  <c r="R93" i="11" s="1"/>
  <c r="Q89" i="11"/>
  <c r="R89" i="11" s="1"/>
  <c r="Q85" i="11"/>
  <c r="R85" i="11" s="1"/>
  <c r="Q81" i="11"/>
  <c r="R81" i="11" s="1"/>
  <c r="Q143" i="11"/>
  <c r="R143" i="11" s="1"/>
  <c r="Q139" i="11"/>
  <c r="R139" i="11" s="1"/>
  <c r="Q135" i="11"/>
  <c r="R135" i="11" s="1"/>
  <c r="Q131" i="11"/>
  <c r="R131" i="11" s="1"/>
  <c r="Q127" i="11"/>
  <c r="R127" i="11" s="1"/>
  <c r="Q123" i="11"/>
  <c r="R123" i="11" s="1"/>
  <c r="Q119" i="11"/>
  <c r="R119" i="11" s="1"/>
  <c r="Q115" i="11"/>
  <c r="R115" i="11" s="1"/>
  <c r="Q111" i="11"/>
  <c r="R111" i="11" s="1"/>
  <c r="Q107" i="11"/>
  <c r="R107" i="11" s="1"/>
  <c r="Q103" i="11"/>
  <c r="R103" i="11" s="1"/>
  <c r="Q99" i="11"/>
  <c r="R99" i="11" s="1"/>
  <c r="Q95" i="11"/>
  <c r="R95" i="11" s="1"/>
  <c r="Q91" i="11"/>
  <c r="R91" i="11" s="1"/>
  <c r="Q87" i="11"/>
  <c r="R87" i="11" s="1"/>
  <c r="Q83" i="11"/>
  <c r="R83" i="11" s="1"/>
  <c r="R80" i="11"/>
  <c r="Q142" i="11"/>
  <c r="R142" i="11" s="1"/>
  <c r="Q138" i="11"/>
  <c r="R138" i="11" s="1"/>
  <c r="Q134" i="11"/>
  <c r="R134" i="11" s="1"/>
  <c r="Q130" i="11"/>
  <c r="R130" i="11" s="1"/>
  <c r="Q126" i="11"/>
  <c r="R126" i="11" s="1"/>
  <c r="Q122" i="11"/>
  <c r="R122" i="11" s="1"/>
  <c r="Q118" i="11"/>
  <c r="R118" i="11" s="1"/>
  <c r="Q114" i="11"/>
  <c r="R114" i="11" s="1"/>
  <c r="Q110" i="11"/>
  <c r="R110" i="11" s="1"/>
  <c r="Q106" i="11"/>
  <c r="R106" i="11" s="1"/>
  <c r="Q102" i="11"/>
  <c r="R102" i="11" s="1"/>
  <c r="Q98" i="11"/>
  <c r="R98" i="11" s="1"/>
  <c r="Q94" i="11"/>
  <c r="R94" i="11" s="1"/>
  <c r="Q90" i="11"/>
  <c r="R90" i="11" s="1"/>
  <c r="Q86" i="11"/>
  <c r="R86" i="11" s="1"/>
  <c r="Q82" i="11"/>
  <c r="R82" i="11" s="1"/>
  <c r="R73" i="11"/>
  <c r="S74" i="11" s="1"/>
  <c r="FI4" i="1"/>
  <c r="FJ4" i="1"/>
  <c r="FI5" i="1"/>
  <c r="FJ5" i="1"/>
  <c r="FI6" i="1"/>
  <c r="FJ6" i="1"/>
  <c r="FI7" i="1"/>
  <c r="FJ7" i="1"/>
  <c r="FI8" i="1"/>
  <c r="FJ8" i="1"/>
  <c r="FI9" i="1"/>
  <c r="FJ9" i="1"/>
  <c r="FI10" i="1"/>
  <c r="FJ10" i="1"/>
  <c r="FI11" i="1"/>
  <c r="FJ11" i="1"/>
  <c r="FI12" i="1"/>
  <c r="FJ12" i="1"/>
  <c r="FI13" i="1"/>
  <c r="FJ13" i="1"/>
  <c r="FI14" i="1"/>
  <c r="FJ14" i="1"/>
  <c r="FI15" i="1"/>
  <c r="FJ15" i="1"/>
  <c r="FI16" i="1"/>
  <c r="FJ16" i="1"/>
  <c r="FI17" i="1"/>
  <c r="FJ17" i="1"/>
  <c r="FI18" i="1"/>
  <c r="FJ18" i="1"/>
  <c r="FI19" i="1"/>
  <c r="FJ19" i="1"/>
  <c r="FI20" i="1"/>
  <c r="FJ20" i="1"/>
  <c r="FI21" i="1"/>
  <c r="FJ21" i="1"/>
  <c r="FI22" i="1"/>
  <c r="FJ22" i="1"/>
  <c r="FI23" i="1"/>
  <c r="FJ23" i="1"/>
  <c r="FI24" i="1"/>
  <c r="FJ24" i="1"/>
  <c r="FI25" i="1"/>
  <c r="FJ25" i="1"/>
  <c r="FI26" i="1"/>
  <c r="FJ26" i="1"/>
  <c r="FI27" i="1"/>
  <c r="FJ27" i="1"/>
  <c r="FI28" i="1"/>
  <c r="FJ28" i="1"/>
  <c r="FI29" i="1"/>
  <c r="FJ29" i="1"/>
  <c r="FI30" i="1"/>
  <c r="FJ30" i="1"/>
  <c r="FI31" i="1"/>
  <c r="FJ31" i="1"/>
  <c r="FI32" i="1"/>
  <c r="FJ32" i="1"/>
  <c r="FI33" i="1"/>
  <c r="FJ33" i="1"/>
  <c r="FI34" i="1"/>
  <c r="FJ34" i="1"/>
  <c r="FI35" i="1"/>
  <c r="FJ35" i="1"/>
  <c r="FI36" i="1"/>
  <c r="FJ36" i="1"/>
  <c r="FI37" i="1"/>
  <c r="FJ37" i="1"/>
  <c r="FI38" i="1"/>
  <c r="FJ38" i="1"/>
  <c r="FI39" i="1"/>
  <c r="FJ39" i="1"/>
  <c r="FI40" i="1"/>
  <c r="FJ40" i="1"/>
  <c r="FI41" i="1"/>
  <c r="FJ41" i="1"/>
  <c r="FI42" i="1"/>
  <c r="FJ42" i="1"/>
  <c r="FI43" i="1"/>
  <c r="FJ43" i="1"/>
  <c r="FI44" i="1"/>
  <c r="FJ44" i="1"/>
  <c r="FI45" i="1"/>
  <c r="FJ45" i="1"/>
  <c r="FI46" i="1"/>
  <c r="FJ46" i="1"/>
  <c r="FI47" i="1"/>
  <c r="FJ47" i="1"/>
  <c r="FI48" i="1"/>
  <c r="FJ48" i="1"/>
  <c r="FI49" i="1"/>
  <c r="FJ49" i="1"/>
  <c r="FI50" i="1"/>
  <c r="FJ50" i="1"/>
  <c r="FI51" i="1"/>
  <c r="FJ51" i="1"/>
  <c r="FI52" i="1"/>
  <c r="FJ52" i="1"/>
  <c r="FI53" i="1"/>
  <c r="FJ53" i="1"/>
  <c r="FI54" i="1"/>
  <c r="FJ54" i="1"/>
  <c r="FI55" i="1"/>
  <c r="FJ55" i="1"/>
  <c r="FI56" i="1"/>
  <c r="FJ56" i="1"/>
  <c r="FI57" i="1"/>
  <c r="FJ57" i="1"/>
  <c r="FI58" i="1"/>
  <c r="FJ58" i="1"/>
  <c r="FI59" i="1"/>
  <c r="FJ59" i="1"/>
  <c r="FI60" i="1"/>
  <c r="FJ60" i="1"/>
  <c r="FI61" i="1"/>
  <c r="FJ61" i="1"/>
  <c r="FI62" i="1"/>
  <c r="FJ62" i="1"/>
  <c r="FI63" i="1"/>
  <c r="FJ63" i="1"/>
  <c r="FI64" i="1"/>
  <c r="FJ64" i="1"/>
  <c r="FI65" i="1"/>
  <c r="FJ65" i="1"/>
  <c r="FI66" i="1"/>
  <c r="FJ66" i="1"/>
  <c r="FI67" i="1"/>
  <c r="FJ67" i="1"/>
  <c r="FI68" i="1"/>
  <c r="FJ68" i="1"/>
  <c r="FI69" i="1"/>
  <c r="FJ69" i="1"/>
  <c r="FI70" i="1"/>
  <c r="FJ70" i="1"/>
  <c r="FI71" i="1"/>
  <c r="FJ71" i="1"/>
  <c r="FI72" i="1"/>
  <c r="FJ72" i="1"/>
  <c r="FI73" i="1"/>
  <c r="FJ73" i="1"/>
  <c r="FI74" i="1"/>
  <c r="FJ74" i="1"/>
  <c r="FI75" i="1"/>
  <c r="FJ75" i="1"/>
  <c r="FI76" i="1"/>
  <c r="FJ76" i="1"/>
  <c r="FI77" i="1"/>
  <c r="FJ77" i="1"/>
  <c r="FI78" i="1"/>
  <c r="FJ78" i="1"/>
  <c r="FI79" i="1"/>
  <c r="FJ79" i="1"/>
  <c r="FI80" i="1"/>
  <c r="FJ80" i="1"/>
  <c r="FI81" i="1"/>
  <c r="FJ81" i="1"/>
  <c r="FI82" i="1"/>
  <c r="FJ82" i="1"/>
  <c r="FI83" i="1"/>
  <c r="FJ83" i="1"/>
  <c r="FI84" i="1"/>
  <c r="FJ84" i="1"/>
  <c r="FI85" i="1"/>
  <c r="FJ85" i="1"/>
  <c r="FI86" i="1"/>
  <c r="FJ86" i="1"/>
  <c r="FI87" i="1"/>
  <c r="FJ87" i="1"/>
  <c r="FI88" i="1"/>
  <c r="FJ88" i="1"/>
  <c r="FI89" i="1"/>
  <c r="FJ89" i="1"/>
  <c r="FI90" i="1"/>
  <c r="FJ90" i="1"/>
  <c r="FI91" i="1"/>
  <c r="FJ91" i="1"/>
  <c r="FI92" i="1"/>
  <c r="FJ92" i="1"/>
  <c r="FI93" i="1"/>
  <c r="FJ93" i="1"/>
  <c r="FI94" i="1"/>
  <c r="FJ94" i="1"/>
  <c r="FI95" i="1"/>
  <c r="FJ95" i="1"/>
  <c r="FI96" i="1"/>
  <c r="FJ96" i="1"/>
  <c r="FI97" i="1"/>
  <c r="FJ97" i="1"/>
  <c r="FI98" i="1"/>
  <c r="FJ98" i="1"/>
  <c r="FI99" i="1"/>
  <c r="FJ99" i="1"/>
  <c r="FI100" i="1"/>
  <c r="FJ100" i="1"/>
  <c r="FI101" i="1"/>
  <c r="FJ101" i="1"/>
  <c r="FI102" i="1"/>
  <c r="FJ102" i="1"/>
  <c r="FI103" i="1"/>
  <c r="FJ103" i="1"/>
  <c r="FI104" i="1"/>
  <c r="FJ104" i="1"/>
  <c r="FI105" i="1"/>
  <c r="FJ105" i="1"/>
  <c r="FI106" i="1"/>
  <c r="FJ106" i="1"/>
  <c r="FI107" i="1"/>
  <c r="FJ107" i="1"/>
  <c r="FI108" i="1"/>
  <c r="FJ108" i="1"/>
  <c r="FI109" i="1"/>
  <c r="FJ109" i="1"/>
  <c r="FI110" i="1"/>
  <c r="FJ110" i="1"/>
  <c r="FI111" i="1"/>
  <c r="FJ111" i="1"/>
  <c r="FI112" i="1"/>
  <c r="FJ112" i="1"/>
  <c r="FI113" i="1"/>
  <c r="FJ113" i="1"/>
  <c r="FI114" i="1"/>
  <c r="FJ114" i="1"/>
  <c r="FI115" i="1"/>
  <c r="FJ115" i="1"/>
  <c r="FI116" i="1"/>
  <c r="FJ116" i="1"/>
  <c r="FI117" i="1"/>
  <c r="FJ117" i="1"/>
  <c r="FI118" i="1"/>
  <c r="FJ118" i="1"/>
  <c r="FI119" i="1"/>
  <c r="FJ119" i="1"/>
  <c r="FI120" i="1"/>
  <c r="FJ120" i="1"/>
  <c r="FI121" i="1"/>
  <c r="FJ121" i="1"/>
  <c r="FI122" i="1"/>
  <c r="FJ122" i="1"/>
  <c r="FI123" i="1"/>
  <c r="FJ123" i="1"/>
  <c r="FI124" i="1"/>
  <c r="FJ124" i="1"/>
  <c r="FI125" i="1"/>
  <c r="FJ125" i="1"/>
  <c r="FI126" i="1"/>
  <c r="FJ126" i="1"/>
  <c r="FI127" i="1"/>
  <c r="FJ127" i="1"/>
  <c r="FI128" i="1"/>
  <c r="FJ128" i="1"/>
  <c r="FI129" i="1"/>
  <c r="FJ129" i="1"/>
  <c r="FI130" i="1"/>
  <c r="FJ130" i="1"/>
  <c r="FI131" i="1"/>
  <c r="FJ131" i="1"/>
  <c r="FI132" i="1"/>
  <c r="FJ132" i="1"/>
  <c r="FI133" i="1"/>
  <c r="FJ133" i="1"/>
  <c r="FI134" i="1"/>
  <c r="FJ134" i="1"/>
  <c r="FI135" i="1"/>
  <c r="FJ135" i="1"/>
  <c r="FI136" i="1"/>
  <c r="FJ136" i="1"/>
  <c r="FI137" i="1"/>
  <c r="FJ137" i="1"/>
  <c r="FI138" i="1"/>
  <c r="FJ138" i="1"/>
  <c r="FI139" i="1"/>
  <c r="FJ139" i="1"/>
  <c r="FI140" i="1"/>
  <c r="FJ140" i="1"/>
  <c r="FI141" i="1"/>
  <c r="FJ141" i="1"/>
  <c r="FI142" i="1"/>
  <c r="FJ142" i="1"/>
  <c r="FI143" i="1"/>
  <c r="FJ143" i="1"/>
  <c r="FI144" i="1"/>
  <c r="FJ144" i="1"/>
  <c r="FI145" i="1"/>
  <c r="FJ145" i="1"/>
  <c r="FI146" i="1"/>
  <c r="FJ146" i="1"/>
  <c r="FI147" i="1"/>
  <c r="FJ147" i="1"/>
  <c r="FI148" i="1"/>
  <c r="FJ148" i="1"/>
  <c r="FI149" i="1"/>
  <c r="FJ149" i="1"/>
  <c r="FI150" i="1"/>
  <c r="FJ150" i="1"/>
  <c r="FI151" i="1"/>
  <c r="FJ151" i="1"/>
  <c r="FI152" i="1"/>
  <c r="FJ152" i="1"/>
  <c r="FI153" i="1"/>
  <c r="FJ153" i="1"/>
  <c r="FI154" i="1"/>
  <c r="FJ154" i="1"/>
  <c r="FI155" i="1"/>
  <c r="FJ155" i="1"/>
  <c r="FI156" i="1"/>
  <c r="FJ156" i="1"/>
  <c r="FI157" i="1"/>
  <c r="FJ157" i="1"/>
  <c r="FI158" i="1"/>
  <c r="FJ158" i="1"/>
  <c r="FI159" i="1"/>
  <c r="FJ159" i="1"/>
  <c r="FI160" i="1"/>
  <c r="FJ160" i="1"/>
  <c r="FI161" i="1"/>
  <c r="FJ161" i="1"/>
  <c r="FI162" i="1"/>
  <c r="FJ162" i="1"/>
  <c r="FI163" i="1"/>
  <c r="FJ163" i="1"/>
  <c r="FI164" i="1"/>
  <c r="FJ164" i="1"/>
  <c r="FI165" i="1"/>
  <c r="FJ165" i="1"/>
  <c r="FI166" i="1"/>
  <c r="FJ166" i="1"/>
  <c r="FI167" i="1"/>
  <c r="FJ167" i="1"/>
  <c r="FI168" i="1"/>
  <c r="FJ168" i="1"/>
  <c r="FI169" i="1"/>
  <c r="FJ169" i="1"/>
  <c r="FI170" i="1"/>
  <c r="FJ170" i="1"/>
  <c r="FI171" i="1"/>
  <c r="FJ171" i="1"/>
  <c r="FI172" i="1"/>
  <c r="FJ172" i="1"/>
  <c r="FI173" i="1"/>
  <c r="FJ173" i="1"/>
  <c r="FI174" i="1"/>
  <c r="FJ174" i="1"/>
  <c r="FI175" i="1"/>
  <c r="FJ175" i="1"/>
  <c r="FI176" i="1"/>
  <c r="FJ176" i="1"/>
  <c r="FI177" i="1"/>
  <c r="FJ177" i="1"/>
  <c r="FI178" i="1"/>
  <c r="FJ178" i="1"/>
  <c r="FI179" i="1"/>
  <c r="FJ179" i="1"/>
  <c r="FI180" i="1"/>
  <c r="FJ180" i="1"/>
  <c r="FI181" i="1"/>
  <c r="FJ181" i="1"/>
  <c r="FI182" i="1"/>
  <c r="FJ182" i="1"/>
  <c r="FI183" i="1"/>
  <c r="FJ183" i="1"/>
  <c r="FI184" i="1"/>
  <c r="FJ184" i="1"/>
  <c r="FI185" i="1"/>
  <c r="FJ185" i="1"/>
  <c r="FI186" i="1"/>
  <c r="FJ186" i="1"/>
  <c r="FI187" i="1"/>
  <c r="FJ187" i="1"/>
  <c r="FI188" i="1"/>
  <c r="FJ188" i="1"/>
  <c r="FI189" i="1"/>
  <c r="FJ189" i="1"/>
  <c r="FI190" i="1"/>
  <c r="FJ190" i="1"/>
  <c r="FI191" i="1"/>
  <c r="FJ191" i="1"/>
  <c r="FI192" i="1"/>
  <c r="FJ192" i="1"/>
  <c r="FI193" i="1"/>
  <c r="FJ193" i="1"/>
  <c r="FI194" i="1"/>
  <c r="FJ194" i="1"/>
  <c r="FI195" i="1"/>
  <c r="FJ195" i="1"/>
  <c r="FI196" i="1"/>
  <c r="FJ196" i="1"/>
  <c r="FI197" i="1"/>
  <c r="FJ197" i="1"/>
  <c r="FI198" i="1"/>
  <c r="FJ198" i="1"/>
  <c r="FI199" i="1"/>
  <c r="FJ199" i="1"/>
  <c r="FI200" i="1"/>
  <c r="FJ200" i="1"/>
  <c r="FI201" i="1"/>
  <c r="FJ201" i="1"/>
  <c r="FI202" i="1"/>
  <c r="FJ202" i="1"/>
  <c r="FI203" i="1"/>
  <c r="FJ203" i="1"/>
  <c r="FI204" i="1"/>
  <c r="FJ204" i="1"/>
  <c r="FI205" i="1"/>
  <c r="FJ205" i="1"/>
  <c r="FI206" i="1"/>
  <c r="FJ206" i="1"/>
  <c r="FI207" i="1"/>
  <c r="FJ207" i="1"/>
  <c r="FI208" i="1"/>
  <c r="FJ208" i="1"/>
  <c r="FI209" i="1"/>
  <c r="FJ209" i="1"/>
  <c r="FI210" i="1"/>
  <c r="FJ210" i="1"/>
  <c r="FI211" i="1"/>
  <c r="FJ211" i="1"/>
  <c r="FI212" i="1"/>
  <c r="FJ212" i="1"/>
  <c r="FI213" i="1"/>
  <c r="FJ213" i="1"/>
  <c r="FI214" i="1"/>
  <c r="FJ214" i="1"/>
  <c r="FI215" i="1"/>
  <c r="FJ215" i="1"/>
  <c r="FI216" i="1"/>
  <c r="FJ216" i="1"/>
  <c r="FI217" i="1"/>
  <c r="FJ217" i="1"/>
  <c r="FI218" i="1"/>
  <c r="FJ218" i="1"/>
  <c r="FI219" i="1"/>
  <c r="FJ219" i="1"/>
  <c r="FI220" i="1"/>
  <c r="FJ220" i="1"/>
  <c r="FI221" i="1"/>
  <c r="FJ221" i="1"/>
  <c r="FI222" i="1"/>
  <c r="FJ222" i="1"/>
  <c r="FI223" i="1"/>
  <c r="FJ223" i="1"/>
  <c r="FI224" i="1"/>
  <c r="FJ224" i="1"/>
  <c r="FI225" i="1"/>
  <c r="FJ225" i="1"/>
  <c r="FI226" i="1"/>
  <c r="FJ226" i="1"/>
  <c r="FI227" i="1"/>
  <c r="FJ227" i="1"/>
  <c r="FI228" i="1"/>
  <c r="FJ228" i="1"/>
  <c r="FI229" i="1"/>
  <c r="FJ229" i="1"/>
  <c r="FI230" i="1"/>
  <c r="FJ230" i="1"/>
  <c r="FI231" i="1"/>
  <c r="FJ231" i="1"/>
  <c r="FI232" i="1"/>
  <c r="FJ232" i="1"/>
  <c r="FI233" i="1"/>
  <c r="FJ233" i="1"/>
  <c r="FI234" i="1"/>
  <c r="FJ234" i="1"/>
  <c r="FI235" i="1"/>
  <c r="FJ235" i="1"/>
  <c r="FI236" i="1"/>
  <c r="FJ236" i="1"/>
  <c r="FI237" i="1"/>
  <c r="FJ237" i="1"/>
  <c r="FI238" i="1"/>
  <c r="FJ238" i="1"/>
  <c r="FI239" i="1"/>
  <c r="FJ239" i="1"/>
  <c r="FI240" i="1"/>
  <c r="FJ240" i="1"/>
  <c r="FI241" i="1"/>
  <c r="FJ241" i="1"/>
  <c r="FI242" i="1"/>
  <c r="FJ242" i="1"/>
  <c r="FI243" i="1"/>
  <c r="FJ243" i="1"/>
  <c r="FI244" i="1"/>
  <c r="FJ244" i="1"/>
  <c r="FI245" i="1"/>
  <c r="FJ245" i="1"/>
  <c r="FI246" i="1"/>
  <c r="FJ246" i="1"/>
  <c r="FI247" i="1"/>
  <c r="FJ247" i="1"/>
  <c r="FI248" i="1"/>
  <c r="FJ248" i="1"/>
  <c r="FI249" i="1"/>
  <c r="FJ249" i="1"/>
  <c r="FI250" i="1"/>
  <c r="FJ250" i="1"/>
  <c r="FI251" i="1"/>
  <c r="FJ251" i="1"/>
  <c r="FI252" i="1"/>
  <c r="FJ252" i="1"/>
  <c r="FI253" i="1"/>
  <c r="FJ253" i="1"/>
  <c r="FI254" i="1"/>
  <c r="FJ254" i="1"/>
  <c r="FI255" i="1"/>
  <c r="FJ255" i="1"/>
  <c r="FI256" i="1"/>
  <c r="FJ256" i="1"/>
  <c r="FI257" i="1"/>
  <c r="FJ257" i="1"/>
  <c r="FI258" i="1"/>
  <c r="FJ258" i="1"/>
  <c r="FI259" i="1"/>
  <c r="FJ259" i="1"/>
  <c r="FI260" i="1"/>
  <c r="FJ260" i="1"/>
  <c r="FI261" i="1"/>
  <c r="FJ261" i="1"/>
  <c r="FI262" i="1"/>
  <c r="FJ262" i="1"/>
  <c r="FI263" i="1"/>
  <c r="FJ263" i="1"/>
  <c r="FI264" i="1"/>
  <c r="FJ264" i="1"/>
  <c r="FI265" i="1"/>
  <c r="FJ265" i="1"/>
  <c r="FI266" i="1"/>
  <c r="FJ266" i="1"/>
  <c r="FI267" i="1"/>
  <c r="FJ267" i="1"/>
  <c r="FI268" i="1"/>
  <c r="FJ268" i="1"/>
  <c r="FI269" i="1"/>
  <c r="FJ269" i="1"/>
  <c r="FI270" i="1"/>
  <c r="FJ270" i="1"/>
  <c r="FI271" i="1"/>
  <c r="FJ271" i="1"/>
  <c r="FI272" i="1"/>
  <c r="FJ272" i="1"/>
  <c r="FI273" i="1"/>
  <c r="FJ273" i="1"/>
  <c r="FJ3" i="1"/>
  <c r="FI3" i="1"/>
  <c r="BS31" i="15" l="1"/>
  <c r="BS34" i="15"/>
  <c r="BS41" i="15"/>
  <c r="BS11" i="15"/>
  <c r="BS22" i="15"/>
  <c r="BS13" i="15"/>
  <c r="BS15" i="15"/>
  <c r="BS18" i="15"/>
  <c r="BS36" i="15"/>
  <c r="BS28" i="15"/>
  <c r="BS12" i="15"/>
  <c r="BS16" i="15"/>
  <c r="BS40" i="15"/>
  <c r="BS32" i="15"/>
  <c r="BS24" i="15"/>
  <c r="BS20" i="15"/>
  <c r="BS19" i="15"/>
  <c r="BS30" i="15"/>
  <c r="BS21" i="15"/>
  <c r="BS23" i="15"/>
  <c r="BS26" i="15"/>
  <c r="BS33" i="15"/>
  <c r="BS9" i="15"/>
  <c r="AB74" i="11"/>
  <c r="AK87" i="11"/>
  <c r="BB16" i="11"/>
  <c r="BJ14" i="11"/>
  <c r="AO15" i="11"/>
  <c r="AO27" i="11"/>
  <c r="AO54" i="11"/>
  <c r="AO60" i="11"/>
  <c r="AO41" i="11"/>
  <c r="AZ18" i="11"/>
  <c r="AO53" i="11"/>
  <c r="AO64" i="11"/>
  <c r="AO65" i="11"/>
  <c r="AO80" i="11"/>
  <c r="AO61" i="11"/>
  <c r="AO56" i="11"/>
  <c r="BJ30" i="11"/>
  <c r="AO84" i="11"/>
  <c r="AO71" i="11"/>
  <c r="AO44" i="11"/>
  <c r="AO30" i="11"/>
  <c r="AO50" i="11"/>
  <c r="BB17" i="11"/>
  <c r="AO35" i="11"/>
  <c r="AO68" i="11"/>
  <c r="AO26" i="11"/>
  <c r="AO72" i="11"/>
  <c r="AO23" i="11"/>
  <c r="AO11" i="11"/>
  <c r="BF31" i="11"/>
  <c r="BF15" i="11"/>
  <c r="AO39" i="11"/>
  <c r="AO69" i="11"/>
  <c r="AO42" i="11"/>
  <c r="AO16" i="11"/>
  <c r="AO12" i="11"/>
  <c r="AO83" i="11"/>
  <c r="AO63" i="11"/>
  <c r="AO57" i="11"/>
  <c r="AO46" i="11"/>
  <c r="AO36" i="11"/>
  <c r="AO13" i="11"/>
  <c r="AO77" i="11"/>
  <c r="AO66" i="11"/>
  <c r="AO28" i="11"/>
  <c r="AO40" i="11"/>
  <c r="AO17" i="11"/>
  <c r="AO81" i="11"/>
  <c r="AO70" i="11"/>
  <c r="AO52" i="11"/>
  <c r="AO67" i="11"/>
  <c r="AO21" i="11"/>
  <c r="AO85" i="11"/>
  <c r="AO58" i="11"/>
  <c r="AO51" i="11"/>
  <c r="AO31" i="11"/>
  <c r="AO73" i="11"/>
  <c r="AO62" i="11"/>
  <c r="AJ170" i="11"/>
  <c r="AK101" i="11" s="1"/>
  <c r="AO29" i="11"/>
  <c r="AO18" i="11"/>
  <c r="AO82" i="11"/>
  <c r="AO75" i="11"/>
  <c r="AO79" i="11"/>
  <c r="AO33" i="11"/>
  <c r="AO22" i="11"/>
  <c r="AO9" i="11"/>
  <c r="AO20" i="11"/>
  <c r="AO24" i="11"/>
  <c r="AO37" i="11"/>
  <c r="AO10" i="11"/>
  <c r="AO74" i="11"/>
  <c r="AO76" i="11"/>
  <c r="AO59" i="11"/>
  <c r="AO19" i="11"/>
  <c r="AO25" i="11"/>
  <c r="AO14" i="11"/>
  <c r="AO78" i="11"/>
  <c r="AO55" i="11"/>
  <c r="AO45" i="11"/>
  <c r="AN45" i="11" s="1" a="1"/>
  <c r="AN45" i="11" s="1"/>
  <c r="AO34" i="11"/>
  <c r="AO48" i="11"/>
  <c r="AO43" i="11"/>
  <c r="AO47" i="11"/>
  <c r="AN48" i="11" s="1" a="1"/>
  <c r="AN48" i="11" s="1"/>
  <c r="AO49" i="11"/>
  <c r="AO38" i="11"/>
  <c r="AO32" i="11"/>
  <c r="AV18" i="11"/>
  <c r="AV15" i="11"/>
  <c r="AU34" i="11"/>
  <c r="BA18" i="11"/>
  <c r="AY18" i="11"/>
  <c r="AZ34" i="11"/>
  <c r="BA34" i="11"/>
  <c r="BB31" i="11"/>
  <c r="BB33" i="11"/>
  <c r="AY34" i="11"/>
  <c r="AK149" i="11"/>
  <c r="AV32" i="11"/>
  <c r="AV33" i="11"/>
  <c r="AV31" i="11"/>
  <c r="AT34" i="11"/>
  <c r="AS34" i="11"/>
  <c r="S13" i="11"/>
  <c r="S29" i="11"/>
  <c r="S45" i="11"/>
  <c r="S61" i="11"/>
  <c r="S17" i="11"/>
  <c r="S33" i="11"/>
  <c r="S49" i="11"/>
  <c r="S65" i="11"/>
  <c r="S21" i="11"/>
  <c r="S37" i="11"/>
  <c r="S53" i="11"/>
  <c r="S69" i="11"/>
  <c r="S25" i="11"/>
  <c r="S41" i="11"/>
  <c r="S57" i="11"/>
  <c r="S9" i="11"/>
  <c r="AK48" i="11"/>
  <c r="AK84" i="11"/>
  <c r="AK30" i="11"/>
  <c r="AK23" i="11"/>
  <c r="AK75" i="11"/>
  <c r="AK70" i="11"/>
  <c r="AK43" i="11"/>
  <c r="AK11" i="11"/>
  <c r="AK45" i="11"/>
  <c r="AK82" i="11"/>
  <c r="AK26" i="11"/>
  <c r="AK59" i="11"/>
  <c r="AK81" i="11"/>
  <c r="AK41" i="11"/>
  <c r="AK60" i="11"/>
  <c r="AK14" i="11"/>
  <c r="AK15" i="11"/>
  <c r="AK37" i="11"/>
  <c r="AK35" i="11"/>
  <c r="AK67" i="11"/>
  <c r="AK77" i="11"/>
  <c r="AK29" i="11"/>
  <c r="AK66" i="11"/>
  <c r="AK18" i="11"/>
  <c r="AK55" i="11"/>
  <c r="AK73" i="11"/>
  <c r="AK33" i="11"/>
  <c r="AK56" i="11"/>
  <c r="AK78" i="11"/>
  <c r="AK39" i="11"/>
  <c r="AK71" i="11"/>
  <c r="AK74" i="11"/>
  <c r="AK38" i="11"/>
  <c r="AK27" i="11"/>
  <c r="AK79" i="11"/>
  <c r="AK69" i="11"/>
  <c r="AK21" i="11"/>
  <c r="AK10" i="11"/>
  <c r="AK51" i="11"/>
  <c r="AK65" i="11"/>
  <c r="AK25" i="11"/>
  <c r="AK52" i="11"/>
  <c r="AK46" i="11"/>
  <c r="AK31" i="11"/>
  <c r="AK83" i="11"/>
  <c r="AK34" i="11"/>
  <c r="AK22" i="11"/>
  <c r="AK19" i="11"/>
  <c r="AK9" i="11"/>
  <c r="AK13" i="11"/>
  <c r="AK42" i="11"/>
  <c r="AK63" i="11"/>
  <c r="AK47" i="11"/>
  <c r="AK17" i="11"/>
  <c r="AK68" i="11"/>
  <c r="AK20" i="11"/>
  <c r="AB22" i="11"/>
  <c r="AB38" i="11"/>
  <c r="AB54" i="11"/>
  <c r="AB70" i="11"/>
  <c r="AK24" i="11"/>
  <c r="AK28" i="11"/>
  <c r="AK49" i="11"/>
  <c r="AB60" i="11"/>
  <c r="AB21" i="11"/>
  <c r="AB37" i="11"/>
  <c r="AB53" i="11"/>
  <c r="AB69" i="11"/>
  <c r="AB48" i="11"/>
  <c r="S18" i="11"/>
  <c r="S34" i="11"/>
  <c r="S50" i="11"/>
  <c r="S66" i="11"/>
  <c r="S35" i="11"/>
  <c r="S67" i="11"/>
  <c r="AB20" i="11"/>
  <c r="AB11" i="11"/>
  <c r="AB19" i="11"/>
  <c r="AB27" i="11"/>
  <c r="AB35" i="11"/>
  <c r="AB43" i="11"/>
  <c r="AB51" i="11"/>
  <c r="AB59" i="11"/>
  <c r="AB67" i="11"/>
  <c r="S23" i="11"/>
  <c r="S55" i="11"/>
  <c r="S68" i="11"/>
  <c r="AB71" i="11"/>
  <c r="S24" i="11"/>
  <c r="S40" i="11"/>
  <c r="AK61" i="11"/>
  <c r="AK76" i="11"/>
  <c r="AK64" i="11"/>
  <c r="AB10" i="11"/>
  <c r="AB26" i="11"/>
  <c r="AB42" i="11"/>
  <c r="AB58" i="11"/>
  <c r="AK85" i="11"/>
  <c r="AK12" i="11"/>
  <c r="AK72" i="11"/>
  <c r="AB12" i="11"/>
  <c r="AB72" i="11"/>
  <c r="AB25" i="11"/>
  <c r="AB41" i="11"/>
  <c r="AB57" i="11"/>
  <c r="AB9" i="11"/>
  <c r="AB64" i="11"/>
  <c r="S22" i="11"/>
  <c r="S38" i="11"/>
  <c r="S54" i="11"/>
  <c r="S70" i="11"/>
  <c r="S43" i="11"/>
  <c r="S48" i="11"/>
  <c r="AB36" i="11"/>
  <c r="S31" i="11"/>
  <c r="S63" i="11"/>
  <c r="AB24" i="11"/>
  <c r="S12" i="11"/>
  <c r="S28" i="11"/>
  <c r="S44" i="11"/>
  <c r="AK40" i="11"/>
  <c r="AK44" i="11"/>
  <c r="AK62" i="11"/>
  <c r="AB14" i="11"/>
  <c r="AB30" i="11"/>
  <c r="AB46" i="11"/>
  <c r="AB62" i="11"/>
  <c r="AK54" i="11"/>
  <c r="AK80" i="11"/>
  <c r="AK58" i="11"/>
  <c r="AB28" i="11"/>
  <c r="AB13" i="11"/>
  <c r="AB29" i="11"/>
  <c r="AB45" i="11"/>
  <c r="AB61" i="11"/>
  <c r="AB16" i="11"/>
  <c r="S10" i="11"/>
  <c r="S26" i="11"/>
  <c r="S42" i="11"/>
  <c r="S58" i="11"/>
  <c r="S15" i="11"/>
  <c r="S51" i="11"/>
  <c r="S60" i="11"/>
  <c r="AB52" i="11"/>
  <c r="AB15" i="11"/>
  <c r="AB23" i="11"/>
  <c r="AB31" i="11"/>
  <c r="AB39" i="11"/>
  <c r="AB47" i="11"/>
  <c r="AB55" i="11"/>
  <c r="AB63" i="11"/>
  <c r="S11" i="11"/>
  <c r="S39" i="11"/>
  <c r="S71" i="11"/>
  <c r="AB40" i="11"/>
  <c r="S16" i="11"/>
  <c r="S32" i="11"/>
  <c r="S52" i="11"/>
  <c r="AK16" i="11"/>
  <c r="AK32" i="11"/>
  <c r="AK57" i="11"/>
  <c r="AB18" i="11"/>
  <c r="AB34" i="11"/>
  <c r="AB50" i="11"/>
  <c r="AB66" i="11"/>
  <c r="AK53" i="11"/>
  <c r="AK36" i="11"/>
  <c r="AK50" i="11"/>
  <c r="AB44" i="11"/>
  <c r="AB17" i="11"/>
  <c r="AB33" i="11"/>
  <c r="AB49" i="11"/>
  <c r="AB32" i="11"/>
  <c r="S14" i="11"/>
  <c r="S30" i="11"/>
  <c r="S46" i="11"/>
  <c r="S62" i="11"/>
  <c r="S27" i="11"/>
  <c r="S59" i="11"/>
  <c r="S72" i="11"/>
  <c r="AB68" i="11"/>
  <c r="S19" i="11"/>
  <c r="S47" i="11"/>
  <c r="S56" i="11"/>
  <c r="AB56" i="11"/>
  <c r="S20" i="11"/>
  <c r="S36" i="11"/>
  <c r="S64" i="11"/>
  <c r="AK145" i="11"/>
  <c r="AK131" i="11"/>
  <c r="AK160" i="11"/>
  <c r="AK148" i="11"/>
  <c r="AK127" i="11"/>
  <c r="AK133" i="11"/>
  <c r="AK116" i="11"/>
  <c r="AK115" i="11"/>
  <c r="AK113" i="11"/>
  <c r="AK96" i="11"/>
  <c r="AK157" i="11"/>
  <c r="AK117" i="11"/>
  <c r="AK164" i="11"/>
  <c r="AK100" i="11"/>
  <c r="AK163" i="11"/>
  <c r="AK99" i="11"/>
  <c r="AK161" i="11"/>
  <c r="AK97" i="11"/>
  <c r="AK125" i="11"/>
  <c r="AK139" i="11"/>
  <c r="AK119" i="11"/>
  <c r="AK129" i="11"/>
  <c r="AK112" i="11"/>
  <c r="AK111" i="11"/>
  <c r="AK144" i="11"/>
  <c r="AK143" i="11"/>
  <c r="AK141" i="11"/>
  <c r="AK140" i="11"/>
  <c r="AK153" i="11"/>
  <c r="AK136" i="11"/>
  <c r="AK121" i="11"/>
  <c r="AK128" i="11"/>
  <c r="AK159" i="11"/>
  <c r="AK103" i="11"/>
  <c r="AK109" i="11"/>
  <c r="AK108" i="11"/>
  <c r="AK107" i="11"/>
  <c r="AK151" i="11"/>
  <c r="AK104" i="11"/>
  <c r="AK167" i="11"/>
  <c r="AK168" i="11"/>
  <c r="AN19" i="11" a="1"/>
  <c r="AN19" i="11" s="1"/>
  <c r="AN34" i="11" a="1"/>
  <c r="AN34" i="11" s="1"/>
  <c r="AN43" i="11" a="1"/>
  <c r="AN43" i="11" s="1"/>
  <c r="AN15" i="11" a="1"/>
  <c r="AN15" i="11" s="1"/>
  <c r="AN65" i="11" a="1"/>
  <c r="AN65" i="11" s="1"/>
  <c r="AN54" i="11" a="1"/>
  <c r="AN54" i="11" s="1"/>
  <c r="AN10" i="11" a="1"/>
  <c r="AN10" i="11" s="1"/>
  <c r="AN71" i="11" a="1"/>
  <c r="AN71" i="11" s="1"/>
  <c r="AN53" i="11" a="1"/>
  <c r="AN53" i="11" s="1"/>
  <c r="AN26" i="11" a="1"/>
  <c r="AN26" i="11" s="1"/>
  <c r="AN80" i="11" a="1"/>
  <c r="AN80" i="11" s="1"/>
  <c r="AN44" i="11" a="1"/>
  <c r="AN44" i="11" s="1"/>
  <c r="AN27" i="11" a="1"/>
  <c r="AN27" i="11" s="1"/>
  <c r="AN31" i="11" a="1"/>
  <c r="AN31" i="11" s="1"/>
  <c r="AN73" i="11" a="1"/>
  <c r="AN73" i="11" s="1"/>
  <c r="AN62" i="11" a="1"/>
  <c r="AN62" i="11" s="1"/>
  <c r="AN36" i="11" a="1"/>
  <c r="AN36" i="11" s="1"/>
  <c r="AN23" i="11" a="1"/>
  <c r="AN23" i="11" s="1"/>
  <c r="AN61" i="11" a="1"/>
  <c r="AN61" i="11" s="1"/>
  <c r="AN50" i="11" a="1"/>
  <c r="AN50" i="11" s="1"/>
  <c r="AK156" i="11"/>
  <c r="AN60" i="11" a="1"/>
  <c r="AN60" i="11" s="1"/>
  <c r="AK123" i="11"/>
  <c r="AN11" i="11" a="1"/>
  <c r="AN11" i="11" s="1"/>
  <c r="AK169" i="11"/>
  <c r="AK105" i="11"/>
  <c r="AN17" i="11" a="1"/>
  <c r="AN17" i="11" s="1"/>
  <c r="AN81" i="11" a="1"/>
  <c r="AN81" i="11" s="1"/>
  <c r="AN70" i="11" a="1"/>
  <c r="AN70" i="11" s="1"/>
  <c r="AN84" i="11" a="1"/>
  <c r="AN84" i="11" s="1"/>
  <c r="AN35" i="11" a="1"/>
  <c r="AN35" i="11" s="1"/>
  <c r="AN69" i="11" a="1"/>
  <c r="AN69" i="11" s="1"/>
  <c r="AN12" i="11" a="1"/>
  <c r="AN12" i="11" s="1"/>
  <c r="AN72" i="11" a="1"/>
  <c r="AN72" i="11" s="1"/>
  <c r="AN14" i="11" a="1"/>
  <c r="AN14" i="11" s="1"/>
  <c r="AN78" i="11" a="1"/>
  <c r="AN78" i="11" s="1"/>
  <c r="AN77" i="11" a="1"/>
  <c r="AN77" i="11" s="1"/>
  <c r="AN66" i="11" a="1"/>
  <c r="AN66" i="11" s="1"/>
  <c r="AN28" i="11" a="1"/>
  <c r="AN28" i="11" s="1"/>
  <c r="AN79" i="11" a="1"/>
  <c r="AN79" i="11" s="1"/>
  <c r="AN33" i="11" a="1"/>
  <c r="AN33" i="11" s="1"/>
  <c r="AN22" i="11" a="1"/>
  <c r="AN22" i="11" s="1"/>
  <c r="AO86" i="11"/>
  <c r="AP57" i="11" s="1"/>
  <c r="AN9" i="11" a="1"/>
  <c r="AN9" i="11" s="1"/>
  <c r="AN52" i="11" a="1"/>
  <c r="AN52" i="11" s="1"/>
  <c r="AN56" i="11" a="1"/>
  <c r="AN56" i="11" s="1"/>
  <c r="AN68" i="11" a="1"/>
  <c r="AN68" i="11" s="1"/>
  <c r="AN39" i="11" a="1"/>
  <c r="AN39" i="11" s="1"/>
  <c r="AN42" i="11" a="1"/>
  <c r="AN42" i="11" s="1"/>
  <c r="AN16" i="11" a="1"/>
  <c r="AN16" i="11" s="1"/>
  <c r="AN83" i="11" a="1"/>
  <c r="AN83" i="11" s="1"/>
  <c r="AN25" i="11" a="1"/>
  <c r="AN25" i="11" s="1"/>
  <c r="AN13" i="11" a="1"/>
  <c r="AN13" i="11" s="1"/>
  <c r="AP24" i="11"/>
  <c r="AN24" i="11" a="1"/>
  <c r="AN24" i="11" s="1"/>
  <c r="AN21" i="11" a="1"/>
  <c r="AN21" i="11" s="1"/>
  <c r="AN85" i="11" a="1"/>
  <c r="AN85" i="11" s="1"/>
  <c r="AP58" i="11"/>
  <c r="AN58" i="11" a="1"/>
  <c r="AN58" i="11" s="1"/>
  <c r="AN51" i="11" a="1"/>
  <c r="AN51" i="11" s="1"/>
  <c r="AN41" i="11" a="1"/>
  <c r="AN41" i="11" s="1"/>
  <c r="AN30" i="11" a="1"/>
  <c r="AN30" i="11" s="1"/>
  <c r="AN64" i="11" a="1"/>
  <c r="AN64" i="11" s="1"/>
  <c r="AK106" i="11"/>
  <c r="AK166" i="11"/>
  <c r="AK102" i="11"/>
  <c r="AK162" i="11"/>
  <c r="AK98" i="11"/>
  <c r="AK154" i="11"/>
  <c r="AK95" i="11"/>
  <c r="AK150" i="11"/>
  <c r="AK158" i="11"/>
  <c r="AK146" i="11"/>
  <c r="AK138" i="11"/>
  <c r="AK142" i="11"/>
  <c r="AK134" i="11"/>
  <c r="AK126" i="11"/>
  <c r="AK130" i="11"/>
  <c r="AK93" i="11"/>
  <c r="AK122" i="11"/>
  <c r="AK110" i="11"/>
  <c r="AK118" i="11"/>
  <c r="AK94" i="11"/>
  <c r="AK114" i="11"/>
  <c r="AN29" i="11" a="1"/>
  <c r="AN29" i="11" s="1"/>
  <c r="AN18" i="11" a="1"/>
  <c r="AN18" i="11" s="1"/>
  <c r="AN82" i="11" a="1"/>
  <c r="AN82" i="11" s="1"/>
  <c r="AK124" i="11"/>
  <c r="AK155" i="11"/>
  <c r="AN75" i="11" a="1"/>
  <c r="AN75" i="11" s="1"/>
  <c r="AK135" i="11"/>
  <c r="AK137" i="11"/>
  <c r="AN47" i="11" a="1"/>
  <c r="AN47" i="11" s="1"/>
  <c r="AN49" i="11" a="1"/>
  <c r="AN49" i="11" s="1"/>
  <c r="AN38" i="11" a="1"/>
  <c r="AN38" i="11" s="1"/>
  <c r="AN32" i="11" a="1"/>
  <c r="AN32" i="11" s="1"/>
  <c r="AK120" i="11"/>
  <c r="AN20" i="11" a="1"/>
  <c r="AN20" i="11" s="1"/>
  <c r="AF13" i="11"/>
  <c r="AF17" i="11"/>
  <c r="AF21" i="11"/>
  <c r="AF25" i="11"/>
  <c r="AF29" i="11"/>
  <c r="AF33" i="11"/>
  <c r="AF37" i="11"/>
  <c r="AF41" i="11"/>
  <c r="AF45" i="11"/>
  <c r="AF49" i="11"/>
  <c r="AF53" i="11"/>
  <c r="AF57" i="11"/>
  <c r="AF61" i="11"/>
  <c r="AF65" i="11"/>
  <c r="AF69" i="11"/>
  <c r="AF9" i="11"/>
  <c r="AF12" i="11"/>
  <c r="AF18" i="11"/>
  <c r="AF23" i="11"/>
  <c r="AF28" i="11"/>
  <c r="AF34" i="11"/>
  <c r="AF39" i="11"/>
  <c r="AF44" i="11"/>
  <c r="AF50" i="11"/>
  <c r="AF55" i="11"/>
  <c r="AF60" i="11"/>
  <c r="AF66" i="11"/>
  <c r="AF71" i="11"/>
  <c r="AF14" i="11"/>
  <c r="AF19" i="11"/>
  <c r="AF24" i="11"/>
  <c r="AF30" i="11"/>
  <c r="AF35" i="11"/>
  <c r="AF40" i="11"/>
  <c r="AF46" i="11"/>
  <c r="AF51" i="11"/>
  <c r="AF56" i="11"/>
  <c r="AF62" i="11"/>
  <c r="AF67" i="11"/>
  <c r="AF72" i="11"/>
  <c r="AF10" i="11"/>
  <c r="AF15" i="11"/>
  <c r="AF20" i="11"/>
  <c r="AF26" i="11"/>
  <c r="AF31" i="11"/>
  <c r="AF36" i="11"/>
  <c r="AF42" i="11"/>
  <c r="AF47" i="11"/>
  <c r="AF52" i="11"/>
  <c r="AF58" i="11"/>
  <c r="AF63" i="11"/>
  <c r="AF68" i="11"/>
  <c r="AF11" i="11"/>
  <c r="AF16" i="11"/>
  <c r="AF22" i="11"/>
  <c r="AF27" i="11"/>
  <c r="AF32" i="11"/>
  <c r="AF38" i="11"/>
  <c r="AF43" i="11"/>
  <c r="AF48" i="11"/>
  <c r="AF54" i="11"/>
  <c r="AF59" i="11"/>
  <c r="AF64" i="11"/>
  <c r="AF70" i="11"/>
  <c r="AA144" i="11"/>
  <c r="AB134" i="11" s="1"/>
  <c r="W12" i="11"/>
  <c r="W16" i="11"/>
  <c r="W20" i="11"/>
  <c r="W24" i="11"/>
  <c r="W28" i="11"/>
  <c r="W32" i="11"/>
  <c r="W36" i="11"/>
  <c r="W40" i="11"/>
  <c r="W44" i="11"/>
  <c r="W48" i="11"/>
  <c r="W52" i="11"/>
  <c r="W56" i="11"/>
  <c r="W60" i="11"/>
  <c r="W64" i="11"/>
  <c r="W68" i="11"/>
  <c r="W72" i="11"/>
  <c r="W13" i="11"/>
  <c r="W17" i="11"/>
  <c r="W21" i="11"/>
  <c r="W25" i="11"/>
  <c r="W29" i="11"/>
  <c r="W33" i="11"/>
  <c r="W37" i="11"/>
  <c r="W41" i="11"/>
  <c r="W45" i="11"/>
  <c r="W49" i="11"/>
  <c r="W53" i="11"/>
  <c r="W57" i="11"/>
  <c r="W61" i="11"/>
  <c r="W65" i="11"/>
  <c r="W69" i="11"/>
  <c r="W9" i="11"/>
  <c r="V9" i="11" s="1" a="1"/>
  <c r="V9" i="11" s="1"/>
  <c r="W10" i="11"/>
  <c r="W14" i="11"/>
  <c r="W18" i="11"/>
  <c r="W22" i="11"/>
  <c r="W26" i="11"/>
  <c r="W30" i="11"/>
  <c r="W34" i="11"/>
  <c r="W38" i="11"/>
  <c r="W42" i="11"/>
  <c r="W46" i="11"/>
  <c r="W50" i="11"/>
  <c r="W54" i="11"/>
  <c r="W58" i="11"/>
  <c r="W62" i="11"/>
  <c r="W66" i="11"/>
  <c r="W70" i="11"/>
  <c r="W11" i="11"/>
  <c r="W15" i="11"/>
  <c r="W19" i="11"/>
  <c r="W23" i="11"/>
  <c r="W27" i="11"/>
  <c r="W31" i="11"/>
  <c r="W35" i="11"/>
  <c r="W39" i="11"/>
  <c r="W43" i="11"/>
  <c r="W47" i="11"/>
  <c r="W51" i="11"/>
  <c r="W55" i="11"/>
  <c r="W59" i="11"/>
  <c r="W63" i="11"/>
  <c r="W67" i="11"/>
  <c r="W71" i="11"/>
  <c r="R144" i="11"/>
  <c r="S127" i="11" s="1"/>
  <c r="B4" i="2"/>
  <c r="BS43" i="15" l="1"/>
  <c r="AN55" i="11" a="1"/>
  <c r="AN55" i="11" s="1"/>
  <c r="AN46" i="11" a="1"/>
  <c r="AN46" i="11" s="1"/>
  <c r="AN74" i="11" a="1"/>
  <c r="AN74" i="11" s="1"/>
  <c r="AN59" i="11" a="1"/>
  <c r="AN59" i="11" s="1"/>
  <c r="AN57" i="11" a="1"/>
  <c r="AN57" i="11" s="1"/>
  <c r="AN76" i="11" a="1"/>
  <c r="AN76" i="11" s="1"/>
  <c r="AN40" i="11" a="1"/>
  <c r="AN40" i="11" s="1"/>
  <c r="AN63" i="11" a="1"/>
  <c r="AN63" i="11" s="1"/>
  <c r="AN37" i="11" a="1"/>
  <c r="AN37" i="11" s="1"/>
  <c r="AN67" i="11" a="1"/>
  <c r="AN67" i="11" s="1"/>
  <c r="AK165" i="11"/>
  <c r="AE12" i="11" a="1"/>
  <c r="AE12" i="11" s="1"/>
  <c r="AK152" i="11"/>
  <c r="AK147" i="11"/>
  <c r="AK132" i="11"/>
  <c r="BB18" i="11"/>
  <c r="AP49" i="11"/>
  <c r="AP41" i="11"/>
  <c r="AP16" i="11"/>
  <c r="AP20" i="11"/>
  <c r="AP64" i="11"/>
  <c r="AP32" i="11"/>
  <c r="AP18" i="11"/>
  <c r="V59" i="11" a="1"/>
  <c r="V59" i="11" s="1"/>
  <c r="V11" i="11" a="1"/>
  <c r="V11" i="11" s="1"/>
  <c r="AP38" i="11"/>
  <c r="AP47" i="11"/>
  <c r="AP75" i="11"/>
  <c r="AP82" i="11"/>
  <c r="AP29" i="11"/>
  <c r="BB34" i="11"/>
  <c r="V10" i="11" a="1"/>
  <c r="V10" i="11" s="1"/>
  <c r="AV34" i="11"/>
  <c r="V27" i="11" a="1"/>
  <c r="V27" i="11" s="1"/>
  <c r="V43" i="11" a="1"/>
  <c r="V43" i="11" s="1"/>
  <c r="AB73" i="11"/>
  <c r="AK86" i="11"/>
  <c r="AP25" i="11"/>
  <c r="AP30" i="11"/>
  <c r="AP51" i="11"/>
  <c r="AP85" i="11"/>
  <c r="AP39" i="11"/>
  <c r="AP52" i="11"/>
  <c r="AP22" i="11"/>
  <c r="AP79" i="11"/>
  <c r="AP72" i="11"/>
  <c r="AP60" i="11"/>
  <c r="AP31" i="11"/>
  <c r="AP54" i="11"/>
  <c r="AP55" i="11"/>
  <c r="AP37" i="11"/>
  <c r="AP21" i="11"/>
  <c r="AP13" i="11"/>
  <c r="AP83" i="11"/>
  <c r="AP42" i="11"/>
  <c r="AP9" i="11"/>
  <c r="AP78" i="11"/>
  <c r="AP81" i="11"/>
  <c r="AP62" i="11"/>
  <c r="AP71" i="11"/>
  <c r="AP34" i="11"/>
  <c r="AP76" i="11"/>
  <c r="AP66" i="11"/>
  <c r="AP84" i="11"/>
  <c r="AP23" i="11"/>
  <c r="AP26" i="11"/>
  <c r="AP43" i="11"/>
  <c r="AP19" i="11"/>
  <c r="AP69" i="11"/>
  <c r="AP50" i="11"/>
  <c r="AP44" i="11"/>
  <c r="AP15" i="11"/>
  <c r="AP68" i="11"/>
  <c r="AP56" i="11"/>
  <c r="AP67" i="11"/>
  <c r="AP33" i="11"/>
  <c r="AP28" i="11"/>
  <c r="AP77" i="11"/>
  <c r="AP14" i="11"/>
  <c r="AP12" i="11"/>
  <c r="AP35" i="11"/>
  <c r="AP70" i="11"/>
  <c r="AP17" i="11"/>
  <c r="AP11" i="11"/>
  <c r="AP61" i="11"/>
  <c r="AP36" i="11"/>
  <c r="AP73" i="11"/>
  <c r="AP27" i="11"/>
  <c r="AP80" i="11"/>
  <c r="AP53" i="11"/>
  <c r="AP10" i="11"/>
  <c r="AP65" i="11"/>
  <c r="AP40" i="11"/>
  <c r="AP48" i="11"/>
  <c r="AP45" i="11"/>
  <c r="AP46" i="11"/>
  <c r="AP63" i="11"/>
  <c r="AP59" i="11"/>
  <c r="AP74" i="11"/>
  <c r="AE68" i="11" a="1"/>
  <c r="AE68" i="11" s="1"/>
  <c r="AE43" i="11" a="1"/>
  <c r="AE43" i="11" s="1"/>
  <c r="AE22" i="11" a="1"/>
  <c r="AE22" i="11" s="1"/>
  <c r="AE47" i="11" a="1"/>
  <c r="AE47" i="11" s="1"/>
  <c r="AE35" i="11" a="1"/>
  <c r="AE35" i="11" s="1"/>
  <c r="AE51" i="11" a="1"/>
  <c r="AE51" i="11" s="1"/>
  <c r="AE30" i="11" a="1"/>
  <c r="AE30" i="11" s="1"/>
  <c r="AE50" i="11" a="1"/>
  <c r="AE50" i="11" s="1"/>
  <c r="AE54" i="11" a="1"/>
  <c r="AE54" i="11" s="1"/>
  <c r="AE15" i="11" a="1"/>
  <c r="AE15" i="11" s="1"/>
  <c r="AE66" i="11" a="1"/>
  <c r="AE66" i="11" s="1"/>
  <c r="AE23" i="11" a="1"/>
  <c r="AE23" i="11" s="1"/>
  <c r="AE70" i="11" a="1"/>
  <c r="AE70" i="11" s="1"/>
  <c r="AE48" i="11" a="1"/>
  <c r="AE48" i="11" s="1"/>
  <c r="AE31" i="11" a="1"/>
  <c r="AE31" i="11" s="1"/>
  <c r="AE19" i="11" a="1"/>
  <c r="AE19" i="11" s="1"/>
  <c r="AE18" i="11" a="1"/>
  <c r="AE18" i="11" s="1"/>
  <c r="AE26" i="11" a="1"/>
  <c r="AE26" i="11" s="1"/>
  <c r="AE39" i="11" a="1"/>
  <c r="AE39" i="11" s="1"/>
  <c r="AE61" i="11" a="1"/>
  <c r="AE61" i="11" s="1"/>
  <c r="AE45" i="11" a="1"/>
  <c r="AE45" i="11" s="1"/>
  <c r="AE29" i="11" a="1"/>
  <c r="AE29" i="11" s="1"/>
  <c r="AE13" i="11" a="1"/>
  <c r="AE13" i="11" s="1"/>
  <c r="AB139" i="11"/>
  <c r="AB114" i="11"/>
  <c r="AB109" i="11"/>
  <c r="AB103" i="11"/>
  <c r="AB119" i="11"/>
  <c r="AB93" i="11"/>
  <c r="AB87" i="11"/>
  <c r="AB82" i="11"/>
  <c r="AB98" i="11"/>
  <c r="AB81" i="11"/>
  <c r="AB143" i="11"/>
  <c r="AB135" i="11"/>
  <c r="AB130" i="11"/>
  <c r="AB125" i="11"/>
  <c r="AB86" i="11"/>
  <c r="AB133" i="11"/>
  <c r="AB115" i="11"/>
  <c r="AB123" i="11"/>
  <c r="AB116" i="11"/>
  <c r="AB90" i="11"/>
  <c r="AB138" i="11"/>
  <c r="AB104" i="11"/>
  <c r="AB101" i="11"/>
  <c r="AB92" i="11"/>
  <c r="AB117" i="11"/>
  <c r="AB99" i="11"/>
  <c r="AB107" i="11"/>
  <c r="AB128" i="11"/>
  <c r="AB136" i="11"/>
  <c r="AB142" i="11"/>
  <c r="AB100" i="11"/>
  <c r="AB106" i="11"/>
  <c r="AB89" i="11"/>
  <c r="AB88" i="11"/>
  <c r="AB122" i="11"/>
  <c r="AE52" i="11" a="1"/>
  <c r="AE52" i="11" s="1"/>
  <c r="AE59" i="11" a="1"/>
  <c r="AE59" i="11" s="1"/>
  <c r="AE38" i="11" a="1"/>
  <c r="AE38" i="11" s="1"/>
  <c r="AE34" i="11" a="1"/>
  <c r="AE34" i="11" s="1"/>
  <c r="AE63" i="11" a="1"/>
  <c r="AE63" i="11" s="1"/>
  <c r="AE67" i="11" a="1"/>
  <c r="AE67" i="11" s="1"/>
  <c r="AE65" i="11" a="1"/>
  <c r="AE65" i="11" s="1"/>
  <c r="AE49" i="11" a="1"/>
  <c r="AE49" i="11" s="1"/>
  <c r="AE33" i="11" a="1"/>
  <c r="AE33" i="11" s="1"/>
  <c r="AE17" i="11" a="1"/>
  <c r="AE17" i="11" s="1"/>
  <c r="AE32" i="11" a="1"/>
  <c r="AE32" i="11" s="1"/>
  <c r="AE16" i="11" a="1"/>
  <c r="AE16" i="11" s="1"/>
  <c r="AB108" i="11"/>
  <c r="AB95" i="11"/>
  <c r="AB113" i="11"/>
  <c r="AB124" i="11"/>
  <c r="AB140" i="11"/>
  <c r="AB105" i="11"/>
  <c r="AB96" i="11"/>
  <c r="AB111" i="11"/>
  <c r="AB94" i="11"/>
  <c r="AB102" i="11"/>
  <c r="AB132" i="11"/>
  <c r="AB131" i="11"/>
  <c r="AB118" i="11"/>
  <c r="AB120" i="11"/>
  <c r="AE71" i="11" a="1"/>
  <c r="AE71" i="11" s="1"/>
  <c r="AE20" i="11" a="1"/>
  <c r="AE20" i="11" s="1"/>
  <c r="AE28" i="11" a="1"/>
  <c r="AE28" i="11" s="1"/>
  <c r="AE55" i="11" a="1"/>
  <c r="AE55" i="11" s="1"/>
  <c r="AB80" i="11"/>
  <c r="AF73" i="11"/>
  <c r="AG58" i="11" s="1"/>
  <c r="AE62" i="11" a="1"/>
  <c r="AE62" i="11" s="1"/>
  <c r="AE46" i="11" a="1"/>
  <c r="AE46" i="11" s="1"/>
  <c r="AE14" i="11" a="1"/>
  <c r="AE14" i="11" s="1"/>
  <c r="AE27" i="11" a="1"/>
  <c r="AE27" i="11" s="1"/>
  <c r="AE11" i="11" a="1"/>
  <c r="AE11" i="11" s="1"/>
  <c r="AE58" i="11" a="1"/>
  <c r="AE58" i="11" s="1"/>
  <c r="AE42" i="11" a="1"/>
  <c r="AE42" i="11" s="1"/>
  <c r="AE10" i="11" a="1"/>
  <c r="AE10" i="11" s="1"/>
  <c r="AB91" i="11"/>
  <c r="AB137" i="11"/>
  <c r="AB121" i="11"/>
  <c r="AB129" i="11"/>
  <c r="AB112" i="11"/>
  <c r="AB85" i="11"/>
  <c r="AB83" i="11"/>
  <c r="AB84" i="11"/>
  <c r="AB127" i="11"/>
  <c r="AB110" i="11"/>
  <c r="AB97" i="11"/>
  <c r="AB141" i="11"/>
  <c r="AE60" i="11" a="1"/>
  <c r="AE60" i="11" s="1"/>
  <c r="AE64" i="11" a="1"/>
  <c r="AE64" i="11" s="1"/>
  <c r="AE72" i="11" a="1"/>
  <c r="AE72" i="11" s="1"/>
  <c r="AE36" i="11" a="1"/>
  <c r="AE36" i="11" s="1"/>
  <c r="AE44" i="11" a="1"/>
  <c r="AE44" i="11" s="1"/>
  <c r="AE9" i="11" a="1"/>
  <c r="AE9" i="11" s="1"/>
  <c r="AE57" i="11" a="1"/>
  <c r="AE57" i="11" s="1"/>
  <c r="AE41" i="11" a="1"/>
  <c r="AE41" i="11" s="1"/>
  <c r="AE25" i="11" a="1"/>
  <c r="AE25" i="11" s="1"/>
  <c r="AE56" i="11" a="1"/>
  <c r="AE56" i="11" s="1"/>
  <c r="AE40" i="11" a="1"/>
  <c r="AE40" i="11" s="1"/>
  <c r="AE24" i="11" a="1"/>
  <c r="AE24" i="11" s="1"/>
  <c r="AE69" i="11" a="1"/>
  <c r="AE69" i="11" s="1"/>
  <c r="AE53" i="11" a="1"/>
  <c r="AE53" i="11" s="1"/>
  <c r="AE37" i="11" a="1"/>
  <c r="AE37" i="11" s="1"/>
  <c r="AE21" i="11" a="1"/>
  <c r="AE21" i="11" s="1"/>
  <c r="AB126" i="11"/>
  <c r="V55" i="11" a="1"/>
  <c r="V55" i="11" s="1"/>
  <c r="V39" i="11" a="1"/>
  <c r="V39" i="11" s="1"/>
  <c r="V23" i="11" a="1"/>
  <c r="V23" i="11" s="1"/>
  <c r="V70" i="11" a="1"/>
  <c r="V70" i="11" s="1"/>
  <c r="V54" i="11" a="1"/>
  <c r="V54" i="11" s="1"/>
  <c r="V38" i="11" a="1"/>
  <c r="V38" i="11" s="1"/>
  <c r="V22" i="11" a="1"/>
  <c r="V22" i="11" s="1"/>
  <c r="V57" i="11" a="1"/>
  <c r="V57" i="11" s="1"/>
  <c r="V41" i="11" a="1"/>
  <c r="V41" i="11" s="1"/>
  <c r="V25" i="11" a="1"/>
  <c r="V25" i="11" s="1"/>
  <c r="V72" i="11" a="1"/>
  <c r="V72" i="11" s="1"/>
  <c r="V56" i="11" a="1"/>
  <c r="V56" i="11" s="1"/>
  <c r="V40" i="11" a="1"/>
  <c r="V40" i="11" s="1"/>
  <c r="V24" i="11" a="1"/>
  <c r="V24" i="11" s="1"/>
  <c r="V51" i="11" a="1"/>
  <c r="V51" i="11" s="1"/>
  <c r="V19" i="11" a="1"/>
  <c r="V19" i="11" s="1"/>
  <c r="V66" i="11" a="1"/>
  <c r="V66" i="11" s="1"/>
  <c r="V50" i="11" a="1"/>
  <c r="V50" i="11" s="1"/>
  <c r="V34" i="11" a="1"/>
  <c r="V34" i="11" s="1"/>
  <c r="V18" i="11" a="1"/>
  <c r="V18" i="11" s="1"/>
  <c r="V69" i="11" a="1"/>
  <c r="V69" i="11" s="1"/>
  <c r="V53" i="11" a="1"/>
  <c r="V53" i="11" s="1"/>
  <c r="V37" i="11" a="1"/>
  <c r="V37" i="11" s="1"/>
  <c r="V21" i="11" a="1"/>
  <c r="V21" i="11" s="1"/>
  <c r="V68" i="11" a="1"/>
  <c r="V68" i="11" s="1"/>
  <c r="V52" i="11" a="1"/>
  <c r="V52" i="11" s="1"/>
  <c r="V36" i="11" a="1"/>
  <c r="V36" i="11" s="1"/>
  <c r="V20" i="11" a="1"/>
  <c r="V20" i="11" s="1"/>
  <c r="V71" i="11" a="1"/>
  <c r="V71" i="11" s="1"/>
  <c r="V67" i="11" a="1"/>
  <c r="V67" i="11" s="1"/>
  <c r="V35" i="11" a="1"/>
  <c r="V35" i="11" s="1"/>
  <c r="S122" i="11"/>
  <c r="V63" i="11" a="1"/>
  <c r="V63" i="11" s="1"/>
  <c r="V47" i="11" a="1"/>
  <c r="V47" i="11" s="1"/>
  <c r="V31" i="11" a="1"/>
  <c r="V31" i="11" s="1"/>
  <c r="V15" i="11" a="1"/>
  <c r="V15" i="11" s="1"/>
  <c r="V65" i="11" a="1"/>
  <c r="V65" i="11" s="1"/>
  <c r="V49" i="11" a="1"/>
  <c r="V49" i="11" s="1"/>
  <c r="V33" i="11" a="1"/>
  <c r="V33" i="11" s="1"/>
  <c r="V17" i="11" a="1"/>
  <c r="V17" i="11" s="1"/>
  <c r="V64" i="11" a="1"/>
  <c r="V64" i="11" s="1"/>
  <c r="V48" i="11" a="1"/>
  <c r="V48" i="11" s="1"/>
  <c r="V32" i="11" a="1"/>
  <c r="V32" i="11" s="1"/>
  <c r="V16" i="11" a="1"/>
  <c r="V16" i="11" s="1"/>
  <c r="V58" i="11" a="1"/>
  <c r="V58" i="11" s="1"/>
  <c r="V42" i="11" a="1"/>
  <c r="V42" i="11" s="1"/>
  <c r="V26" i="11" a="1"/>
  <c r="V26" i="11" s="1"/>
  <c r="V61" i="11" a="1"/>
  <c r="V61" i="11" s="1"/>
  <c r="V45" i="11" a="1"/>
  <c r="V45" i="11" s="1"/>
  <c r="V29" i="11" a="1"/>
  <c r="V29" i="11" s="1"/>
  <c r="V13" i="11" a="1"/>
  <c r="V13" i="11" s="1"/>
  <c r="V60" i="11" a="1"/>
  <c r="V60" i="11" s="1"/>
  <c r="V44" i="11" a="1"/>
  <c r="V44" i="11" s="1"/>
  <c r="V28" i="11" a="1"/>
  <c r="V28" i="11" s="1"/>
  <c r="V12" i="11" a="1"/>
  <c r="V12" i="11" s="1"/>
  <c r="V14" i="11" a="1"/>
  <c r="V14" i="11" s="1"/>
  <c r="S107" i="11"/>
  <c r="S131" i="11"/>
  <c r="V30" i="11" a="1"/>
  <c r="V30" i="11" s="1"/>
  <c r="S91" i="11"/>
  <c r="S141" i="11"/>
  <c r="V46" i="11" a="1"/>
  <c r="V46" i="11" s="1"/>
  <c r="S117" i="11"/>
  <c r="S80" i="11"/>
  <c r="V62" i="11" a="1"/>
  <c r="V62" i="11" s="1"/>
  <c r="S105" i="11"/>
  <c r="S110" i="11"/>
  <c r="S119" i="11"/>
  <c r="S129" i="11"/>
  <c r="S134" i="11"/>
  <c r="S143" i="11"/>
  <c r="W73" i="11"/>
  <c r="X47" i="11" s="1"/>
  <c r="S101" i="11"/>
  <c r="S106" i="11"/>
  <c r="S115" i="11"/>
  <c r="S125" i="11"/>
  <c r="S89" i="11"/>
  <c r="S94" i="11"/>
  <c r="S103" i="11"/>
  <c r="S113" i="11"/>
  <c r="S118" i="11"/>
  <c r="S140" i="11"/>
  <c r="S132" i="11"/>
  <c r="S124" i="11"/>
  <c r="S128" i="11"/>
  <c r="S92" i="11"/>
  <c r="S116" i="11"/>
  <c r="S108" i="11"/>
  <c r="S112" i="11"/>
  <c r="S136" i="11"/>
  <c r="S100" i="11"/>
  <c r="S120" i="11"/>
  <c r="S96" i="11"/>
  <c r="S104" i="11"/>
  <c r="S84" i="11"/>
  <c r="S88" i="11"/>
  <c r="S137" i="11"/>
  <c r="S139" i="11"/>
  <c r="S142" i="11"/>
  <c r="S86" i="11"/>
  <c r="S85" i="11"/>
  <c r="S87" i="11"/>
  <c r="S90" i="11"/>
  <c r="S97" i="11"/>
  <c r="S99" i="11"/>
  <c r="S102" i="11"/>
  <c r="S109" i="11"/>
  <c r="S111" i="11"/>
  <c r="S130" i="11"/>
  <c r="S121" i="11"/>
  <c r="S123" i="11"/>
  <c r="S126" i="11"/>
  <c r="S133" i="11"/>
  <c r="S135" i="11"/>
  <c r="S138" i="11"/>
  <c r="S98" i="11"/>
  <c r="S81" i="11"/>
  <c r="S83" i="11"/>
  <c r="S82" i="11"/>
  <c r="S93" i="11"/>
  <c r="S95" i="11"/>
  <c r="S114" i="11"/>
  <c r="S73" i="11"/>
  <c r="N101" i="15"/>
  <c r="P13" i="15"/>
  <c r="P17" i="15"/>
  <c r="P21" i="15"/>
  <c r="P25" i="15"/>
  <c r="P29" i="15"/>
  <c r="P33" i="15"/>
  <c r="P37" i="15"/>
  <c r="P41" i="15"/>
  <c r="P45" i="15"/>
  <c r="P49" i="15"/>
  <c r="P53" i="15"/>
  <c r="P57" i="15"/>
  <c r="P61" i="15"/>
  <c r="P65" i="15"/>
  <c r="P69" i="15"/>
  <c r="P73" i="15"/>
  <c r="P77" i="15"/>
  <c r="P81" i="15"/>
  <c r="P85" i="15"/>
  <c r="P89" i="15"/>
  <c r="P93" i="15"/>
  <c r="O95" i="15"/>
  <c r="P10" i="15" s="1"/>
  <c r="DB80" i="2"/>
  <c r="DB272" i="2"/>
  <c r="DB271" i="2"/>
  <c r="DB270" i="2"/>
  <c r="DB269" i="2"/>
  <c r="DB268" i="2"/>
  <c r="DB267" i="2"/>
  <c r="DB264" i="2"/>
  <c r="DB263" i="2"/>
  <c r="DB262" i="2"/>
  <c r="DB261" i="2"/>
  <c r="DB260" i="2"/>
  <c r="DB259" i="2"/>
  <c r="DB253" i="2"/>
  <c r="DB252" i="2"/>
  <c r="DB251" i="2"/>
  <c r="DB250" i="2"/>
  <c r="DB248" i="2"/>
  <c r="DB244" i="2"/>
  <c r="DB243" i="2"/>
  <c r="DB242" i="2"/>
  <c r="DB241" i="2"/>
  <c r="DB239" i="2"/>
  <c r="DB238" i="2"/>
  <c r="DB235" i="2"/>
  <c r="DB233" i="2"/>
  <c r="DB229" i="2"/>
  <c r="DB228" i="2"/>
  <c r="DB223" i="2"/>
  <c r="DB221" i="2"/>
  <c r="DB220" i="2"/>
  <c r="DB217" i="2"/>
  <c r="DB215" i="2"/>
  <c r="DB214" i="2"/>
  <c r="DB212" i="2"/>
  <c r="DB211" i="2"/>
  <c r="DB209" i="2"/>
  <c r="DB208" i="2"/>
  <c r="DB207" i="2"/>
  <c r="DB205" i="2"/>
  <c r="DB203" i="2"/>
  <c r="DB200" i="2"/>
  <c r="DB199" i="2"/>
  <c r="DB198" i="2"/>
  <c r="DB196" i="2"/>
  <c r="DB193" i="2"/>
  <c r="DB190" i="2"/>
  <c r="DB186" i="2"/>
  <c r="DB185" i="2"/>
  <c r="DB184" i="2"/>
  <c r="DB181" i="2"/>
  <c r="DB177" i="2"/>
  <c r="DB176" i="2"/>
  <c r="DB175" i="2"/>
  <c r="DB173" i="2"/>
  <c r="DB172" i="2"/>
  <c r="DB170" i="2"/>
  <c r="DB169" i="2"/>
  <c r="DB168" i="2"/>
  <c r="DB166" i="2"/>
  <c r="DB162" i="2"/>
  <c r="DB161" i="2"/>
  <c r="DB160" i="2"/>
  <c r="DB159" i="2"/>
  <c r="DB157" i="2"/>
  <c r="DB156" i="2"/>
  <c r="DB155" i="2"/>
  <c r="DB153" i="2"/>
  <c r="DB152" i="2"/>
  <c r="DB150" i="2"/>
  <c r="DB149" i="2"/>
  <c r="DB148" i="2"/>
  <c r="DB143" i="2"/>
  <c r="DB142" i="2"/>
  <c r="DB140" i="2"/>
  <c r="DB139" i="2"/>
  <c r="DB134" i="2"/>
  <c r="DB133" i="2"/>
  <c r="DB132" i="2"/>
  <c r="DB131" i="2"/>
  <c r="DB130" i="2"/>
  <c r="DB128" i="2"/>
  <c r="DB125" i="2"/>
  <c r="DB120" i="2"/>
  <c r="DB117" i="2"/>
  <c r="DB114" i="2"/>
  <c r="DB110" i="2"/>
  <c r="DB109" i="2"/>
  <c r="DB107" i="2"/>
  <c r="DB106" i="2"/>
  <c r="DB105" i="2"/>
  <c r="DB104" i="2"/>
  <c r="DB102" i="2"/>
  <c r="DB101" i="2"/>
  <c r="DB98" i="2"/>
  <c r="DB96" i="2"/>
  <c r="DB95" i="2"/>
  <c r="DB94" i="2"/>
  <c r="DB93" i="2"/>
  <c r="DB92" i="2"/>
  <c r="DB91" i="2"/>
  <c r="DB90" i="2"/>
  <c r="DB89" i="2"/>
  <c r="DB87" i="2"/>
  <c r="DB84" i="2"/>
  <c r="DB79" i="2"/>
  <c r="DB78" i="2"/>
  <c r="DB77" i="2"/>
  <c r="DB75" i="2"/>
  <c r="DB74" i="2"/>
  <c r="DB73" i="2"/>
  <c r="DB71" i="2"/>
  <c r="DB67" i="2"/>
  <c r="DB66" i="2"/>
  <c r="DB65" i="2"/>
  <c r="DB64" i="2"/>
  <c r="DB62" i="2"/>
  <c r="DB61" i="2"/>
  <c r="DB60" i="2"/>
  <c r="DB59" i="2"/>
  <c r="DB56" i="2"/>
  <c r="DB55" i="2"/>
  <c r="DB54" i="2"/>
  <c r="DB53" i="2"/>
  <c r="DB52" i="2"/>
  <c r="DB51" i="2"/>
  <c r="DB46" i="2"/>
  <c r="DB45" i="2"/>
  <c r="DB44" i="2"/>
  <c r="DB43" i="2"/>
  <c r="DB42" i="2"/>
  <c r="DB41" i="2"/>
  <c r="DB40" i="2"/>
  <c r="DB36" i="2"/>
  <c r="DB35" i="2"/>
  <c r="DB32" i="2"/>
  <c r="DB31" i="2"/>
  <c r="DB30" i="2"/>
  <c r="DB29" i="2"/>
  <c r="DB28" i="2"/>
  <c r="DB24" i="2"/>
  <c r="DB23" i="2"/>
  <c r="DB20" i="2"/>
  <c r="DB19" i="2"/>
  <c r="DB18" i="2"/>
  <c r="DB15" i="2"/>
  <c r="DB14" i="2"/>
  <c r="DB12" i="2"/>
  <c r="DB11" i="2"/>
  <c r="DB10" i="2"/>
  <c r="DB8" i="2"/>
  <c r="DB6" i="2"/>
  <c r="DB3" i="2"/>
  <c r="BS272" i="2"/>
  <c r="BS271" i="2"/>
  <c r="BS270" i="2"/>
  <c r="BS269" i="2"/>
  <c r="BS268" i="2"/>
  <c r="BS267" i="2"/>
  <c r="BS264" i="2"/>
  <c r="BS263" i="2"/>
  <c r="BS262" i="2"/>
  <c r="BS261" i="2"/>
  <c r="BS260" i="2"/>
  <c r="BS259" i="2"/>
  <c r="BS253" i="2"/>
  <c r="BS252" i="2"/>
  <c r="BS251" i="2"/>
  <c r="BS250" i="2"/>
  <c r="BS248" i="2"/>
  <c r="BS244" i="2"/>
  <c r="BS242" i="2"/>
  <c r="BS241" i="2"/>
  <c r="BS239" i="2"/>
  <c r="BS238" i="2"/>
  <c r="BS237" i="2"/>
  <c r="BS235" i="2"/>
  <c r="BS233" i="2"/>
  <c r="BS229" i="2"/>
  <c r="BS228" i="2"/>
  <c r="BS223" i="2"/>
  <c r="BS221" i="2"/>
  <c r="BS220" i="2"/>
  <c r="BS217" i="2"/>
  <c r="BS215" i="2"/>
  <c r="BS214" i="2"/>
  <c r="BS212" i="2"/>
  <c r="BS211" i="2"/>
  <c r="BS210" i="2"/>
  <c r="BS209" i="2"/>
  <c r="BS208" i="2"/>
  <c r="BS207" i="2"/>
  <c r="BS205" i="2"/>
  <c r="BS203" i="2"/>
  <c r="BS200" i="2"/>
  <c r="BS199" i="2"/>
  <c r="BS198" i="2"/>
  <c r="BS196" i="2"/>
  <c r="BS195" i="2"/>
  <c r="BS194" i="2"/>
  <c r="BS193" i="2"/>
  <c r="BS190" i="2"/>
  <c r="BS187" i="2"/>
  <c r="BS186" i="2"/>
  <c r="BS185" i="2"/>
  <c r="BS184" i="2"/>
  <c r="BS181" i="2"/>
  <c r="BS177" i="2"/>
  <c r="BS176" i="2"/>
  <c r="BS175" i="2"/>
  <c r="BS173" i="2"/>
  <c r="BS172" i="2"/>
  <c r="BS170" i="2"/>
  <c r="BS169" i="2"/>
  <c r="BS168" i="2"/>
  <c r="BS166" i="2"/>
  <c r="BS165" i="2"/>
  <c r="BS162" i="2"/>
  <c r="BS161" i="2"/>
  <c r="BS160" i="2"/>
  <c r="BS159" i="2"/>
  <c r="BS157" i="2"/>
  <c r="BS156" i="2"/>
  <c r="BS155" i="2"/>
  <c r="BS153" i="2"/>
  <c r="BS152" i="2"/>
  <c r="BS150" i="2"/>
  <c r="BS149" i="2"/>
  <c r="BS148" i="2"/>
  <c r="BS145" i="2"/>
  <c r="BS143" i="2"/>
  <c r="BS142" i="2"/>
  <c r="BS140" i="2"/>
  <c r="BS139" i="2"/>
  <c r="BS134" i="2"/>
  <c r="BS133" i="2"/>
  <c r="BS132" i="2"/>
  <c r="BS131" i="2"/>
  <c r="BS130" i="2"/>
  <c r="BS128" i="2"/>
  <c r="BS125" i="2"/>
  <c r="BS120" i="2"/>
  <c r="BS117" i="2"/>
  <c r="BS114" i="2"/>
  <c r="BS112" i="2"/>
  <c r="BS110" i="2"/>
  <c r="BS109" i="2"/>
  <c r="BS108" i="2"/>
  <c r="BS107" i="2"/>
  <c r="BS106" i="2"/>
  <c r="BS105" i="2"/>
  <c r="BS104" i="2"/>
  <c r="BS103" i="2"/>
  <c r="BS102" i="2"/>
  <c r="BS101" i="2"/>
  <c r="BS98" i="2"/>
  <c r="BS97" i="2"/>
  <c r="BS96" i="2"/>
  <c r="BS95" i="2"/>
  <c r="BS94" i="2"/>
  <c r="BS93" i="2"/>
  <c r="BS92" i="2"/>
  <c r="BS91" i="2"/>
  <c r="BS90" i="2"/>
  <c r="BS89" i="2"/>
  <c r="BS87" i="2"/>
  <c r="BS84" i="2"/>
  <c r="BS80" i="2"/>
  <c r="BS79" i="2"/>
  <c r="BS78" i="2"/>
  <c r="BS77" i="2"/>
  <c r="BS75" i="2"/>
  <c r="BS74" i="2"/>
  <c r="BS73" i="2"/>
  <c r="BS71" i="2"/>
  <c r="BS67" i="2"/>
  <c r="BS66" i="2"/>
  <c r="BS65" i="2"/>
  <c r="BS64" i="2"/>
  <c r="BS62" i="2"/>
  <c r="BS60" i="2"/>
  <c r="BS59" i="2"/>
  <c r="BS56" i="2"/>
  <c r="BS55" i="2"/>
  <c r="BS54" i="2"/>
  <c r="BS53" i="2"/>
  <c r="BS52" i="2"/>
  <c r="BS51" i="2"/>
  <c r="BS46" i="2"/>
  <c r="BS45" i="2"/>
  <c r="BS44" i="2"/>
  <c r="BS43" i="2"/>
  <c r="BS42" i="2"/>
  <c r="BS41" i="2"/>
  <c r="BS40" i="2"/>
  <c r="BS37" i="2"/>
  <c r="BS35" i="2"/>
  <c r="BS34" i="2"/>
  <c r="BS33" i="2"/>
  <c r="BS32" i="2"/>
  <c r="BS31" i="2"/>
  <c r="BS30" i="2"/>
  <c r="BS29" i="2"/>
  <c r="BS28" i="2"/>
  <c r="BS24" i="2"/>
  <c r="BS23" i="2"/>
  <c r="BS20" i="2"/>
  <c r="BS19" i="2"/>
  <c r="BS18" i="2"/>
  <c r="BS14" i="2"/>
  <c r="BS12" i="2"/>
  <c r="BS11" i="2"/>
  <c r="BS10" i="2"/>
  <c r="BS8" i="2"/>
  <c r="BS6" i="2"/>
  <c r="BS3" i="2"/>
  <c r="X65" i="11" l="1"/>
  <c r="X35" i="11"/>
  <c r="X62" i="11"/>
  <c r="AK170" i="11"/>
  <c r="X29" i="11"/>
  <c r="X36" i="11"/>
  <c r="X63" i="11"/>
  <c r="X59" i="11"/>
  <c r="X34" i="11"/>
  <c r="X72" i="11"/>
  <c r="AG9" i="11"/>
  <c r="X64" i="11"/>
  <c r="X37" i="11"/>
  <c r="X13" i="11"/>
  <c r="AG68" i="11"/>
  <c r="AG25" i="11"/>
  <c r="AG18" i="11"/>
  <c r="AG51" i="11"/>
  <c r="AG41" i="11"/>
  <c r="AG60" i="11"/>
  <c r="AG72" i="11"/>
  <c r="AG43" i="11"/>
  <c r="AG40" i="11"/>
  <c r="AP86" i="11"/>
  <c r="AG47" i="11"/>
  <c r="AG64" i="11"/>
  <c r="AG45" i="11"/>
  <c r="AG35" i="11"/>
  <c r="AG27" i="11"/>
  <c r="AG57" i="11"/>
  <c r="AG39" i="11"/>
  <c r="AG30" i="11"/>
  <c r="AG26" i="11"/>
  <c r="AG22" i="11"/>
  <c r="AG15" i="11"/>
  <c r="AG29" i="11"/>
  <c r="AG23" i="11"/>
  <c r="AG31" i="11"/>
  <c r="AG66" i="11"/>
  <c r="AG70" i="11"/>
  <c r="AG54" i="11"/>
  <c r="AG65" i="11"/>
  <c r="AG71" i="11"/>
  <c r="AG21" i="11"/>
  <c r="AG12" i="11"/>
  <c r="AG46" i="11"/>
  <c r="AG42" i="11"/>
  <c r="AG38" i="11"/>
  <c r="AG32" i="11"/>
  <c r="AB144" i="11"/>
  <c r="AG14" i="11"/>
  <c r="AG10" i="11"/>
  <c r="AG19" i="11"/>
  <c r="AG17" i="11"/>
  <c r="AG37" i="11"/>
  <c r="AG34" i="11"/>
  <c r="AG67" i="11"/>
  <c r="AG63" i="11"/>
  <c r="AG59" i="11"/>
  <c r="AG36" i="11"/>
  <c r="AG33" i="11"/>
  <c r="AG28" i="11"/>
  <c r="AG53" i="11"/>
  <c r="AG55" i="11"/>
  <c r="AG62" i="11"/>
  <c r="AG13" i="11"/>
  <c r="AG61" i="11"/>
  <c r="AG44" i="11"/>
  <c r="AG56" i="11"/>
  <c r="AG52" i="11"/>
  <c r="AG48" i="11"/>
  <c r="AG11" i="11"/>
  <c r="AG49" i="11"/>
  <c r="AG50" i="11"/>
  <c r="AG69" i="11"/>
  <c r="AG24" i="11"/>
  <c r="AG20" i="11"/>
  <c r="AG16" i="11"/>
  <c r="X11" i="11"/>
  <c r="X49" i="11"/>
  <c r="X20" i="11"/>
  <c r="X18" i="11"/>
  <c r="X56" i="11"/>
  <c r="X44" i="11"/>
  <c r="X48" i="11"/>
  <c r="X46" i="11"/>
  <c r="X21" i="11"/>
  <c r="X19" i="11"/>
  <c r="X43" i="11"/>
  <c r="X57" i="11"/>
  <c r="X12" i="11"/>
  <c r="X45" i="11"/>
  <c r="X16" i="11"/>
  <c r="X17" i="11"/>
  <c r="X14" i="11"/>
  <c r="X15" i="11"/>
  <c r="X52" i="11"/>
  <c r="X53" i="11"/>
  <c r="X50" i="11"/>
  <c r="X51" i="11"/>
  <c r="X10" i="11"/>
  <c r="X24" i="11"/>
  <c r="X25" i="11"/>
  <c r="X9" i="11"/>
  <c r="X70" i="11"/>
  <c r="X71" i="11"/>
  <c r="X61" i="11"/>
  <c r="S144" i="11"/>
  <c r="X28" i="11"/>
  <c r="X26" i="11"/>
  <c r="X32" i="11"/>
  <c r="X33" i="11"/>
  <c r="X30" i="11"/>
  <c r="X31" i="11"/>
  <c r="X68" i="11"/>
  <c r="X69" i="11"/>
  <c r="X66" i="11"/>
  <c r="X67" i="11"/>
  <c r="X58" i="11"/>
  <c r="X40" i="11"/>
  <c r="X41" i="11"/>
  <c r="X22" i="11"/>
  <c r="X23" i="11"/>
  <c r="X42" i="11"/>
  <c r="X38" i="11"/>
  <c r="X39" i="11"/>
  <c r="X27" i="11"/>
  <c r="X54" i="11"/>
  <c r="X55" i="11"/>
  <c r="X60" i="11"/>
  <c r="P92" i="15"/>
  <c r="P88" i="15"/>
  <c r="P84" i="15"/>
  <c r="P80" i="15"/>
  <c r="P76" i="15"/>
  <c r="P72" i="15"/>
  <c r="P68" i="15"/>
  <c r="P64" i="15"/>
  <c r="P60" i="15"/>
  <c r="P56" i="15"/>
  <c r="P52" i="15"/>
  <c r="P48" i="15"/>
  <c r="P44" i="15"/>
  <c r="P40" i="15"/>
  <c r="P36" i="15"/>
  <c r="P32" i="15"/>
  <c r="P28" i="15"/>
  <c r="P24" i="15"/>
  <c r="P20" i="15"/>
  <c r="P16" i="15"/>
  <c r="P12" i="15"/>
  <c r="P9" i="15"/>
  <c r="P91" i="15"/>
  <c r="P87" i="15"/>
  <c r="P83" i="15"/>
  <c r="P79" i="15"/>
  <c r="P75" i="15"/>
  <c r="P71" i="15"/>
  <c r="P67" i="15"/>
  <c r="P63" i="15"/>
  <c r="P59" i="15"/>
  <c r="P55" i="15"/>
  <c r="P51" i="15"/>
  <c r="P47" i="15"/>
  <c r="P43" i="15"/>
  <c r="P39" i="15"/>
  <c r="P35" i="15"/>
  <c r="P31" i="15"/>
  <c r="P27" i="15"/>
  <c r="P23" i="15"/>
  <c r="P19" i="15"/>
  <c r="P15" i="15"/>
  <c r="P11" i="15"/>
  <c r="P94" i="15"/>
  <c r="P90" i="15"/>
  <c r="P86" i="15"/>
  <c r="P82" i="15"/>
  <c r="P78" i="15"/>
  <c r="P74" i="15"/>
  <c r="P70" i="15"/>
  <c r="P66" i="15"/>
  <c r="P62" i="15"/>
  <c r="P58" i="15"/>
  <c r="P54" i="15"/>
  <c r="P50" i="15"/>
  <c r="P46" i="15"/>
  <c r="P42" i="15"/>
  <c r="P38" i="15"/>
  <c r="P34" i="15"/>
  <c r="P30" i="15"/>
  <c r="P26" i="15"/>
  <c r="P22" i="15"/>
  <c r="P18" i="15"/>
  <c r="P14" i="15"/>
  <c r="AG73" i="11" l="1"/>
  <c r="X73" i="11"/>
  <c r="P95" i="15"/>
  <c r="BV6" i="16"/>
  <c r="I53" i="13" l="1"/>
  <c r="I61" i="13" s="1"/>
  <c r="CU29" i="16" l="1"/>
  <c r="CU28" i="16"/>
  <c r="CH39" i="16"/>
  <c r="CI32" i="16"/>
  <c r="CI42" i="16" s="1"/>
  <c r="CI33" i="16"/>
  <c r="CI34" i="16"/>
  <c r="CI44" i="16" s="1"/>
  <c r="CI35" i="16"/>
  <c r="CI45" i="16" s="1"/>
  <c r="CI31" i="16"/>
  <c r="CI41" i="16" s="1"/>
  <c r="CI36" i="16"/>
  <c r="CI46" i="16" s="1"/>
  <c r="CD29" i="16"/>
  <c r="CD28" i="16"/>
  <c r="CJ33" i="16" l="1"/>
  <c r="CJ43" i="16" s="1"/>
  <c r="CJ31" i="16"/>
  <c r="CJ41" i="16" s="1"/>
  <c r="CJ32" i="16"/>
  <c r="CJ42" i="16" s="1"/>
  <c r="CI43" i="16"/>
  <c r="CJ35" i="16"/>
  <c r="CJ45" i="16" s="1"/>
  <c r="CJ34" i="16"/>
  <c r="CJ44" i="16" s="1"/>
  <c r="CU30" i="16"/>
  <c r="CV28" i="16" s="1"/>
  <c r="CD30" i="16"/>
  <c r="CE28" i="16" s="1"/>
  <c r="AZ27" i="16"/>
  <c r="AZ35" i="16" s="1"/>
  <c r="R23" i="16"/>
  <c r="S23" i="16"/>
  <c r="T23" i="16"/>
  <c r="U23" i="16"/>
  <c r="R24" i="16"/>
  <c r="S24" i="16"/>
  <c r="T24" i="16"/>
  <c r="U24" i="16"/>
  <c r="Q24" i="16"/>
  <c r="Q23" i="16"/>
  <c r="DG51" i="16"/>
  <c r="BF52" i="16"/>
  <c r="BH46" i="16"/>
  <c r="BG46" i="16"/>
  <c r="AF51" i="16"/>
  <c r="AF68" i="16" s="1"/>
  <c r="AF50" i="16"/>
  <c r="AF67" i="16" s="1"/>
  <c r="AF49" i="16"/>
  <c r="AF66" i="16" s="1"/>
  <c r="AF48" i="16"/>
  <c r="AF65" i="16" s="1"/>
  <c r="AF47" i="16"/>
  <c r="AF64" i="16" s="1"/>
  <c r="AF46" i="16"/>
  <c r="AF63" i="16" s="1"/>
  <c r="AF45" i="16"/>
  <c r="AF62" i="16" s="1"/>
  <c r="AF44" i="16"/>
  <c r="AF61" i="16" s="1"/>
  <c r="AF43" i="16"/>
  <c r="AF60" i="16" s="1"/>
  <c r="AF42" i="16"/>
  <c r="AF59" i="16" s="1"/>
  <c r="AF41" i="16"/>
  <c r="AF58" i="16" s="1"/>
  <c r="CZ30" i="16"/>
  <c r="DA30" i="16" s="1"/>
  <c r="CY30" i="16"/>
  <c r="CN31" i="16"/>
  <c r="CO31" i="16" s="1"/>
  <c r="CM31" i="16"/>
  <c r="BW31" i="16"/>
  <c r="BX31" i="16" s="1"/>
  <c r="BV31" i="16"/>
  <c r="AN40" i="16"/>
  <c r="AN57" i="16" s="1"/>
  <c r="AL40" i="16"/>
  <c r="AK40" i="16"/>
  <c r="AJ40" i="16"/>
  <c r="AJ43" i="16" s="1"/>
  <c r="AI40" i="16"/>
  <c r="AI49" i="16" s="1"/>
  <c r="AH40" i="16"/>
  <c r="AG40" i="16"/>
  <c r="AG57" i="16" s="1"/>
  <c r="AF40" i="16"/>
  <c r="AF57" i="16" s="1"/>
  <c r="M19" i="16"/>
  <c r="L19" i="16"/>
  <c r="K19" i="16"/>
  <c r="H31" i="16"/>
  <c r="G31" i="16"/>
  <c r="F31" i="16"/>
  <c r="BK30" i="16"/>
  <c r="BM27" i="16"/>
  <c r="BL27" i="16"/>
  <c r="BK27" i="16"/>
  <c r="AT34" i="16"/>
  <c r="AS32" i="16"/>
  <c r="AS40" i="16" s="1"/>
  <c r="AS31" i="16"/>
  <c r="AS39" i="16" s="1"/>
  <c r="AS30" i="16"/>
  <c r="AS38" i="16" s="1"/>
  <c r="AS29" i="16"/>
  <c r="AS37" i="16" s="1"/>
  <c r="AS28" i="16"/>
  <c r="AS36" i="16" s="1"/>
  <c r="BA27" i="16"/>
  <c r="BA35" i="16" s="1"/>
  <c r="AY27" i="16"/>
  <c r="AY35" i="16" s="1"/>
  <c r="AX27" i="16"/>
  <c r="AX32" i="16" s="1"/>
  <c r="AW27" i="16"/>
  <c r="AW32" i="16" s="1"/>
  <c r="AV27" i="16"/>
  <c r="AV32" i="16" s="1"/>
  <c r="AU27" i="16"/>
  <c r="AU31" i="16" s="1"/>
  <c r="AT27" i="16"/>
  <c r="AT35" i="16" s="1"/>
  <c r="AS27" i="16"/>
  <c r="AS35" i="16" s="1"/>
  <c r="AG33" i="16"/>
  <c r="AG51" i="16" s="1"/>
  <c r="AG68" i="16" s="1"/>
  <c r="CY19" i="16"/>
  <c r="CY41" i="16" s="1"/>
  <c r="CM19" i="16"/>
  <c r="CM42" i="16" s="1"/>
  <c r="BV19" i="16"/>
  <c r="BV42" i="16" s="1"/>
  <c r="AG32" i="16"/>
  <c r="AG50" i="16" s="1"/>
  <c r="AG67" i="16" s="1"/>
  <c r="CY18" i="16"/>
  <c r="CY40" i="16" s="1"/>
  <c r="CM18" i="16"/>
  <c r="CM41" i="16" s="1"/>
  <c r="BV18" i="16"/>
  <c r="BV41" i="16" s="1"/>
  <c r="AG31" i="16"/>
  <c r="AG49" i="16" s="1"/>
  <c r="AG66" i="16" s="1"/>
  <c r="CY17" i="16"/>
  <c r="CY39" i="16" s="1"/>
  <c r="CM17" i="16"/>
  <c r="CM40" i="16" s="1"/>
  <c r="BV17" i="16"/>
  <c r="BV40" i="16" s="1"/>
  <c r="AG30" i="16"/>
  <c r="AG48" i="16" s="1"/>
  <c r="AG65" i="16" s="1"/>
  <c r="DG15" i="16"/>
  <c r="CY16" i="16"/>
  <c r="CY38" i="16" s="1"/>
  <c r="CM16" i="16"/>
  <c r="CM39" i="16" s="1"/>
  <c r="BV16" i="16"/>
  <c r="BV39" i="16" s="1"/>
  <c r="AG29" i="16"/>
  <c r="AG47" i="16" s="1"/>
  <c r="AG64" i="16" s="1"/>
  <c r="F15" i="16"/>
  <c r="F38" i="16" s="1"/>
  <c r="G38" i="16" s="1"/>
  <c r="DG14" i="16"/>
  <c r="CY15" i="16"/>
  <c r="CY37" i="16" s="1"/>
  <c r="CM15" i="16"/>
  <c r="CM38" i="16" s="1"/>
  <c r="BV15" i="16"/>
  <c r="BV38" i="16" s="1"/>
  <c r="AG28" i="16"/>
  <c r="AG46" i="16" s="1"/>
  <c r="AG63" i="16" s="1"/>
  <c r="F14" i="16"/>
  <c r="F37" i="16" s="1"/>
  <c r="G37" i="16" s="1"/>
  <c r="DG13" i="16"/>
  <c r="CY13" i="16"/>
  <c r="CY35" i="16" s="1"/>
  <c r="CZ35" i="16" s="1"/>
  <c r="CM13" i="16"/>
  <c r="CM36" i="16" s="1"/>
  <c r="CN36" i="16" s="1"/>
  <c r="CH13" i="16"/>
  <c r="BV13" i="16"/>
  <c r="BV36" i="16" s="1"/>
  <c r="BW36" i="16" s="1"/>
  <c r="BP13" i="16"/>
  <c r="BF13" i="16"/>
  <c r="BF51" i="16" s="1"/>
  <c r="BG51" i="16" s="1"/>
  <c r="AT21" i="16"/>
  <c r="AT32" i="16" s="1"/>
  <c r="AT40" i="16" s="1"/>
  <c r="AG27" i="16"/>
  <c r="AG45" i="16" s="1"/>
  <c r="AG62" i="16" s="1"/>
  <c r="F13" i="16"/>
  <c r="F36" i="16" s="1"/>
  <c r="G36" i="16" s="1"/>
  <c r="DG12" i="16"/>
  <c r="CY12" i="16"/>
  <c r="CY34" i="16" s="1"/>
  <c r="CZ34" i="16" s="1"/>
  <c r="CM12" i="16"/>
  <c r="CM35" i="16" s="1"/>
  <c r="CN35" i="16" s="1"/>
  <c r="CH12" i="16"/>
  <c r="BV12" i="16"/>
  <c r="BV35" i="16" s="1"/>
  <c r="BW35" i="16" s="1"/>
  <c r="BP12" i="16"/>
  <c r="BP35" i="16" s="1"/>
  <c r="BQ35" i="16" s="1"/>
  <c r="BF12" i="16"/>
  <c r="BF50" i="16" s="1"/>
  <c r="BG50" i="16" s="1"/>
  <c r="AT20" i="16"/>
  <c r="AT31" i="16" s="1"/>
  <c r="AT39" i="16" s="1"/>
  <c r="AG26" i="16"/>
  <c r="AG44" i="16" s="1"/>
  <c r="AG61" i="16" s="1"/>
  <c r="F12" i="16"/>
  <c r="F35" i="16" s="1"/>
  <c r="G35" i="16" s="1"/>
  <c r="DG11" i="16"/>
  <c r="CY11" i="16"/>
  <c r="CY33" i="16" s="1"/>
  <c r="CZ33" i="16" s="1"/>
  <c r="CM11" i="16"/>
  <c r="CM34" i="16" s="1"/>
  <c r="CN34" i="16" s="1"/>
  <c r="CH11" i="16"/>
  <c r="BV11" i="16"/>
  <c r="BV34" i="16" s="1"/>
  <c r="BW34" i="16" s="1"/>
  <c r="BP11" i="16"/>
  <c r="BP34" i="16" s="1"/>
  <c r="BQ34" i="16" s="1"/>
  <c r="BQ42" i="16" s="1"/>
  <c r="BF11" i="16"/>
  <c r="BF49" i="16" s="1"/>
  <c r="BG49" i="16" s="1"/>
  <c r="AT19" i="16"/>
  <c r="AT30" i="16" s="1"/>
  <c r="AT38" i="16" s="1"/>
  <c r="AG25" i="16"/>
  <c r="AG43" i="16" s="1"/>
  <c r="AG60" i="16" s="1"/>
  <c r="F11" i="16"/>
  <c r="F34" i="16" s="1"/>
  <c r="G34" i="16" s="1"/>
  <c r="DG10" i="16"/>
  <c r="CY10" i="16"/>
  <c r="CY32" i="16" s="1"/>
  <c r="CZ32" i="16" s="1"/>
  <c r="CT10" i="16"/>
  <c r="CM10" i="16"/>
  <c r="CM33" i="16" s="1"/>
  <c r="CN33" i="16" s="1"/>
  <c r="CH10" i="16"/>
  <c r="CC10" i="16"/>
  <c r="BV10" i="16"/>
  <c r="BV33" i="16" s="1"/>
  <c r="BW33" i="16" s="1"/>
  <c r="BP10" i="16"/>
  <c r="BP33" i="16" s="1"/>
  <c r="BQ33" i="16" s="1"/>
  <c r="BQ41" i="16" s="1"/>
  <c r="BK10" i="16"/>
  <c r="BK29" i="16" s="1"/>
  <c r="BL29" i="16" s="1"/>
  <c r="BF10" i="16"/>
  <c r="BF48" i="16" s="1"/>
  <c r="BG48" i="16" s="1"/>
  <c r="AT18" i="16"/>
  <c r="AT29" i="16" s="1"/>
  <c r="AT37" i="16" s="1"/>
  <c r="AG24" i="16"/>
  <c r="AG42" i="16" s="1"/>
  <c r="AG59" i="16" s="1"/>
  <c r="AB10" i="16"/>
  <c r="AB20" i="16" s="1"/>
  <c r="AC20" i="16" s="1"/>
  <c r="P15" i="16"/>
  <c r="P24" i="16" s="1"/>
  <c r="P29" i="16" s="1"/>
  <c r="K10" i="16"/>
  <c r="K21" i="16" s="1"/>
  <c r="L21" i="16" s="1"/>
  <c r="F10" i="16"/>
  <c r="F33" i="16" s="1"/>
  <c r="G33" i="16" s="1"/>
  <c r="DG9" i="16"/>
  <c r="DG22" i="16" s="1"/>
  <c r="DG28" i="16" s="1"/>
  <c r="DG34" i="16" s="1"/>
  <c r="DG40" i="16" s="1"/>
  <c r="DG46" i="16" s="1"/>
  <c r="CY9" i="16"/>
  <c r="CY31" i="16" s="1"/>
  <c r="CT9" i="16"/>
  <c r="CM9" i="16"/>
  <c r="CM32" i="16" s="1"/>
  <c r="CH9" i="16"/>
  <c r="CC9" i="16"/>
  <c r="BV9" i="16"/>
  <c r="BV32" i="16" s="1"/>
  <c r="BP9" i="16"/>
  <c r="BP32" i="16" s="1"/>
  <c r="BQ32" i="16" s="1"/>
  <c r="BK9" i="16"/>
  <c r="BK28" i="16" s="1"/>
  <c r="BL28" i="16" s="1"/>
  <c r="BF9" i="16"/>
  <c r="BF47" i="16" s="1"/>
  <c r="BG47" i="16" s="1"/>
  <c r="AT17" i="16"/>
  <c r="AT28" i="16" s="1"/>
  <c r="AT36" i="16" s="1"/>
  <c r="AG23" i="16"/>
  <c r="AG41" i="16" s="1"/>
  <c r="AG58" i="16" s="1"/>
  <c r="AB9" i="16"/>
  <c r="AB19" i="16" s="1"/>
  <c r="AC19" i="16" s="1"/>
  <c r="P14" i="16"/>
  <c r="P23" i="16" s="1"/>
  <c r="P28" i="16" s="1"/>
  <c r="K9" i="16"/>
  <c r="K20" i="16" s="1"/>
  <c r="L20" i="16" s="1"/>
  <c r="F9" i="16"/>
  <c r="F32" i="16" s="1"/>
  <c r="G32" i="16" s="1"/>
  <c r="CY6" i="16"/>
  <c r="CT6" i="16"/>
  <c r="CM6" i="16"/>
  <c r="CH6" i="16"/>
  <c r="CC6" i="16"/>
  <c r="BP6" i="16"/>
  <c r="BK6" i="16"/>
  <c r="BF6" i="16"/>
  <c r="BF8" i="16" s="1"/>
  <c r="BF46" i="16" s="1"/>
  <c r="AB6" i="16"/>
  <c r="P6" i="16"/>
  <c r="K6" i="16"/>
  <c r="F6" i="16"/>
  <c r="BQ36" i="16" l="1"/>
  <c r="BR32" i="16" s="1"/>
  <c r="BR40" i="16" s="1"/>
  <c r="CV29" i="16"/>
  <c r="CV30" i="16" s="1"/>
  <c r="CE29" i="16"/>
  <c r="CE30" i="16" s="1"/>
  <c r="BQ43" i="16"/>
  <c r="BQ40" i="16"/>
  <c r="AV35" i="16"/>
  <c r="AU30" i="16"/>
  <c r="AY28" i="16"/>
  <c r="V23" i="16"/>
  <c r="R28" i="16" s="1"/>
  <c r="V24" i="16"/>
  <c r="S29" i="16" s="1"/>
  <c r="AI45" i="16"/>
  <c r="AI51" i="16"/>
  <c r="AC21" i="16"/>
  <c r="AD20" i="16" s="1"/>
  <c r="AJ41" i="16"/>
  <c r="AY32" i="16"/>
  <c r="AI42" i="16"/>
  <c r="AI41" i="16"/>
  <c r="AW35" i="16"/>
  <c r="AI44" i="16"/>
  <c r="AX29" i="16"/>
  <c r="AX31" i="16"/>
  <c r="AI43" i="16"/>
  <c r="L22" i="16"/>
  <c r="M20" i="16" s="1"/>
  <c r="G39" i="16"/>
  <c r="H32" i="16" s="1"/>
  <c r="BL30" i="16"/>
  <c r="BM29" i="16" s="1"/>
  <c r="AK50" i="16"/>
  <c r="AK41" i="16"/>
  <c r="AK48" i="16"/>
  <c r="AK47" i="16"/>
  <c r="AK46" i="16"/>
  <c r="AK45" i="16"/>
  <c r="AK44" i="16"/>
  <c r="AK43" i="16"/>
  <c r="AK42" i="16"/>
  <c r="AK57" i="16"/>
  <c r="AK51" i="16"/>
  <c r="AK49" i="16"/>
  <c r="AY29" i="16"/>
  <c r="AX30" i="16"/>
  <c r="AX35" i="16"/>
  <c r="AH49" i="16"/>
  <c r="AH45" i="16"/>
  <c r="AH43" i="16"/>
  <c r="AH50" i="16"/>
  <c r="AH57" i="16"/>
  <c r="AH48" i="16"/>
  <c r="AH47" i="16"/>
  <c r="AH51" i="16"/>
  <c r="AH41" i="16"/>
  <c r="AL49" i="16"/>
  <c r="AL45" i="16"/>
  <c r="AL43" i="16"/>
  <c r="AL57" i="16"/>
  <c r="AL51" i="16"/>
  <c r="AL41" i="16"/>
  <c r="AL50" i="16"/>
  <c r="AL48" i="16"/>
  <c r="AL47" i="16"/>
  <c r="AL46" i="16"/>
  <c r="AL44" i="16"/>
  <c r="AL42" i="16"/>
  <c r="BG52" i="16"/>
  <c r="BH48" i="16" s="1"/>
  <c r="CZ31" i="16"/>
  <c r="AU35" i="16"/>
  <c r="AU28" i="16"/>
  <c r="AY30" i="16"/>
  <c r="AH46" i="16"/>
  <c r="BW32" i="16"/>
  <c r="BW37" i="16" s="1"/>
  <c r="AU32" i="16"/>
  <c r="AX28" i="16"/>
  <c r="AU29" i="16"/>
  <c r="AY31" i="16"/>
  <c r="AH42" i="16"/>
  <c r="AH44" i="16"/>
  <c r="AW28" i="16"/>
  <c r="AW29" i="16"/>
  <c r="AW30" i="16"/>
  <c r="AW31" i="16"/>
  <c r="AJ57" i="16"/>
  <c r="AJ51" i="16"/>
  <c r="AJ68" i="16" s="1"/>
  <c r="AJ47" i="16"/>
  <c r="AJ46" i="16"/>
  <c r="AJ44" i="16"/>
  <c r="AJ42" i="16"/>
  <c r="AJ50" i="16"/>
  <c r="AJ45" i="16"/>
  <c r="AJ62" i="16" s="1"/>
  <c r="AI46" i="16"/>
  <c r="AI47" i="16"/>
  <c r="AJ48" i="16"/>
  <c r="AJ60" i="16"/>
  <c r="AV28" i="16"/>
  <c r="AV29" i="16"/>
  <c r="AV30" i="16"/>
  <c r="AV31" i="16"/>
  <c r="AI57" i="16"/>
  <c r="AI48" i="16"/>
  <c r="CN32" i="16"/>
  <c r="AJ49" i="16"/>
  <c r="AJ66" i="16" s="1"/>
  <c r="AI50" i="16"/>
  <c r="CA59" i="15"/>
  <c r="CU43" i="15"/>
  <c r="CU60" i="15" s="1"/>
  <c r="CT43" i="15"/>
  <c r="CT60" i="15" s="1"/>
  <c r="CS43" i="15"/>
  <c r="CS60" i="15" s="1"/>
  <c r="CR43" i="15"/>
  <c r="CR60" i="15" s="1"/>
  <c r="CQ43" i="15"/>
  <c r="CQ60" i="15" s="1"/>
  <c r="CP43" i="15"/>
  <c r="CP60" i="15" s="1"/>
  <c r="CO43" i="15"/>
  <c r="CO60" i="15" s="1"/>
  <c r="CM43" i="15"/>
  <c r="CM60" i="15" s="1"/>
  <c r="CX25" i="15"/>
  <c r="CW25" i="15"/>
  <c r="CV25" i="15"/>
  <c r="CU25" i="15"/>
  <c r="CT25" i="15"/>
  <c r="CS25" i="15"/>
  <c r="CR25" i="15"/>
  <c r="CQ25" i="15"/>
  <c r="CP25" i="15"/>
  <c r="CO25" i="15"/>
  <c r="CM25" i="15"/>
  <c r="CH43" i="15"/>
  <c r="CH60" i="15" s="1"/>
  <c r="CG43" i="15"/>
  <c r="CG60" i="15" s="1"/>
  <c r="CF43" i="15"/>
  <c r="CF60" i="15" s="1"/>
  <c r="CE43" i="15"/>
  <c r="CE60" i="15" s="1"/>
  <c r="CD43" i="15"/>
  <c r="CD60" i="15" s="1"/>
  <c r="CC43" i="15"/>
  <c r="CC60" i="15" s="1"/>
  <c r="CB43" i="15"/>
  <c r="CB60" i="15" s="1"/>
  <c r="BZ43" i="15"/>
  <c r="BZ60" i="15" s="1"/>
  <c r="CK25" i="15"/>
  <c r="CJ25" i="15"/>
  <c r="CI25" i="15"/>
  <c r="CH25" i="15"/>
  <c r="CG25" i="15"/>
  <c r="CF25" i="15"/>
  <c r="CE25" i="15"/>
  <c r="CD25" i="15"/>
  <c r="CC25" i="15"/>
  <c r="CB25" i="15"/>
  <c r="BZ25" i="15"/>
  <c r="CR45" i="15"/>
  <c r="CO36" i="16" l="1"/>
  <c r="CN37" i="16"/>
  <c r="CZ37" i="16"/>
  <c r="CZ36" i="16"/>
  <c r="BQ44" i="16"/>
  <c r="BR33" i="16"/>
  <c r="BR41" i="16" s="1"/>
  <c r="BR34" i="16"/>
  <c r="BR42" i="16" s="1"/>
  <c r="BR35" i="16"/>
  <c r="BR43" i="16" s="1"/>
  <c r="BH51" i="16"/>
  <c r="AM41" i="16"/>
  <c r="R29" i="16"/>
  <c r="Q29" i="16"/>
  <c r="AZ31" i="16"/>
  <c r="AZ30" i="16"/>
  <c r="AU40" i="16"/>
  <c r="AZ32" i="16"/>
  <c r="AZ29" i="16"/>
  <c r="AZ28" i="16"/>
  <c r="AV37" i="16"/>
  <c r="AM49" i="16"/>
  <c r="AM44" i="16"/>
  <c r="AM51" i="16"/>
  <c r="AM50" i="16"/>
  <c r="AM42" i="16"/>
  <c r="AM46" i="16"/>
  <c r="AM47" i="16"/>
  <c r="AM43" i="16"/>
  <c r="W23" i="16"/>
  <c r="W28" i="16" s="1"/>
  <c r="AM48" i="16"/>
  <c r="AM45" i="16"/>
  <c r="T28" i="16"/>
  <c r="W24" i="16"/>
  <c r="W29" i="16" s="1"/>
  <c r="AV39" i="16"/>
  <c r="Q28" i="16"/>
  <c r="U28" i="16"/>
  <c r="T29" i="16"/>
  <c r="S28" i="16"/>
  <c r="U29" i="16"/>
  <c r="AI65" i="16"/>
  <c r="AJ58" i="16"/>
  <c r="AJ59" i="16"/>
  <c r="AD19" i="16"/>
  <c r="AD21" i="16" s="1"/>
  <c r="AI63" i="16"/>
  <c r="DA34" i="16"/>
  <c r="H38" i="16"/>
  <c r="H33" i="16"/>
  <c r="M21" i="16"/>
  <c r="H37" i="16"/>
  <c r="H36" i="16"/>
  <c r="AI58" i="16"/>
  <c r="BH49" i="16"/>
  <c r="AL60" i="16"/>
  <c r="AV38" i="16"/>
  <c r="BM28" i="16"/>
  <c r="BM30" i="16" s="1"/>
  <c r="M22" i="16"/>
  <c r="AL58" i="16"/>
  <c r="H35" i="16"/>
  <c r="AI60" i="16"/>
  <c r="AI68" i="16"/>
  <c r="AJ67" i="16"/>
  <c r="AJ64" i="16"/>
  <c r="AH61" i="16"/>
  <c r="AX36" i="16"/>
  <c r="BA28" i="16"/>
  <c r="BA36" i="16" s="1"/>
  <c r="CN38" i="16"/>
  <c r="AW38" i="16"/>
  <c r="AI64" i="16"/>
  <c r="AJ63" i="16"/>
  <c r="AW39" i="16"/>
  <c r="AU37" i="16"/>
  <c r="CO33" i="16"/>
  <c r="BW39" i="16"/>
  <c r="BX32" i="16"/>
  <c r="AH63" i="16"/>
  <c r="AN46" i="16"/>
  <c r="AN63" i="16" s="1"/>
  <c r="BA32" i="16"/>
  <c r="BA40" i="16" s="1"/>
  <c r="CZ38" i="16"/>
  <c r="DA31" i="16"/>
  <c r="AL59" i="16"/>
  <c r="AL65" i="16"/>
  <c r="AH58" i="16"/>
  <c r="AN41" i="16"/>
  <c r="AN58" i="16" s="1"/>
  <c r="AH62" i="16"/>
  <c r="AN45" i="16"/>
  <c r="AN62" i="16" s="1"/>
  <c r="AX38" i="16"/>
  <c r="AK66" i="16"/>
  <c r="AK60" i="16"/>
  <c r="AK64" i="16"/>
  <c r="DA35" i="16"/>
  <c r="AU39" i="16"/>
  <c r="AX40" i="16"/>
  <c r="DA32" i="16"/>
  <c r="CN39" i="16"/>
  <c r="CO32" i="16"/>
  <c r="AU38" i="16"/>
  <c r="AI62" i="16"/>
  <c r="AI66" i="16"/>
  <c r="BA29" i="16"/>
  <c r="BA37" i="16" s="1"/>
  <c r="AN44" i="16"/>
  <c r="AN61" i="16" s="1"/>
  <c r="AL61" i="16"/>
  <c r="AL67" i="16"/>
  <c r="AH68" i="16"/>
  <c r="AN51" i="16"/>
  <c r="AN68" i="16" s="1"/>
  <c r="AH67" i="16"/>
  <c r="AN48" i="16"/>
  <c r="AN65" i="16" s="1"/>
  <c r="AY37" i="16"/>
  <c r="AX37" i="16"/>
  <c r="DA33" i="16"/>
  <c r="AK68" i="16"/>
  <c r="AK61" i="16"/>
  <c r="AK65" i="16"/>
  <c r="BX36" i="16"/>
  <c r="H34" i="16"/>
  <c r="AW37" i="16"/>
  <c r="AH59" i="16"/>
  <c r="AV40" i="16"/>
  <c r="BX35" i="16"/>
  <c r="CO35" i="16"/>
  <c r="AY38" i="16"/>
  <c r="BA30" i="16"/>
  <c r="BA38" i="16" s="1"/>
  <c r="BH50" i="16"/>
  <c r="BH47" i="16"/>
  <c r="AN42" i="16"/>
  <c r="AN59" i="16" s="1"/>
  <c r="AL63" i="16"/>
  <c r="AL62" i="16"/>
  <c r="AH64" i="16"/>
  <c r="AN47" i="16"/>
  <c r="AN64" i="16" s="1"/>
  <c r="AN50" i="16"/>
  <c r="AN67" i="16" s="1"/>
  <c r="AH66" i="16"/>
  <c r="AN49" i="16"/>
  <c r="AN66" i="16" s="1"/>
  <c r="AK62" i="16"/>
  <c r="AK58" i="16"/>
  <c r="AW40" i="16"/>
  <c r="CO34" i="16"/>
  <c r="AI67" i="16"/>
  <c r="AV36" i="16"/>
  <c r="AJ65" i="16"/>
  <c r="AI61" i="16"/>
  <c r="AJ61" i="16"/>
  <c r="AW36" i="16"/>
  <c r="AY39" i="16"/>
  <c r="BW38" i="16"/>
  <c r="BX34" i="16"/>
  <c r="AU36" i="16"/>
  <c r="BA31" i="16"/>
  <c r="BA39" i="16" s="1"/>
  <c r="AL64" i="16"/>
  <c r="AL68" i="16"/>
  <c r="AL66" i="16"/>
  <c r="AH65" i="16"/>
  <c r="AH60" i="16"/>
  <c r="AN43" i="16"/>
  <c r="AN60" i="16" s="1"/>
  <c r="BX33" i="16"/>
  <c r="AI59" i="16"/>
  <c r="AK59" i="16"/>
  <c r="AK63" i="16"/>
  <c r="AK67" i="16"/>
  <c r="AY40" i="16"/>
  <c r="AY36" i="16"/>
  <c r="AX39" i="16"/>
  <c r="CO50" i="15"/>
  <c r="CO54" i="15"/>
  <c r="CR55" i="15"/>
  <c r="CR53" i="15"/>
  <c r="CR52" i="15"/>
  <c r="CR50" i="15"/>
  <c r="CR49" i="15"/>
  <c r="CR48" i="15"/>
  <c r="CR47" i="15"/>
  <c r="CR46" i="15"/>
  <c r="CR44" i="15"/>
  <c r="CO44" i="15"/>
  <c r="CO47" i="15"/>
  <c r="CO51" i="15"/>
  <c r="CO55" i="15"/>
  <c r="CQ56" i="15"/>
  <c r="CQ55" i="15"/>
  <c r="CQ54" i="15"/>
  <c r="CQ53" i="15"/>
  <c r="CQ52" i="15"/>
  <c r="CQ51" i="15"/>
  <c r="CQ50" i="15"/>
  <c r="CQ49" i="15"/>
  <c r="CQ48" i="15"/>
  <c r="CQ47" i="15"/>
  <c r="CQ46" i="15"/>
  <c r="CQ45" i="15"/>
  <c r="CQ44" i="15"/>
  <c r="CO48" i="15"/>
  <c r="CO52" i="15"/>
  <c r="CO56" i="15"/>
  <c r="CP56" i="15"/>
  <c r="CP55" i="15"/>
  <c r="CP54" i="15"/>
  <c r="CP53" i="15"/>
  <c r="CP52" i="15"/>
  <c r="CP51" i="15"/>
  <c r="CP50" i="15"/>
  <c r="CP49" i="15"/>
  <c r="CP48" i="15"/>
  <c r="CP47" i="15"/>
  <c r="CP46" i="15"/>
  <c r="CP45" i="15"/>
  <c r="CP44" i="15"/>
  <c r="CO45" i="15"/>
  <c r="CO49" i="15"/>
  <c r="CO53" i="15"/>
  <c r="CS56" i="15"/>
  <c r="CS55" i="15"/>
  <c r="CS54" i="15"/>
  <c r="CS53" i="15"/>
  <c r="CS52" i="15"/>
  <c r="CS51" i="15"/>
  <c r="CS50" i="15"/>
  <c r="CS49" i="15"/>
  <c r="CS48" i="15"/>
  <c r="CS47" i="15"/>
  <c r="CS46" i="15"/>
  <c r="CS45" i="15"/>
  <c r="CS44" i="15"/>
  <c r="CO46" i="15"/>
  <c r="CR56" i="15"/>
  <c r="CR54" i="15"/>
  <c r="CR51" i="15"/>
  <c r="H95" i="15"/>
  <c r="G26" i="15"/>
  <c r="G20" i="15"/>
  <c r="AE53" i="15"/>
  <c r="AD53" i="15"/>
  <c r="AC53" i="15"/>
  <c r="AA53" i="15"/>
  <c r="AB53" i="15" s="1"/>
  <c r="Z53" i="15"/>
  <c r="Y53" i="15"/>
  <c r="X53" i="15"/>
  <c r="AE52" i="15"/>
  <c r="AD52" i="15"/>
  <c r="AC52" i="15"/>
  <c r="AA52" i="15"/>
  <c r="AB52" i="15" s="1"/>
  <c r="Z52" i="15"/>
  <c r="Y52" i="15"/>
  <c r="X52" i="15"/>
  <c r="AE51" i="15"/>
  <c r="AD51" i="15"/>
  <c r="AC51" i="15"/>
  <c r="AA51" i="15"/>
  <c r="AB51" i="15" s="1"/>
  <c r="Z51" i="15"/>
  <c r="Y51" i="15"/>
  <c r="X51" i="15"/>
  <c r="AE50" i="15"/>
  <c r="AD50" i="15"/>
  <c r="AC50" i="15"/>
  <c r="AA50" i="15"/>
  <c r="AB50" i="15" s="1"/>
  <c r="Z50" i="15"/>
  <c r="Y50" i="15"/>
  <c r="X50" i="15"/>
  <c r="AE49" i="15"/>
  <c r="AD49" i="15"/>
  <c r="AC49" i="15"/>
  <c r="AA49" i="15"/>
  <c r="AB49" i="15" s="1"/>
  <c r="Z49" i="15"/>
  <c r="Y49" i="15"/>
  <c r="X49" i="15"/>
  <c r="AE48" i="15"/>
  <c r="AD48" i="15"/>
  <c r="AC48" i="15"/>
  <c r="AA48" i="15"/>
  <c r="AB48" i="15" s="1"/>
  <c r="Z48" i="15"/>
  <c r="Y48" i="15"/>
  <c r="X48" i="15"/>
  <c r="AE47" i="15"/>
  <c r="AD47" i="15"/>
  <c r="AC47" i="15"/>
  <c r="AA47" i="15"/>
  <c r="AB47" i="15" s="1"/>
  <c r="Z47" i="15"/>
  <c r="Y47" i="15"/>
  <c r="X47" i="15"/>
  <c r="AE46" i="15"/>
  <c r="AD46" i="15"/>
  <c r="AC46" i="15"/>
  <c r="AA46" i="15"/>
  <c r="Z46" i="15"/>
  <c r="Y46" i="15"/>
  <c r="X46" i="15"/>
  <c r="AE45" i="15"/>
  <c r="AD45" i="15"/>
  <c r="AC45" i="15"/>
  <c r="AA45" i="15"/>
  <c r="AB45" i="15" s="1"/>
  <c r="Z45" i="15"/>
  <c r="Y45" i="15"/>
  <c r="X45" i="15"/>
  <c r="CM56" i="15"/>
  <c r="CM73" i="15" s="1"/>
  <c r="BZ56" i="15"/>
  <c r="BZ73" i="15" s="1"/>
  <c r="AE44" i="15"/>
  <c r="AD44" i="15"/>
  <c r="AC44" i="15"/>
  <c r="AA44" i="15"/>
  <c r="AB44" i="15" s="1"/>
  <c r="Z44" i="15"/>
  <c r="Y44" i="15"/>
  <c r="X44" i="15"/>
  <c r="G46" i="15"/>
  <c r="G47" i="15" s="1"/>
  <c r="CM55" i="15"/>
  <c r="CM72" i="15" s="1"/>
  <c r="BZ55" i="15"/>
  <c r="BZ72" i="15" s="1"/>
  <c r="AE43" i="15"/>
  <c r="AD43" i="15"/>
  <c r="AC43" i="15"/>
  <c r="AA43" i="15"/>
  <c r="AB43" i="15" s="1"/>
  <c r="Z43" i="15"/>
  <c r="Y43" i="15"/>
  <c r="X43" i="15"/>
  <c r="CM54" i="15"/>
  <c r="CM71" i="15" s="1"/>
  <c r="BZ54" i="15"/>
  <c r="BZ71" i="15" s="1"/>
  <c r="AE42" i="15"/>
  <c r="AD42" i="15"/>
  <c r="AC42" i="15"/>
  <c r="AA42" i="15"/>
  <c r="AB42" i="15" s="1"/>
  <c r="Z42" i="15"/>
  <c r="Y42" i="15"/>
  <c r="X42" i="15"/>
  <c r="CM53" i="15"/>
  <c r="CM70" i="15" s="1"/>
  <c r="BZ53" i="15"/>
  <c r="BZ70" i="15" s="1"/>
  <c r="CM52" i="15"/>
  <c r="CM69" i="15" s="1"/>
  <c r="BZ52" i="15"/>
  <c r="BZ69" i="15" s="1"/>
  <c r="CM51" i="15"/>
  <c r="CM68" i="15" s="1"/>
  <c r="BZ51" i="15"/>
  <c r="BZ68" i="15" s="1"/>
  <c r="AS35" i="15"/>
  <c r="Y39" i="15"/>
  <c r="G41" i="15"/>
  <c r="CM50" i="15"/>
  <c r="CM67" i="15" s="1"/>
  <c r="BZ50" i="15"/>
  <c r="BZ67" i="15" s="1"/>
  <c r="AI34" i="15"/>
  <c r="CM49" i="15"/>
  <c r="CM66" i="15" s="1"/>
  <c r="BZ49" i="15"/>
  <c r="BZ66" i="15" s="1"/>
  <c r="CM48" i="15"/>
  <c r="CM65" i="15" s="1"/>
  <c r="BZ48" i="15"/>
  <c r="BZ65" i="15" s="1"/>
  <c r="AN32" i="15"/>
  <c r="AM32" i="15"/>
  <c r="AL32" i="15"/>
  <c r="AK32" i="15"/>
  <c r="AJ32" i="15"/>
  <c r="AH32" i="15"/>
  <c r="AH40" i="15" s="1"/>
  <c r="AG32" i="15"/>
  <c r="AG40" i="15" s="1"/>
  <c r="CM47" i="15"/>
  <c r="CM64" i="15" s="1"/>
  <c r="BZ47" i="15"/>
  <c r="BZ64" i="15" s="1"/>
  <c r="AN31" i="15"/>
  <c r="AM31" i="15"/>
  <c r="AL31" i="15"/>
  <c r="AK31" i="15"/>
  <c r="AJ31" i="15"/>
  <c r="AH31" i="15"/>
  <c r="AH39" i="15" s="1"/>
  <c r="AG31" i="15"/>
  <c r="AG39" i="15" s="1"/>
  <c r="CM46" i="15"/>
  <c r="CM63" i="15" s="1"/>
  <c r="BZ46" i="15"/>
  <c r="BZ63" i="15" s="1"/>
  <c r="AN30" i="15"/>
  <c r="AM30" i="15"/>
  <c r="AL30" i="15"/>
  <c r="AK30" i="15"/>
  <c r="AJ30" i="15"/>
  <c r="AH30" i="15"/>
  <c r="AH38" i="15" s="1"/>
  <c r="AG30" i="15"/>
  <c r="AG38" i="15" s="1"/>
  <c r="CM45" i="15"/>
  <c r="CM62" i="15" s="1"/>
  <c r="BZ45" i="15"/>
  <c r="BZ62" i="15" s="1"/>
  <c r="AN29" i="15"/>
  <c r="AM29" i="15"/>
  <c r="AL29" i="15"/>
  <c r="AK29" i="15"/>
  <c r="AJ29" i="15"/>
  <c r="AH29" i="15"/>
  <c r="AH37" i="15" s="1"/>
  <c r="AG29" i="15"/>
  <c r="AG37" i="15" s="1"/>
  <c r="X33" i="15"/>
  <c r="CM44" i="15"/>
  <c r="CM61" i="15" s="1"/>
  <c r="BZ44" i="15"/>
  <c r="BZ61" i="15" s="1"/>
  <c r="AN28" i="15"/>
  <c r="AM28" i="15"/>
  <c r="AL28" i="15"/>
  <c r="AK28" i="15"/>
  <c r="AJ28" i="15"/>
  <c r="AH28" i="15"/>
  <c r="AH36" i="15" s="1"/>
  <c r="AG28" i="15"/>
  <c r="AG36" i="15" s="1"/>
  <c r="X32" i="15"/>
  <c r="DG31" i="15"/>
  <c r="DA31" i="15"/>
  <c r="DB31" i="15" s="1"/>
  <c r="X31" i="15"/>
  <c r="G33" i="15"/>
  <c r="H33" i="15" s="1"/>
  <c r="F33" i="15"/>
  <c r="CA38" i="15"/>
  <c r="CN38" i="15" s="1"/>
  <c r="DL20" i="15"/>
  <c r="CA37" i="15"/>
  <c r="CN37" i="15" s="1"/>
  <c r="DL19" i="15"/>
  <c r="DL42" i="15" s="1"/>
  <c r="DM42" i="15" s="1"/>
  <c r="DG19" i="15"/>
  <c r="CA36" i="15"/>
  <c r="CN36" i="15" s="1"/>
  <c r="DL18" i="15"/>
  <c r="DL41" i="15" s="1"/>
  <c r="DM41" i="15" s="1"/>
  <c r="DG18" i="15"/>
  <c r="DG41" i="15" s="1"/>
  <c r="DH41" i="15" s="1"/>
  <c r="CZ19" i="15"/>
  <c r="CZ42" i="15" s="1"/>
  <c r="CA35" i="15"/>
  <c r="CN35" i="15" s="1"/>
  <c r="AX18" i="15"/>
  <c r="AX35" i="15" s="1"/>
  <c r="AY35" i="15" s="1"/>
  <c r="DL17" i="15"/>
  <c r="DL40" i="15" s="1"/>
  <c r="DM40" i="15" s="1"/>
  <c r="DG17" i="15"/>
  <c r="DG40" i="15" s="1"/>
  <c r="DH40" i="15" s="1"/>
  <c r="CZ18" i="15"/>
  <c r="CZ41" i="15" s="1"/>
  <c r="CA34" i="15"/>
  <c r="CN34" i="15" s="1"/>
  <c r="AX17" i="15"/>
  <c r="AX34" i="15" s="1"/>
  <c r="AY34" i="15" s="1"/>
  <c r="DL16" i="15"/>
  <c r="DL39" i="15" s="1"/>
  <c r="DM39" i="15" s="1"/>
  <c r="DG16" i="15"/>
  <c r="DG39" i="15" s="1"/>
  <c r="DH39" i="15" s="1"/>
  <c r="CZ17" i="15"/>
  <c r="CZ40" i="15" s="1"/>
  <c r="CA33" i="15"/>
  <c r="CN33" i="15" s="1"/>
  <c r="AX16" i="15"/>
  <c r="AX33" i="15" s="1"/>
  <c r="AY33" i="15" s="1"/>
  <c r="DL15" i="15"/>
  <c r="DL38" i="15" s="1"/>
  <c r="DM38" i="15" s="1"/>
  <c r="DG15" i="15"/>
  <c r="DG38" i="15" s="1"/>
  <c r="DH38" i="15" s="1"/>
  <c r="CZ16" i="15"/>
  <c r="CZ39" i="15" s="1"/>
  <c r="CA32" i="15"/>
  <c r="CN32" i="15" s="1"/>
  <c r="AX15" i="15"/>
  <c r="AX32" i="15" s="1"/>
  <c r="AY32" i="15" s="1"/>
  <c r="W15" i="15"/>
  <c r="W38" i="15" s="1"/>
  <c r="DL14" i="15"/>
  <c r="DL37" i="15" s="1"/>
  <c r="DM37" i="15" s="1"/>
  <c r="DG14" i="15"/>
  <c r="DG37" i="15" s="1"/>
  <c r="DH37" i="15" s="1"/>
  <c r="CZ15" i="15"/>
  <c r="CZ38" i="15" s="1"/>
  <c r="CA31" i="15"/>
  <c r="CN31" i="15" s="1"/>
  <c r="AX14" i="15"/>
  <c r="AX31" i="15" s="1"/>
  <c r="AY31" i="15" s="1"/>
  <c r="W14" i="15"/>
  <c r="W37" i="15" s="1"/>
  <c r="DL13" i="15"/>
  <c r="DL36" i="15" s="1"/>
  <c r="DM36" i="15" s="1"/>
  <c r="DG13" i="15"/>
  <c r="DG36" i="15" s="1"/>
  <c r="DH36" i="15" s="1"/>
  <c r="CZ13" i="15"/>
  <c r="CZ36" i="15" s="1"/>
  <c r="DA36" i="15" s="1"/>
  <c r="CA30" i="15"/>
  <c r="CN30" i="15" s="1"/>
  <c r="BG13" i="15"/>
  <c r="BB13" i="15"/>
  <c r="BB30" i="15" s="1"/>
  <c r="BC30" i="15" s="1"/>
  <c r="AX13" i="15"/>
  <c r="AX30" i="15" s="1"/>
  <c r="AY30" i="15" s="1"/>
  <c r="AI21" i="15"/>
  <c r="AI32" i="15" s="1"/>
  <c r="AI40" i="15" s="1"/>
  <c r="W13" i="15"/>
  <c r="DL12" i="15"/>
  <c r="DL35" i="15" s="1"/>
  <c r="DM35" i="15" s="1"/>
  <c r="DG12" i="15"/>
  <c r="DG35" i="15" s="1"/>
  <c r="DH35" i="15" s="1"/>
  <c r="CZ12" i="15"/>
  <c r="CZ35" i="15" s="1"/>
  <c r="DA35" i="15" s="1"/>
  <c r="CA29" i="15"/>
  <c r="CN29" i="15" s="1"/>
  <c r="BL12" i="15"/>
  <c r="BL29" i="15" s="1"/>
  <c r="BM29" i="15" s="1"/>
  <c r="BG12" i="15"/>
  <c r="BG29" i="15" s="1"/>
  <c r="BH29" i="15" s="1"/>
  <c r="BB12" i="15"/>
  <c r="BB29" i="15" s="1"/>
  <c r="BC29" i="15" s="1"/>
  <c r="AX12" i="15"/>
  <c r="AX29" i="15" s="1"/>
  <c r="AY29" i="15" s="1"/>
  <c r="AI20" i="15"/>
  <c r="AI31" i="15" s="1"/>
  <c r="AI39" i="15" s="1"/>
  <c r="W12" i="15"/>
  <c r="DL11" i="15"/>
  <c r="DL34" i="15" s="1"/>
  <c r="DM34" i="15" s="1"/>
  <c r="DG11" i="15"/>
  <c r="DG34" i="15" s="1"/>
  <c r="DH34" i="15" s="1"/>
  <c r="CZ11" i="15"/>
  <c r="CZ34" i="15" s="1"/>
  <c r="DA34" i="15" s="1"/>
  <c r="CA28" i="15"/>
  <c r="CN28" i="15" s="1"/>
  <c r="BL11" i="15"/>
  <c r="BL28" i="15" s="1"/>
  <c r="BM28" i="15" s="1"/>
  <c r="BG11" i="15"/>
  <c r="BG28" i="15" s="1"/>
  <c r="BH28" i="15" s="1"/>
  <c r="BB11" i="15"/>
  <c r="BB28" i="15" s="1"/>
  <c r="BC28" i="15" s="1"/>
  <c r="AX11" i="15"/>
  <c r="AX28" i="15" s="1"/>
  <c r="AY28" i="15" s="1"/>
  <c r="AI19" i="15"/>
  <c r="AI30" i="15" s="1"/>
  <c r="AI38" i="15" s="1"/>
  <c r="X11" i="15"/>
  <c r="Y34" i="15" s="1"/>
  <c r="F11" i="15"/>
  <c r="DL10" i="15"/>
  <c r="DL33" i="15" s="1"/>
  <c r="DM33" i="15" s="1"/>
  <c r="DG10" i="15"/>
  <c r="DG33" i="15" s="1"/>
  <c r="DH33" i="15" s="1"/>
  <c r="CZ10" i="15"/>
  <c r="CZ33" i="15" s="1"/>
  <c r="DA33" i="15" s="1"/>
  <c r="CA27" i="15"/>
  <c r="CN27" i="15" s="1"/>
  <c r="BL10" i="15"/>
  <c r="BL27" i="15" s="1"/>
  <c r="BM27" i="15" s="1"/>
  <c r="BG10" i="15"/>
  <c r="BG27" i="15" s="1"/>
  <c r="BH27" i="15" s="1"/>
  <c r="BB10" i="15"/>
  <c r="BB27" i="15" s="1"/>
  <c r="BC27" i="15" s="1"/>
  <c r="AX10" i="15"/>
  <c r="AX27" i="15" s="1"/>
  <c r="AY27" i="15" s="1"/>
  <c r="AI18" i="15"/>
  <c r="AI29" i="15" s="1"/>
  <c r="AI37" i="15" s="1"/>
  <c r="X10" i="15"/>
  <c r="F10" i="15"/>
  <c r="F35" i="15" s="1"/>
  <c r="G35" i="15" s="1"/>
  <c r="DL9" i="15"/>
  <c r="DL32" i="15" s="1"/>
  <c r="DM32" i="15" s="1"/>
  <c r="DG9" i="15"/>
  <c r="DG32" i="15" s="1"/>
  <c r="DH32" i="15" s="1"/>
  <c r="CZ9" i="15"/>
  <c r="CZ32" i="15" s="1"/>
  <c r="CA26" i="15"/>
  <c r="CN26" i="15" s="1"/>
  <c r="BL9" i="15"/>
  <c r="BL26" i="15" s="1"/>
  <c r="BM26" i="15" s="1"/>
  <c r="BG9" i="15"/>
  <c r="BG26" i="15" s="1"/>
  <c r="BH26" i="15" s="1"/>
  <c r="BB9" i="15"/>
  <c r="BB26" i="15" s="1"/>
  <c r="BC26" i="15" s="1"/>
  <c r="AX9" i="15"/>
  <c r="AX26" i="15" s="1"/>
  <c r="AY26" i="15" s="1"/>
  <c r="AI17" i="15"/>
  <c r="AI28" i="15" s="1"/>
  <c r="AI36" i="15" s="1"/>
  <c r="W9" i="15"/>
  <c r="W32" i="15" s="1"/>
  <c r="F9" i="15"/>
  <c r="F34" i="15" s="1"/>
  <c r="G34" i="15" s="1"/>
  <c r="DL6" i="15"/>
  <c r="DG6" i="15"/>
  <c r="CZ6" i="15"/>
  <c r="BL6" i="15"/>
  <c r="BG6" i="15"/>
  <c r="BB6" i="15"/>
  <c r="AX6" i="15"/>
  <c r="W6" i="15"/>
  <c r="F6" i="15"/>
  <c r="AF29" i="14"/>
  <c r="E101" i="14"/>
  <c r="AP171" i="14"/>
  <c r="AQ171" i="14" s="1"/>
  <c r="AO156" i="14"/>
  <c r="AO175" i="14" s="1"/>
  <c r="AP175" i="14" s="1"/>
  <c r="AO155" i="14"/>
  <c r="AO174" i="14" s="1"/>
  <c r="AP174" i="14" s="1"/>
  <c r="AO154" i="14"/>
  <c r="AO173" i="14" s="1"/>
  <c r="AP173" i="14" s="1"/>
  <c r="AO153" i="14"/>
  <c r="AO172" i="14" s="1"/>
  <c r="AP172" i="14" s="1"/>
  <c r="AO150" i="14"/>
  <c r="AO106" i="14"/>
  <c r="AO130" i="14" s="1"/>
  <c r="AP130" i="14" s="1"/>
  <c r="AO105" i="14"/>
  <c r="AO129" i="14" s="1"/>
  <c r="AP129" i="14" s="1"/>
  <c r="AO102" i="14"/>
  <c r="E96" i="14"/>
  <c r="F96" i="14" s="1"/>
  <c r="E95" i="14"/>
  <c r="F95" i="14" s="1"/>
  <c r="E94" i="14"/>
  <c r="F94" i="14" s="1"/>
  <c r="E93" i="14"/>
  <c r="F93" i="14" s="1"/>
  <c r="E92" i="14"/>
  <c r="F92" i="14" s="1"/>
  <c r="E91" i="14"/>
  <c r="F91" i="14" s="1"/>
  <c r="E90" i="14"/>
  <c r="F90" i="14" s="1"/>
  <c r="E89" i="14"/>
  <c r="F89" i="14" s="1"/>
  <c r="E88" i="14"/>
  <c r="F88" i="14" s="1"/>
  <c r="AP88" i="14" a="1"/>
  <c r="AP88" i="14" s="1"/>
  <c r="E87" i="14"/>
  <c r="F87" i="14" s="1"/>
  <c r="E86" i="14"/>
  <c r="F86" i="14" s="1"/>
  <c r="E85" i="14"/>
  <c r="F85" i="14" s="1"/>
  <c r="E84" i="14"/>
  <c r="F84" i="14" s="1"/>
  <c r="E83" i="14"/>
  <c r="F83" i="14" s="1"/>
  <c r="E82" i="14"/>
  <c r="F82" i="14" s="1"/>
  <c r="E81" i="14"/>
  <c r="F81" i="14" s="1"/>
  <c r="E80" i="14"/>
  <c r="F80" i="14" s="1"/>
  <c r="AQ79" i="14"/>
  <c r="AP79" i="14"/>
  <c r="E79" i="14"/>
  <c r="F79" i="14" s="1"/>
  <c r="E78" i="14"/>
  <c r="F78" i="14" s="1"/>
  <c r="E77" i="14"/>
  <c r="F77" i="14" s="1"/>
  <c r="E76" i="14"/>
  <c r="F76" i="14" s="1"/>
  <c r="E75" i="14"/>
  <c r="F75" i="14" s="1"/>
  <c r="E74" i="14"/>
  <c r="F74" i="14" s="1"/>
  <c r="E73" i="14"/>
  <c r="F73" i="14" s="1"/>
  <c r="E72" i="14"/>
  <c r="F72" i="14" s="1"/>
  <c r="E71" i="14"/>
  <c r="F71" i="14" s="1"/>
  <c r="E70" i="14"/>
  <c r="F70" i="14" s="1"/>
  <c r="E69" i="14"/>
  <c r="F69" i="14" s="1"/>
  <c r="E68" i="14"/>
  <c r="F68" i="14" s="1"/>
  <c r="E67" i="14"/>
  <c r="F67" i="14" s="1"/>
  <c r="AO67" i="14"/>
  <c r="AO90" i="14" s="1"/>
  <c r="E66" i="14"/>
  <c r="F66" i="14" s="1"/>
  <c r="AO66" i="14"/>
  <c r="AO89" i="14" s="1"/>
  <c r="E65" i="14"/>
  <c r="F65" i="14" s="1"/>
  <c r="AO65" i="14"/>
  <c r="AO88" i="14" s="1"/>
  <c r="E64" i="14"/>
  <c r="F64" i="14" s="1"/>
  <c r="AO64" i="14"/>
  <c r="AO87" i="14" s="1"/>
  <c r="E63" i="14"/>
  <c r="F63" i="14" s="1"/>
  <c r="AO63" i="14"/>
  <c r="AO86" i="14" s="1"/>
  <c r="E62" i="14"/>
  <c r="F62" i="14" s="1"/>
  <c r="AO61" i="14"/>
  <c r="AO84" i="14" s="1"/>
  <c r="AP84" i="14" s="1"/>
  <c r="E61" i="14"/>
  <c r="F61" i="14" s="1"/>
  <c r="AO60" i="14"/>
  <c r="AO83" i="14" s="1"/>
  <c r="AP83" i="14" s="1"/>
  <c r="E60" i="14"/>
  <c r="F60" i="14" s="1"/>
  <c r="AO59" i="14"/>
  <c r="AO82" i="14" s="1"/>
  <c r="AP82" i="14" s="1"/>
  <c r="E59" i="14"/>
  <c r="F59" i="14" s="1"/>
  <c r="AO58" i="14"/>
  <c r="AO81" i="14" s="1"/>
  <c r="AP81" i="14" s="1"/>
  <c r="E58" i="14"/>
  <c r="F58" i="14" s="1"/>
  <c r="AO57" i="14"/>
  <c r="AO80" i="14" s="1"/>
  <c r="AP80" i="14" s="1"/>
  <c r="E57" i="14"/>
  <c r="F57" i="14" s="1"/>
  <c r="E56" i="14"/>
  <c r="F56" i="14" s="1"/>
  <c r="E55" i="14"/>
  <c r="F55" i="14" s="1"/>
  <c r="AO54" i="14"/>
  <c r="E54" i="14"/>
  <c r="F54" i="14" s="1"/>
  <c r="AL53" i="14"/>
  <c r="AJ53" i="14"/>
  <c r="AK53" i="14" s="1"/>
  <c r="AI53" i="14"/>
  <c r="AH53" i="14"/>
  <c r="AG53" i="14"/>
  <c r="E53" i="14"/>
  <c r="F53" i="14" s="1"/>
  <c r="AL52" i="14"/>
  <c r="AJ52" i="14"/>
  <c r="AK52" i="14" s="1"/>
  <c r="AI52" i="14"/>
  <c r="AH52" i="14"/>
  <c r="AG52" i="14"/>
  <c r="E52" i="14"/>
  <c r="F52" i="14" s="1"/>
  <c r="AL51" i="14"/>
  <c r="AJ51" i="14"/>
  <c r="AK51" i="14" s="1"/>
  <c r="AI51" i="14"/>
  <c r="AH51" i="14"/>
  <c r="AG51" i="14"/>
  <c r="E51" i="14"/>
  <c r="F51" i="14" s="1"/>
  <c r="AL50" i="14"/>
  <c r="AJ50" i="14"/>
  <c r="AK50" i="14" s="1"/>
  <c r="AI50" i="14"/>
  <c r="AH50" i="14"/>
  <c r="AG50" i="14"/>
  <c r="E50" i="14"/>
  <c r="F50" i="14" s="1"/>
  <c r="AL49" i="14"/>
  <c r="AJ49" i="14"/>
  <c r="AK49" i="14" s="1"/>
  <c r="AI49" i="14"/>
  <c r="AH49" i="14"/>
  <c r="AG49" i="14"/>
  <c r="E49" i="14"/>
  <c r="F49" i="14" s="1"/>
  <c r="AL48" i="14"/>
  <c r="AJ48" i="14"/>
  <c r="AK48" i="14" s="1"/>
  <c r="AI48" i="14"/>
  <c r="AH48" i="14"/>
  <c r="AG48" i="14"/>
  <c r="E48" i="14"/>
  <c r="F48" i="14" s="1"/>
  <c r="AL47" i="14"/>
  <c r="AJ47" i="14"/>
  <c r="AK47" i="14" s="1"/>
  <c r="AI47" i="14"/>
  <c r="AH47" i="14"/>
  <c r="AG47" i="14"/>
  <c r="E47" i="14"/>
  <c r="F47" i="14" s="1"/>
  <c r="AL46" i="14"/>
  <c r="AJ46" i="14"/>
  <c r="AK46" i="14" s="1"/>
  <c r="AI46" i="14"/>
  <c r="AH46" i="14"/>
  <c r="AG46" i="14"/>
  <c r="E46" i="14"/>
  <c r="F46" i="14" s="1"/>
  <c r="AL45" i="14"/>
  <c r="AJ45" i="14"/>
  <c r="AK45" i="14" s="1"/>
  <c r="AI45" i="14"/>
  <c r="AH45" i="14"/>
  <c r="AG45" i="14"/>
  <c r="E45" i="14"/>
  <c r="F45" i="14" s="1"/>
  <c r="AL44" i="14"/>
  <c r="AJ44" i="14"/>
  <c r="AK44" i="14" s="1"/>
  <c r="AI44" i="14"/>
  <c r="AH44" i="14"/>
  <c r="AG44" i="14"/>
  <c r="E44" i="14"/>
  <c r="F44" i="14" s="1"/>
  <c r="AL43" i="14"/>
  <c r="AJ43" i="14"/>
  <c r="AK43" i="14" s="1"/>
  <c r="AI43" i="14"/>
  <c r="AH43" i="14"/>
  <c r="AG43" i="14"/>
  <c r="E43" i="14"/>
  <c r="F43" i="14" s="1"/>
  <c r="AL42" i="14"/>
  <c r="AJ42" i="14"/>
  <c r="AK42" i="14" s="1"/>
  <c r="AI42" i="14"/>
  <c r="AH42" i="14"/>
  <c r="AG42" i="14"/>
  <c r="W42" i="14"/>
  <c r="E42" i="14"/>
  <c r="F42" i="14" s="1"/>
  <c r="W41" i="14"/>
  <c r="E41" i="14"/>
  <c r="F41" i="14" s="1"/>
  <c r="W40" i="14"/>
  <c r="T40" i="14" a="1"/>
  <c r="T40" i="14" s="1"/>
  <c r="E40" i="14"/>
  <c r="F40" i="14" s="1"/>
  <c r="AP40" i="14" a="1"/>
  <c r="AP40" i="14" s="1"/>
  <c r="AH39" i="14"/>
  <c r="AG39" i="14"/>
  <c r="W39" i="14"/>
  <c r="E39" i="14"/>
  <c r="F39" i="14" s="1"/>
  <c r="AW39" i="14"/>
  <c r="W38" i="14"/>
  <c r="E38" i="14"/>
  <c r="F38" i="14" s="1"/>
  <c r="AW37" i="14"/>
  <c r="AH37" i="14"/>
  <c r="AH38" i="14" s="1"/>
  <c r="AG37" i="14"/>
  <c r="E37" i="14"/>
  <c r="F37" i="14" s="1"/>
  <c r="AW36" i="14"/>
  <c r="AH36" i="14"/>
  <c r="E36" i="14"/>
  <c r="F36" i="14" s="1"/>
  <c r="AW35" i="14"/>
  <c r="AH35" i="14"/>
  <c r="AG35" i="14"/>
  <c r="E35" i="14"/>
  <c r="F35" i="14" s="1"/>
  <c r="AW34" i="14"/>
  <c r="AH34" i="14"/>
  <c r="E34" i="14"/>
  <c r="F34" i="14" s="1"/>
  <c r="AW33" i="14"/>
  <c r="AG33" i="14" a="1"/>
  <c r="AG33" i="14" s="1"/>
  <c r="E33" i="14"/>
  <c r="F33" i="14" s="1"/>
  <c r="AW32" i="14"/>
  <c r="AH32" i="14"/>
  <c r="AG32" i="14"/>
  <c r="E32" i="14"/>
  <c r="F32" i="14" s="1"/>
  <c r="AQ31" i="14"/>
  <c r="AP31" i="14"/>
  <c r="AG31" i="14"/>
  <c r="AB31" i="14"/>
  <c r="AA31" i="14"/>
  <c r="Z31" i="14"/>
  <c r="U31" i="14"/>
  <c r="T31" i="14"/>
  <c r="S31" i="14"/>
  <c r="E31" i="14"/>
  <c r="F31" i="14" s="1"/>
  <c r="E30" i="14"/>
  <c r="F30" i="14" s="1"/>
  <c r="AG34" i="14"/>
  <c r="E29" i="14"/>
  <c r="F29" i="14" s="1"/>
  <c r="E28" i="14"/>
  <c r="F28" i="14" s="1"/>
  <c r="E27" i="14"/>
  <c r="F27" i="14" s="1"/>
  <c r="E26" i="14"/>
  <c r="F26" i="14" s="1"/>
  <c r="E25" i="14"/>
  <c r="F25" i="14" s="1"/>
  <c r="E24" i="14"/>
  <c r="F24" i="14" s="1"/>
  <c r="E23" i="14"/>
  <c r="F23" i="14" s="1"/>
  <c r="E22" i="14"/>
  <c r="F22" i="14" s="1"/>
  <c r="E21" i="14"/>
  <c r="F21" i="14" s="1"/>
  <c r="E20" i="14"/>
  <c r="F20" i="14" s="1"/>
  <c r="S19" i="14"/>
  <c r="S42" i="14" s="1"/>
  <c r="E19" i="14"/>
  <c r="F19" i="14" s="1"/>
  <c r="AO19" i="14"/>
  <c r="AO42" i="14" s="1"/>
  <c r="S18" i="14"/>
  <c r="S41" i="14" s="1"/>
  <c r="E18" i="14"/>
  <c r="F18" i="14" s="1"/>
  <c r="AO18" i="14"/>
  <c r="AO41" i="14" s="1"/>
  <c r="S17" i="14"/>
  <c r="S40" i="14" s="1"/>
  <c r="E17" i="14"/>
  <c r="F17" i="14" s="1"/>
  <c r="AO17" i="14"/>
  <c r="AO40" i="14" s="1"/>
  <c r="S16" i="14"/>
  <c r="S39" i="14" s="1"/>
  <c r="E16" i="14"/>
  <c r="F16" i="14" s="1"/>
  <c r="AV15" i="14"/>
  <c r="AO16" i="14"/>
  <c r="AO39" i="14" s="1"/>
  <c r="AF15" i="14"/>
  <c r="AF38" i="14" s="1"/>
  <c r="S15" i="14"/>
  <c r="S38" i="14" s="1"/>
  <c r="E15" i="14"/>
  <c r="F15" i="14" s="1"/>
  <c r="AV14" i="14"/>
  <c r="AO15" i="14"/>
  <c r="AO38" i="14" s="1"/>
  <c r="AF14" i="14"/>
  <c r="AF37" i="14" s="1"/>
  <c r="E14" i="14"/>
  <c r="F14" i="14" s="1"/>
  <c r="AV13" i="14"/>
  <c r="AO13" i="14"/>
  <c r="AP13" i="14" s="1"/>
  <c r="AF13" i="14"/>
  <c r="S13" i="14"/>
  <c r="S36" i="14" s="1"/>
  <c r="T36" i="14" s="1"/>
  <c r="E13" i="14"/>
  <c r="F13" i="14" s="1"/>
  <c r="AV12" i="14"/>
  <c r="AO12" i="14"/>
  <c r="AP12" i="14" s="1"/>
  <c r="AR35" i="14" s="1"/>
  <c r="AF12" i="14"/>
  <c r="S12" i="14"/>
  <c r="S35" i="14" s="1"/>
  <c r="T35" i="14" s="1"/>
  <c r="E12" i="14"/>
  <c r="F12" i="14" s="1"/>
  <c r="AV11" i="14"/>
  <c r="AO11" i="14"/>
  <c r="AP11" i="14" s="1"/>
  <c r="AG11" i="14"/>
  <c r="Y11" i="15" s="1"/>
  <c r="S11" i="14"/>
  <c r="S34" i="14" s="1"/>
  <c r="T34" i="14" s="1"/>
  <c r="E11" i="14"/>
  <c r="F11" i="14" s="1"/>
  <c r="AV10" i="14"/>
  <c r="AV40" i="14" s="1"/>
  <c r="AO10" i="14"/>
  <c r="AO33" i="14" s="1"/>
  <c r="AP33" i="14" s="1"/>
  <c r="AG10" i="14"/>
  <c r="Y10" i="15" s="1"/>
  <c r="Z10" i="14"/>
  <c r="Z33" i="14" s="1"/>
  <c r="AA33" i="14" s="1"/>
  <c r="S10" i="14"/>
  <c r="S33" i="14" s="1"/>
  <c r="T33" i="14" s="1"/>
  <c r="E10" i="14"/>
  <c r="F10" i="14" s="1"/>
  <c r="AV9" i="14"/>
  <c r="AV39" i="14" s="1"/>
  <c r="AO9" i="14"/>
  <c r="AO32" i="14" s="1"/>
  <c r="AP32" i="14" s="1"/>
  <c r="AF9" i="14"/>
  <c r="AF32" i="14" s="1"/>
  <c r="Z9" i="14"/>
  <c r="Z32" i="14" s="1"/>
  <c r="AA32" i="14" s="1"/>
  <c r="S9" i="14"/>
  <c r="S32" i="14" s="1"/>
  <c r="T32" i="14" s="1"/>
  <c r="E9" i="14"/>
  <c r="F9" i="14" s="1"/>
  <c r="AV6" i="14"/>
  <c r="AO6" i="14"/>
  <c r="AF6" i="14"/>
  <c r="Z6" i="14"/>
  <c r="S6" i="14"/>
  <c r="J6" i="14"/>
  <c r="J4" i="14"/>
  <c r="BM30" i="15" l="1"/>
  <c r="BN26" i="15" s="1"/>
  <c r="AP85" i="14"/>
  <c r="X36" i="15"/>
  <c r="X39" i="15"/>
  <c r="BC31" i="15"/>
  <c r="BD26" i="15" s="1"/>
  <c r="AY36" i="15"/>
  <c r="AZ27" i="15" s="1"/>
  <c r="BH30" i="15"/>
  <c r="X34" i="15"/>
  <c r="CO37" i="16"/>
  <c r="BX37" i="16"/>
  <c r="DA36" i="16"/>
  <c r="AG36" i="14"/>
  <c r="AP176" i="14"/>
  <c r="AQ174" i="14" s="1"/>
  <c r="AG38" i="14"/>
  <c r="V29" i="16"/>
  <c r="AM65" i="16"/>
  <c r="AM60" i="16"/>
  <c r="V28" i="16"/>
  <c r="AZ36" i="16"/>
  <c r="AZ38" i="16"/>
  <c r="AZ40" i="16"/>
  <c r="AZ39" i="16"/>
  <c r="AZ37" i="16"/>
  <c r="AM59" i="16"/>
  <c r="AM62" i="16"/>
  <c r="AM64" i="16"/>
  <c r="AM68" i="16"/>
  <c r="AM63" i="16"/>
  <c r="AM61" i="16"/>
  <c r="AM66" i="16"/>
  <c r="AM58" i="16"/>
  <c r="AM67" i="16"/>
  <c r="H39" i="16"/>
  <c r="BH52" i="16"/>
  <c r="CN41" i="16"/>
  <c r="CN40" i="16" s="1"/>
  <c r="CN42" i="16" s="1"/>
  <c r="CZ40" i="16"/>
  <c r="CZ39" i="16" s="1"/>
  <c r="CZ41" i="16" s="1"/>
  <c r="BW41" i="16"/>
  <c r="BW40" i="16" s="1"/>
  <c r="BW42" i="16" s="1"/>
  <c r="AO30" i="15"/>
  <c r="AO31" i="15"/>
  <c r="CD45" i="15"/>
  <c r="CD46" i="15"/>
  <c r="CD47" i="15"/>
  <c r="CD48" i="15"/>
  <c r="CD49" i="15"/>
  <c r="CD50" i="15"/>
  <c r="CD51" i="15"/>
  <c r="CD52" i="15"/>
  <c r="CD53" i="15"/>
  <c r="CD54" i="15"/>
  <c r="CD55" i="15"/>
  <c r="CD56" i="15"/>
  <c r="CB55" i="15"/>
  <c r="CB51" i="15"/>
  <c r="CB47" i="15"/>
  <c r="CD44" i="15"/>
  <c r="CF45" i="15"/>
  <c r="CF46" i="15"/>
  <c r="CF47" i="15"/>
  <c r="CF48" i="15"/>
  <c r="CF49" i="15"/>
  <c r="CF50" i="15"/>
  <c r="CF51" i="15"/>
  <c r="CF52" i="15"/>
  <c r="CF53" i="15"/>
  <c r="CF54" i="15"/>
  <c r="CF55" i="15"/>
  <c r="CF56" i="15"/>
  <c r="CB53" i="15"/>
  <c r="CB49" i="15"/>
  <c r="CB45" i="15"/>
  <c r="CF44" i="15"/>
  <c r="CE45" i="15"/>
  <c r="CE46" i="15"/>
  <c r="CE47" i="15"/>
  <c r="CE48" i="15"/>
  <c r="CE49" i="15"/>
  <c r="CE50" i="15"/>
  <c r="CE51" i="15"/>
  <c r="CE52" i="15"/>
  <c r="CE53" i="15"/>
  <c r="CE54" i="15"/>
  <c r="CE55" i="15"/>
  <c r="CE56" i="15"/>
  <c r="CB54" i="15"/>
  <c r="CB50" i="15"/>
  <c r="CB46" i="15"/>
  <c r="CE44" i="15"/>
  <c r="CC46" i="15"/>
  <c r="CC50" i="15"/>
  <c r="CC54" i="15"/>
  <c r="CB52" i="15"/>
  <c r="CC47" i="15"/>
  <c r="CC51" i="15"/>
  <c r="CC55" i="15"/>
  <c r="CB48" i="15"/>
  <c r="CC48" i="15"/>
  <c r="CC52" i="15"/>
  <c r="CC56" i="15"/>
  <c r="CC44" i="15"/>
  <c r="CC45" i="15"/>
  <c r="CC49" i="15"/>
  <c r="CC53" i="15"/>
  <c r="CB56" i="15"/>
  <c r="CB44" i="15"/>
  <c r="CT44" i="15"/>
  <c r="CS61" i="15" s="1"/>
  <c r="CT53" i="15"/>
  <c r="CO70" i="15" s="1"/>
  <c r="CT56" i="15"/>
  <c r="CU56" i="15" s="1"/>
  <c r="CU73" i="15" s="1"/>
  <c r="CT55" i="15"/>
  <c r="CP72" i="15" s="1"/>
  <c r="CT49" i="15"/>
  <c r="CR66" i="15" s="1"/>
  <c r="CT52" i="15"/>
  <c r="CU52" i="15" s="1"/>
  <c r="CU69" i="15" s="1"/>
  <c r="CT51" i="15"/>
  <c r="CR68" i="15" s="1"/>
  <c r="CT54" i="15"/>
  <c r="CQ71" i="15" s="1"/>
  <c r="CT46" i="15"/>
  <c r="CS63" i="15" s="1"/>
  <c r="CT45" i="15"/>
  <c r="CR62" i="15" s="1"/>
  <c r="CT48" i="15"/>
  <c r="CS65" i="15" s="1"/>
  <c r="CT47" i="15"/>
  <c r="CR64" i="15" s="1"/>
  <c r="CT50" i="15"/>
  <c r="CR67" i="15" s="1"/>
  <c r="AO29" i="15"/>
  <c r="AO32" i="15"/>
  <c r="AO28" i="15"/>
  <c r="CA47" i="15"/>
  <c r="CA64" i="15" s="1"/>
  <c r="CA51" i="15"/>
  <c r="CA68" i="15" s="1"/>
  <c r="CA55" i="15"/>
  <c r="CA72" i="15" s="1"/>
  <c r="CA44" i="15"/>
  <c r="CA61" i="15" s="1"/>
  <c r="CA48" i="15"/>
  <c r="CA65" i="15" s="1"/>
  <c r="CA52" i="15"/>
  <c r="CA69" i="15" s="1"/>
  <c r="CA56" i="15"/>
  <c r="CA73" i="15" s="1"/>
  <c r="CA45" i="15"/>
  <c r="CA62" i="15" s="1"/>
  <c r="CA49" i="15"/>
  <c r="CA66" i="15" s="1"/>
  <c r="CA53" i="15"/>
  <c r="CA70" i="15" s="1"/>
  <c r="X37" i="15"/>
  <c r="CA46" i="15"/>
  <c r="CA63" i="15" s="1"/>
  <c r="CA50" i="15"/>
  <c r="CA67" i="15" s="1"/>
  <c r="CA54" i="15"/>
  <c r="CA71" i="15" s="1"/>
  <c r="X35" i="15"/>
  <c r="H41" i="15"/>
  <c r="AK40" i="15"/>
  <c r="AM37" i="15"/>
  <c r="AL40" i="15"/>
  <c r="AL36" i="15"/>
  <c r="AL38" i="15"/>
  <c r="Z10" i="15"/>
  <c r="AM38" i="15"/>
  <c r="AJ40" i="15"/>
  <c r="AN40" i="15"/>
  <c r="DA32" i="15"/>
  <c r="F36" i="15"/>
  <c r="G36" i="15" s="1"/>
  <c r="H36" i="15" s="1"/>
  <c r="AK36" i="15"/>
  <c r="AK39" i="15"/>
  <c r="AJ39" i="15"/>
  <c r="AP31" i="15"/>
  <c r="AQ31" i="15" s="1"/>
  <c r="AR31" i="15" s="1"/>
  <c r="AS31" i="15" s="1"/>
  <c r="AM39" i="15"/>
  <c r="AN39" i="15"/>
  <c r="AN37" i="15"/>
  <c r="Z11" i="15"/>
  <c r="AM36" i="15"/>
  <c r="AK37" i="15"/>
  <c r="AP29" i="15"/>
  <c r="AQ29" i="15" s="1"/>
  <c r="AR29" i="15" s="1"/>
  <c r="AS29" i="15" s="1"/>
  <c r="AN38" i="15"/>
  <c r="AL39" i="15"/>
  <c r="AJ36" i="15"/>
  <c r="AP28" i="15"/>
  <c r="AQ28" i="15" s="1"/>
  <c r="AR28" i="15" s="1"/>
  <c r="AS28" i="15" s="1"/>
  <c r="AN36" i="15"/>
  <c r="AL37" i="15"/>
  <c r="AK38" i="15"/>
  <c r="AP32" i="15"/>
  <c r="AJ37" i="15"/>
  <c r="AM40" i="15"/>
  <c r="AJ38" i="15"/>
  <c r="AB46" i="15"/>
  <c r="X38" i="15" s="1"/>
  <c r="AP30" i="15"/>
  <c r="AQ30" i="15" s="1"/>
  <c r="AR30" i="15" s="1"/>
  <c r="AS30" i="15" s="1"/>
  <c r="AW38" i="14"/>
  <c r="AX34" i="14" s="1"/>
  <c r="AP131" i="14"/>
  <c r="AA34" i="14"/>
  <c r="K9" i="14"/>
  <c r="K93" i="14"/>
  <c r="K89" i="14"/>
  <c r="K85" i="14"/>
  <c r="K81" i="14"/>
  <c r="K77" i="14"/>
  <c r="K73" i="14"/>
  <c r="K69" i="14"/>
  <c r="K65" i="14"/>
  <c r="K61" i="14"/>
  <c r="K57" i="14"/>
  <c r="K53" i="14"/>
  <c r="K49" i="14"/>
  <c r="K45" i="14"/>
  <c r="K41" i="14"/>
  <c r="K37" i="14"/>
  <c r="K33" i="14"/>
  <c r="K29" i="14"/>
  <c r="K25" i="14"/>
  <c r="K21" i="14"/>
  <c r="K17" i="14"/>
  <c r="K13" i="14"/>
  <c r="K96" i="14"/>
  <c r="K92" i="14"/>
  <c r="K88" i="14"/>
  <c r="K84" i="14"/>
  <c r="K80" i="14"/>
  <c r="K76" i="14"/>
  <c r="K72" i="14"/>
  <c r="K68" i="14"/>
  <c r="K64" i="14"/>
  <c r="K60" i="14"/>
  <c r="K56" i="14"/>
  <c r="K52" i="14"/>
  <c r="K48" i="14"/>
  <c r="K44" i="14"/>
  <c r="K40" i="14"/>
  <c r="K36" i="14"/>
  <c r="K32" i="14"/>
  <c r="K28" i="14"/>
  <c r="K24" i="14"/>
  <c r="K20" i="14"/>
  <c r="K16" i="14"/>
  <c r="K12" i="14"/>
  <c r="K95" i="14"/>
  <c r="K91" i="14"/>
  <c r="K87" i="14"/>
  <c r="K83" i="14"/>
  <c r="K79" i="14"/>
  <c r="K75" i="14"/>
  <c r="K71" i="14"/>
  <c r="K67" i="14"/>
  <c r="K63" i="14"/>
  <c r="K59" i="14"/>
  <c r="K55" i="14"/>
  <c r="K51" i="14"/>
  <c r="K47" i="14"/>
  <c r="K43" i="14"/>
  <c r="K39" i="14"/>
  <c r="K35" i="14"/>
  <c r="K31" i="14"/>
  <c r="K27" i="14"/>
  <c r="K23" i="14"/>
  <c r="K19" i="14"/>
  <c r="K15" i="14"/>
  <c r="K11" i="14"/>
  <c r="K94" i="14"/>
  <c r="K90" i="14"/>
  <c r="K86" i="14"/>
  <c r="K82" i="14"/>
  <c r="K78" i="14"/>
  <c r="K74" i="14"/>
  <c r="K70" i="14"/>
  <c r="K66" i="14"/>
  <c r="K62" i="14"/>
  <c r="K58" i="14"/>
  <c r="K54" i="14"/>
  <c r="K50" i="14"/>
  <c r="K46" i="14"/>
  <c r="K42" i="14"/>
  <c r="K38" i="14"/>
  <c r="K34" i="14"/>
  <c r="K30" i="14"/>
  <c r="K26" i="14"/>
  <c r="K22" i="14"/>
  <c r="K18" i="14"/>
  <c r="K14" i="14"/>
  <c r="K10" i="14"/>
  <c r="AO35" i="14"/>
  <c r="AP35" i="14" s="1"/>
  <c r="AO36" i="14"/>
  <c r="AP36" i="14" s="1"/>
  <c r="T39" i="14"/>
  <c r="AQ129" i="14"/>
  <c r="AB32" i="14"/>
  <c r="U33" i="14"/>
  <c r="U35" i="14"/>
  <c r="AQ82" i="14"/>
  <c r="AB33" i="14"/>
  <c r="F97" i="14"/>
  <c r="G12" i="14" s="1"/>
  <c r="AP10" i="14"/>
  <c r="U36" i="14"/>
  <c r="AR36" i="14"/>
  <c r="AO34" i="14"/>
  <c r="AP34" i="14" s="1"/>
  <c r="AP87" i="14"/>
  <c r="AP86" i="14"/>
  <c r="AQ80" i="14"/>
  <c r="AQ83" i="14"/>
  <c r="AQ84" i="14"/>
  <c r="AW40" i="14"/>
  <c r="AR34" i="14"/>
  <c r="T38" i="14"/>
  <c r="T37" i="14"/>
  <c r="AP9" i="14"/>
  <c r="U34" i="14"/>
  <c r="U32" i="14"/>
  <c r="AQ81" i="14"/>
  <c r="AQ130" i="14"/>
  <c r="I35" i="13"/>
  <c r="E8" i="13"/>
  <c r="E20" i="13" s="1"/>
  <c r="E9" i="13"/>
  <c r="E21" i="13" s="1"/>
  <c r="F21" i="13" s="1"/>
  <c r="E10" i="13"/>
  <c r="E22" i="13" s="1"/>
  <c r="F22" i="13" s="1"/>
  <c r="E11" i="13"/>
  <c r="E23" i="13" s="1"/>
  <c r="F23" i="13" s="1"/>
  <c r="F20" i="13"/>
  <c r="G20" i="13"/>
  <c r="E24" i="13"/>
  <c r="I58" i="13"/>
  <c r="I66" i="13" s="1"/>
  <c r="AE31" i="13"/>
  <c r="AD31" i="13"/>
  <c r="AC31" i="13"/>
  <c r="Z31" i="13"/>
  <c r="Y31" i="13"/>
  <c r="X31" i="13"/>
  <c r="U31" i="13"/>
  <c r="T31" i="13"/>
  <c r="S31" i="13"/>
  <c r="P31" i="13"/>
  <c r="O31" i="13"/>
  <c r="N31" i="13"/>
  <c r="K31" i="13"/>
  <c r="J31" i="13"/>
  <c r="I31" i="13"/>
  <c r="K54" i="13"/>
  <c r="J54" i="13"/>
  <c r="AC19" i="13"/>
  <c r="X19" i="13"/>
  <c r="AC18" i="13"/>
  <c r="AC41" i="13" s="1"/>
  <c r="AD41" i="13" s="1"/>
  <c r="X18" i="13"/>
  <c r="X41" i="13" s="1"/>
  <c r="Y41" i="13" s="1"/>
  <c r="AC17" i="13"/>
  <c r="AC40" i="13" s="1"/>
  <c r="AD40" i="13" s="1"/>
  <c r="X17" i="13"/>
  <c r="X40" i="13" s="1"/>
  <c r="Y40" i="13" s="1"/>
  <c r="AC16" i="13"/>
  <c r="AC39" i="13" s="1"/>
  <c r="AD39" i="13" s="1"/>
  <c r="X16" i="13"/>
  <c r="X39" i="13" s="1"/>
  <c r="Y39" i="13" s="1"/>
  <c r="AC15" i="13"/>
  <c r="AC38" i="13" s="1"/>
  <c r="AD38" i="13" s="1"/>
  <c r="X15" i="13"/>
  <c r="X38" i="13" s="1"/>
  <c r="Y38" i="13" s="1"/>
  <c r="AC14" i="13"/>
  <c r="AC37" i="13" s="1"/>
  <c r="AD37" i="13" s="1"/>
  <c r="X14" i="13"/>
  <c r="X37" i="13" s="1"/>
  <c r="Y37" i="13" s="1"/>
  <c r="AC13" i="13"/>
  <c r="AC36" i="13" s="1"/>
  <c r="AD36" i="13" s="1"/>
  <c r="X13" i="13"/>
  <c r="X36" i="13" s="1"/>
  <c r="Y36" i="13" s="1"/>
  <c r="AC12" i="13"/>
  <c r="AC35" i="13" s="1"/>
  <c r="AD35" i="13" s="1"/>
  <c r="X12" i="13"/>
  <c r="X35" i="13" s="1"/>
  <c r="Y35" i="13" s="1"/>
  <c r="S12" i="13"/>
  <c r="S35" i="13" s="1"/>
  <c r="T35" i="13" s="1"/>
  <c r="N12" i="13"/>
  <c r="N35" i="13" s="1"/>
  <c r="O35" i="13" s="1"/>
  <c r="AC11" i="13"/>
  <c r="AC34" i="13" s="1"/>
  <c r="AD34" i="13" s="1"/>
  <c r="X11" i="13"/>
  <c r="X34" i="13" s="1"/>
  <c r="Y34" i="13" s="1"/>
  <c r="S11" i="13"/>
  <c r="S34" i="13" s="1"/>
  <c r="T34" i="13" s="1"/>
  <c r="N11" i="13"/>
  <c r="N34" i="13" s="1"/>
  <c r="O34" i="13" s="1"/>
  <c r="I11" i="13"/>
  <c r="I34" i="13" s="1"/>
  <c r="AC10" i="13"/>
  <c r="AC33" i="13" s="1"/>
  <c r="AD33" i="13" s="1"/>
  <c r="X10" i="13"/>
  <c r="X33" i="13" s="1"/>
  <c r="Y33" i="13" s="1"/>
  <c r="S10" i="13"/>
  <c r="S33" i="13" s="1"/>
  <c r="T33" i="13" s="1"/>
  <c r="N10" i="13"/>
  <c r="N33" i="13" s="1"/>
  <c r="O33" i="13" s="1"/>
  <c r="I10" i="13"/>
  <c r="I33" i="13" s="1"/>
  <c r="AC9" i="13"/>
  <c r="AC32" i="13" s="1"/>
  <c r="AD32" i="13" s="1"/>
  <c r="X9" i="13"/>
  <c r="X32" i="13" s="1"/>
  <c r="Y32" i="13" s="1"/>
  <c r="S9" i="13"/>
  <c r="S32" i="13" s="1"/>
  <c r="T32" i="13" s="1"/>
  <c r="N9" i="13"/>
  <c r="N32" i="13" s="1"/>
  <c r="O32" i="13" s="1"/>
  <c r="I9" i="13"/>
  <c r="I32" i="13" s="1"/>
  <c r="AC6" i="13"/>
  <c r="X6" i="13"/>
  <c r="BG14" i="12"/>
  <c r="J71" i="14" l="1" a="1"/>
  <c r="J71" i="14" s="1"/>
  <c r="AP37" i="14"/>
  <c r="J10" i="14" a="1"/>
  <c r="J10" i="14" s="1"/>
  <c r="BN29" i="15"/>
  <c r="J23" i="14" a="1"/>
  <c r="J23" i="14" s="1"/>
  <c r="AZ29" i="15"/>
  <c r="AQ172" i="14"/>
  <c r="BN28" i="15"/>
  <c r="AQ173" i="14"/>
  <c r="BN27" i="15"/>
  <c r="BD30" i="15"/>
  <c r="J55" i="14" a="1"/>
  <c r="J55" i="14" s="1"/>
  <c r="J39" i="14" a="1"/>
  <c r="J39" i="14" s="1"/>
  <c r="BD29" i="15"/>
  <c r="G63" i="14"/>
  <c r="BD27" i="15"/>
  <c r="BD28" i="15"/>
  <c r="AP14" i="14"/>
  <c r="AQ175" i="14"/>
  <c r="AZ35" i="15"/>
  <c r="AZ34" i="15"/>
  <c r="AZ33" i="15"/>
  <c r="AZ32" i="15"/>
  <c r="AZ28" i="15"/>
  <c r="AZ31" i="15"/>
  <c r="AZ26" i="15"/>
  <c r="AZ30" i="15"/>
  <c r="AQ85" i="14"/>
  <c r="DB35" i="15"/>
  <c r="DA37" i="15"/>
  <c r="J87" i="14" a="1"/>
  <c r="J87" i="14" s="1"/>
  <c r="J11" i="14" a="1"/>
  <c r="J11" i="14" s="1"/>
  <c r="J27" i="14" a="1"/>
  <c r="J27" i="14" s="1"/>
  <c r="J43" i="14" a="1"/>
  <c r="J43" i="14" s="1"/>
  <c r="J59" i="14" a="1"/>
  <c r="J59" i="14" s="1"/>
  <c r="J75" i="14" a="1"/>
  <c r="J75" i="14" s="1"/>
  <c r="J91" i="14" a="1"/>
  <c r="J91" i="14" s="1"/>
  <c r="J20" i="14" a="1"/>
  <c r="J20" i="14" s="1"/>
  <c r="J36" i="14" a="1"/>
  <c r="J36" i="14" s="1"/>
  <c r="J52" i="14" a="1"/>
  <c r="J52" i="14" s="1"/>
  <c r="J68" i="14" a="1"/>
  <c r="J68" i="14" s="1"/>
  <c r="J84" i="14" a="1"/>
  <c r="J84" i="14" s="1"/>
  <c r="J15" i="14" a="1"/>
  <c r="J15" i="14" s="1"/>
  <c r="J31" i="14" a="1"/>
  <c r="J31" i="14" s="1"/>
  <c r="J47" i="14" a="1"/>
  <c r="J47" i="14" s="1"/>
  <c r="J63" i="14" a="1"/>
  <c r="J63" i="14" s="1"/>
  <c r="J79" i="14" a="1"/>
  <c r="J79" i="14" s="1"/>
  <c r="J95" i="14" a="1"/>
  <c r="J95" i="14" s="1"/>
  <c r="J13" i="14" a="1"/>
  <c r="J13" i="14" s="1"/>
  <c r="J29" i="14" a="1"/>
  <c r="J29" i="14" s="1"/>
  <c r="J45" i="14" a="1"/>
  <c r="J45" i="14" s="1"/>
  <c r="J61" i="14" a="1"/>
  <c r="J61" i="14" s="1"/>
  <c r="J77" i="14" a="1"/>
  <c r="J77" i="14" s="1"/>
  <c r="J93" i="14" a="1"/>
  <c r="J93" i="14" s="1"/>
  <c r="J14" i="14" a="1"/>
  <c r="J14" i="14" s="1"/>
  <c r="J30" i="14" a="1"/>
  <c r="J30" i="14" s="1"/>
  <c r="J46" i="14" a="1"/>
  <c r="J46" i="14" s="1"/>
  <c r="J62" i="14" a="1"/>
  <c r="J62" i="14" s="1"/>
  <c r="J78" i="14" a="1"/>
  <c r="J78" i="14" s="1"/>
  <c r="J94" i="14" a="1"/>
  <c r="J94" i="14" s="1"/>
  <c r="J12" i="14" a="1"/>
  <c r="J12" i="14" s="1"/>
  <c r="J28" i="14" a="1"/>
  <c r="J28" i="14" s="1"/>
  <c r="J44" i="14" a="1"/>
  <c r="J44" i="14" s="1"/>
  <c r="J60" i="14" a="1"/>
  <c r="J60" i="14" s="1"/>
  <c r="J76" i="14" a="1"/>
  <c r="J76" i="14" s="1"/>
  <c r="J92" i="14" a="1"/>
  <c r="J92" i="14" s="1"/>
  <c r="J18" i="14" a="1"/>
  <c r="J18" i="14" s="1"/>
  <c r="J34" i="14" a="1"/>
  <c r="J34" i="14" s="1"/>
  <c r="J50" i="14" a="1"/>
  <c r="J50" i="14" s="1"/>
  <c r="J66" i="14" a="1"/>
  <c r="J66" i="14" s="1"/>
  <c r="J82" i="14" a="1"/>
  <c r="J82" i="14" s="1"/>
  <c r="J16" i="14" a="1"/>
  <c r="J16" i="14" s="1"/>
  <c r="J32" i="14" a="1"/>
  <c r="J32" i="14" s="1"/>
  <c r="J48" i="14" a="1"/>
  <c r="J48" i="14" s="1"/>
  <c r="J64" i="14" a="1"/>
  <c r="J64" i="14" s="1"/>
  <c r="J80" i="14" a="1"/>
  <c r="J80" i="14" s="1"/>
  <c r="J96" i="14" a="1"/>
  <c r="J96" i="14" s="1"/>
  <c r="AP40" i="15"/>
  <c r="CP68" i="15"/>
  <c r="CS67" i="15"/>
  <c r="CR73" i="15"/>
  <c r="CP73" i="15"/>
  <c r="CQ63" i="15"/>
  <c r="CO67" i="15"/>
  <c r="CR63" i="15"/>
  <c r="CP63" i="15"/>
  <c r="CR61" i="15"/>
  <c r="CP66" i="15"/>
  <c r="CU44" i="15"/>
  <c r="CU61" i="15" s="1"/>
  <c r="CP69" i="15"/>
  <c r="CU50" i="15"/>
  <c r="CU67" i="15" s="1"/>
  <c r="CQ67" i="15"/>
  <c r="CU49" i="15"/>
  <c r="CU66" i="15" s="1"/>
  <c r="CQ66" i="15"/>
  <c r="CU53" i="15"/>
  <c r="CU70" i="15" s="1"/>
  <c r="CQ73" i="15"/>
  <c r="CS73" i="15"/>
  <c r="CQ62" i="15"/>
  <c r="CS70" i="15"/>
  <c r="CQ69" i="15"/>
  <c r="CS69" i="15"/>
  <c r="CO63" i="15"/>
  <c r="CP67" i="15"/>
  <c r="CP70" i="15"/>
  <c r="CS66" i="15"/>
  <c r="CR70" i="15"/>
  <c r="CG56" i="15"/>
  <c r="CD73" i="15" s="1"/>
  <c r="CG48" i="15"/>
  <c r="CD65" i="15" s="1"/>
  <c r="CG52" i="15"/>
  <c r="CF69" i="15" s="1"/>
  <c r="CG46" i="15"/>
  <c r="CG45" i="15"/>
  <c r="CE62" i="15" s="1"/>
  <c r="CG47" i="15"/>
  <c r="CE64" i="15" s="1"/>
  <c r="CO64" i="15"/>
  <c r="CQ64" i="15"/>
  <c r="CS72" i="15"/>
  <c r="CP71" i="15"/>
  <c r="CU47" i="15"/>
  <c r="CU64" i="15" s="1"/>
  <c r="CO65" i="15"/>
  <c r="CP64" i="15"/>
  <c r="CS68" i="15"/>
  <c r="CU54" i="15"/>
  <c r="CU71" i="15" s="1"/>
  <c r="CO68" i="15"/>
  <c r="CS71" i="15"/>
  <c r="CR71" i="15"/>
  <c r="CU55" i="15"/>
  <c r="CU72" i="15" s="1"/>
  <c r="CR65" i="15"/>
  <c r="CR69" i="15"/>
  <c r="CQ72" i="15"/>
  <c r="CU48" i="15"/>
  <c r="CU65" i="15" s="1"/>
  <c r="CU45" i="15"/>
  <c r="CU62" i="15" s="1"/>
  <c r="CS64" i="15"/>
  <c r="CO71" i="15"/>
  <c r="CU51" i="15"/>
  <c r="CU68" i="15" s="1"/>
  <c r="CO69" i="15"/>
  <c r="CR72" i="15"/>
  <c r="CO72" i="15"/>
  <c r="CO73" i="15"/>
  <c r="CP62" i="15"/>
  <c r="CQ65" i="15"/>
  <c r="CP65" i="15"/>
  <c r="CQ68" i="15"/>
  <c r="CO62" i="15"/>
  <c r="CU46" i="15"/>
  <c r="CU63" i="15" s="1"/>
  <c r="CO66" i="15"/>
  <c r="CQ70" i="15"/>
  <c r="CS62" i="15"/>
  <c r="CO61" i="15"/>
  <c r="CQ61" i="15"/>
  <c r="CP61" i="15"/>
  <c r="CG50" i="15"/>
  <c r="CG49" i="15"/>
  <c r="CH49" i="15" s="1"/>
  <c r="CH66" i="15" s="1"/>
  <c r="CG51" i="15"/>
  <c r="CD68" i="15" s="1"/>
  <c r="CG44" i="15"/>
  <c r="CF61" i="15" s="1"/>
  <c r="CG54" i="15"/>
  <c r="CG53" i="15"/>
  <c r="CH53" i="15" s="1"/>
  <c r="CH70" i="15" s="1"/>
  <c r="CG55" i="15"/>
  <c r="CD72" i="15" s="1"/>
  <c r="AO37" i="15"/>
  <c r="AO38" i="15"/>
  <c r="AO36" i="15"/>
  <c r="AO39" i="15"/>
  <c r="AO40" i="15"/>
  <c r="G37" i="15"/>
  <c r="AQ40" i="15"/>
  <c r="AR40" i="15" s="1"/>
  <c r="DB36" i="15"/>
  <c r="DB32" i="15"/>
  <c r="DA39" i="15"/>
  <c r="DA38" i="15"/>
  <c r="AQ37" i="15"/>
  <c r="AR37" i="15" s="1"/>
  <c r="AP37" i="15"/>
  <c r="AQ38" i="15"/>
  <c r="AR38" i="15" s="1"/>
  <c r="AP38" i="15"/>
  <c r="AQ32" i="15"/>
  <c r="AR32" i="15" s="1"/>
  <c r="AS32" i="15" s="1"/>
  <c r="AQ36" i="15"/>
  <c r="AR36" i="15" s="1"/>
  <c r="AP36" i="15"/>
  <c r="AQ39" i="15"/>
  <c r="AR39" i="15" s="1"/>
  <c r="AP39" i="15"/>
  <c r="DB33" i="15"/>
  <c r="H35" i="15"/>
  <c r="H34" i="15"/>
  <c r="DB34" i="15"/>
  <c r="AX32" i="14"/>
  <c r="AX37" i="14"/>
  <c r="AX35" i="14"/>
  <c r="AX33" i="14"/>
  <c r="AX36" i="14"/>
  <c r="AQ131" i="14"/>
  <c r="J21" i="14" a="1"/>
  <c r="J21" i="14" s="1"/>
  <c r="J37" i="14" a="1"/>
  <c r="J37" i="14" s="1"/>
  <c r="J53" i="14" a="1"/>
  <c r="J53" i="14" s="1"/>
  <c r="J69" i="14" a="1"/>
  <c r="J69" i="14" s="1"/>
  <c r="J85" i="14" a="1"/>
  <c r="J85" i="14" s="1"/>
  <c r="J19" i="14" a="1"/>
  <c r="J19" i="14" s="1"/>
  <c r="J35" i="14" a="1"/>
  <c r="J35" i="14" s="1"/>
  <c r="J51" i="14" a="1"/>
  <c r="J51" i="14" s="1"/>
  <c r="J67" i="14" a="1"/>
  <c r="J67" i="14" s="1"/>
  <c r="J83" i="14" a="1"/>
  <c r="J83" i="14" s="1"/>
  <c r="J17" i="14" a="1"/>
  <c r="J17" i="14" s="1"/>
  <c r="J33" i="14" a="1"/>
  <c r="J33" i="14" s="1"/>
  <c r="J49" i="14" a="1"/>
  <c r="J49" i="14" s="1"/>
  <c r="J65" i="14" a="1"/>
  <c r="J65" i="14" s="1"/>
  <c r="J81" i="14" a="1"/>
  <c r="J81" i="14" s="1"/>
  <c r="J26" i="14" a="1"/>
  <c r="J26" i="14" s="1"/>
  <c r="J42" i="14" a="1"/>
  <c r="J42" i="14" s="1"/>
  <c r="J58" i="14" a="1"/>
  <c r="J58" i="14" s="1"/>
  <c r="J74" i="14" a="1"/>
  <c r="J74" i="14" s="1"/>
  <c r="J90" i="14" a="1"/>
  <c r="J90" i="14" s="1"/>
  <c r="J24" i="14" a="1"/>
  <c r="J24" i="14" s="1"/>
  <c r="J40" i="14" a="1"/>
  <c r="J40" i="14" s="1"/>
  <c r="J56" i="14" a="1"/>
  <c r="J56" i="14" s="1"/>
  <c r="J72" i="14" a="1"/>
  <c r="J72" i="14" s="1"/>
  <c r="J88" i="14" a="1"/>
  <c r="J88" i="14" s="1"/>
  <c r="J22" i="14" a="1"/>
  <c r="J22" i="14" s="1"/>
  <c r="J38" i="14" a="1"/>
  <c r="J38" i="14" s="1"/>
  <c r="J54" i="14" a="1"/>
  <c r="J54" i="14" s="1"/>
  <c r="J70" i="14" a="1"/>
  <c r="J70" i="14" s="1"/>
  <c r="J86" i="14" a="1"/>
  <c r="J86" i="14" s="1"/>
  <c r="K97" i="14"/>
  <c r="L84" i="14" s="1"/>
  <c r="G82" i="14"/>
  <c r="G91" i="14"/>
  <c r="G73" i="14"/>
  <c r="AB34" i="14"/>
  <c r="G78" i="14"/>
  <c r="G43" i="14"/>
  <c r="G31" i="14"/>
  <c r="J25" i="14" a="1"/>
  <c r="J25" i="14" s="1"/>
  <c r="J41" i="14" a="1"/>
  <c r="J41" i="14" s="1"/>
  <c r="J57" i="14" a="1"/>
  <c r="J57" i="14" s="1"/>
  <c r="J73" i="14" a="1"/>
  <c r="J73" i="14" s="1"/>
  <c r="J89" i="14" a="1"/>
  <c r="J89" i="14" s="1"/>
  <c r="G72" i="14"/>
  <c r="G94" i="14"/>
  <c r="G50" i="14"/>
  <c r="AQ12" i="14"/>
  <c r="AS35" i="14" s="1"/>
  <c r="J9" i="14" a="1"/>
  <c r="J9" i="14" s="1"/>
  <c r="G74" i="14"/>
  <c r="G59" i="14"/>
  <c r="G89" i="14"/>
  <c r="G67" i="14"/>
  <c r="G88" i="14"/>
  <c r="G38" i="14"/>
  <c r="G35" i="14"/>
  <c r="G62" i="14"/>
  <c r="G58" i="14"/>
  <c r="G36" i="14"/>
  <c r="G53" i="14"/>
  <c r="G81" i="14"/>
  <c r="G70" i="14"/>
  <c r="G93" i="14"/>
  <c r="G96" i="14"/>
  <c r="G75" i="14"/>
  <c r="G46" i="14"/>
  <c r="G52" i="14"/>
  <c r="G48" i="14"/>
  <c r="G30" i="14"/>
  <c r="G10" i="14"/>
  <c r="AQ13" i="14"/>
  <c r="AS36" i="14" s="1"/>
  <c r="G79" i="14"/>
  <c r="G54" i="14"/>
  <c r="G42" i="14"/>
  <c r="G20" i="14"/>
  <c r="G92" i="14"/>
  <c r="G71" i="14"/>
  <c r="G29" i="14"/>
  <c r="G49" i="14"/>
  <c r="G65" i="14"/>
  <c r="G47" i="14"/>
  <c r="G66" i="14"/>
  <c r="G45" i="14"/>
  <c r="AQ34" i="14"/>
  <c r="G32" i="14"/>
  <c r="G85" i="14"/>
  <c r="G76" i="14"/>
  <c r="G68" i="14"/>
  <c r="G95" i="14"/>
  <c r="G90" i="14"/>
  <c r="G77" i="14"/>
  <c r="G69" i="14"/>
  <c r="G51" i="14"/>
  <c r="AQ11" i="14"/>
  <c r="AS34" i="14" s="1"/>
  <c r="G37" i="14"/>
  <c r="G44" i="14"/>
  <c r="G40" i="14"/>
  <c r="G60" i="14"/>
  <c r="G56" i="14"/>
  <c r="G39" i="14"/>
  <c r="G34" i="14"/>
  <c r="G21" i="14"/>
  <c r="G11" i="14"/>
  <c r="G17" i="14"/>
  <c r="G27" i="14"/>
  <c r="G23" i="14"/>
  <c r="G25" i="14"/>
  <c r="G9" i="14"/>
  <c r="AP39" i="14"/>
  <c r="AQ33" i="14"/>
  <c r="G13" i="14"/>
  <c r="AQ36" i="14"/>
  <c r="L28" i="14"/>
  <c r="T42" i="14"/>
  <c r="T41" i="14" s="1"/>
  <c r="U37" i="14"/>
  <c r="G84" i="14"/>
  <c r="G80" i="14"/>
  <c r="G64" i="14"/>
  <c r="G55" i="14"/>
  <c r="G87" i="14"/>
  <c r="G86" i="14"/>
  <c r="G83" i="14"/>
  <c r="G61" i="14"/>
  <c r="G57" i="14"/>
  <c r="G41" i="14"/>
  <c r="G19" i="14"/>
  <c r="G16" i="14"/>
  <c r="G14" i="14"/>
  <c r="G28" i="14"/>
  <c r="G26" i="14"/>
  <c r="G24" i="14"/>
  <c r="G22" i="14"/>
  <c r="G15" i="14"/>
  <c r="G33" i="14"/>
  <c r="G18" i="14"/>
  <c r="AQ32" i="14"/>
  <c r="AR32" i="14"/>
  <c r="AQ9" i="14"/>
  <c r="AP38" i="14"/>
  <c r="AP90" i="14"/>
  <c r="AP89" i="14" s="1"/>
  <c r="AQ10" i="14"/>
  <c r="AS33" i="14" s="1"/>
  <c r="AR33" i="14"/>
  <c r="AQ35" i="14"/>
  <c r="F24" i="13"/>
  <c r="G23" i="13" s="1"/>
  <c r="J33" i="13"/>
  <c r="J32" i="13"/>
  <c r="O36" i="13"/>
  <c r="P32" i="13"/>
  <c r="P33" i="13"/>
  <c r="AE34" i="13"/>
  <c r="Z38" i="13"/>
  <c r="Z39" i="13"/>
  <c r="Z40" i="13"/>
  <c r="J34" i="13"/>
  <c r="U32" i="13"/>
  <c r="T36" i="13"/>
  <c r="Y42" i="13"/>
  <c r="Z32" i="13"/>
  <c r="I56" i="13"/>
  <c r="I64" i="13" s="1"/>
  <c r="U34" i="13"/>
  <c r="Z36" i="13"/>
  <c r="Z33" i="13"/>
  <c r="I57" i="13"/>
  <c r="I65" i="13" s="1"/>
  <c r="U35" i="13"/>
  <c r="AE35" i="13"/>
  <c r="Z37" i="13"/>
  <c r="I62" i="13"/>
  <c r="I54" i="13"/>
  <c r="Z34" i="13"/>
  <c r="AE37" i="13"/>
  <c r="AE38" i="13"/>
  <c r="AE39" i="13"/>
  <c r="AE40" i="13"/>
  <c r="AE41" i="13"/>
  <c r="AD42" i="13"/>
  <c r="AE32" i="13"/>
  <c r="P34" i="13"/>
  <c r="AE36" i="13"/>
  <c r="I55" i="13"/>
  <c r="I63" i="13" s="1"/>
  <c r="U33" i="13"/>
  <c r="AE33" i="13"/>
  <c r="P35" i="13"/>
  <c r="Z35" i="13"/>
  <c r="Z41" i="13"/>
  <c r="L9" i="14" l="1"/>
  <c r="L15" i="14"/>
  <c r="L63" i="14"/>
  <c r="L87" i="14"/>
  <c r="L85" i="14"/>
  <c r="L59" i="14"/>
  <c r="L18" i="14"/>
  <c r="L93" i="14"/>
  <c r="L24" i="14"/>
  <c r="L17" i="14"/>
  <c r="L40" i="14"/>
  <c r="L65" i="14"/>
  <c r="L36" i="14"/>
  <c r="L44" i="14"/>
  <c r="L82" i="14"/>
  <c r="L73" i="14"/>
  <c r="L41" i="14"/>
  <c r="L66" i="14"/>
  <c r="L27" i="14"/>
  <c r="L52" i="14"/>
  <c r="L51" i="14"/>
  <c r="L74" i="14"/>
  <c r="L57" i="14"/>
  <c r="L14" i="14"/>
  <c r="L31" i="14"/>
  <c r="L19" i="14"/>
  <c r="L37" i="14"/>
  <c r="L62" i="14"/>
  <c r="L43" i="14"/>
  <c r="L70" i="14"/>
  <c r="L92" i="14"/>
  <c r="L61" i="14"/>
  <c r="AQ176" i="14"/>
  <c r="L11" i="14"/>
  <c r="L83" i="14"/>
  <c r="L23" i="14"/>
  <c r="L35" i="14"/>
  <c r="L50" i="14"/>
  <c r="L29" i="14"/>
  <c r="L49" i="14"/>
  <c r="L69" i="14"/>
  <c r="L81" i="14"/>
  <c r="L96" i="14"/>
  <c r="L86" i="14"/>
  <c r="CC62" i="15"/>
  <c r="AS40" i="15"/>
  <c r="BN30" i="15"/>
  <c r="L16" i="14"/>
  <c r="L42" i="14"/>
  <c r="L10" i="14"/>
  <c r="L77" i="14"/>
  <c r="L89" i="14"/>
  <c r="L21" i="14"/>
  <c r="L25" i="14"/>
  <c r="L32" i="14"/>
  <c r="L38" i="14"/>
  <c r="L46" i="14"/>
  <c r="L54" i="14"/>
  <c r="L13" i="14"/>
  <c r="L64" i="14"/>
  <c r="L45" i="14"/>
  <c r="L53" i="14"/>
  <c r="L67" i="14"/>
  <c r="L71" i="14"/>
  <c r="L75" i="14"/>
  <c r="L90" i="14"/>
  <c r="L94" i="14"/>
  <c r="L55" i="14"/>
  <c r="L80" i="14"/>
  <c r="L30" i="14"/>
  <c r="L34" i="14"/>
  <c r="L12" i="14"/>
  <c r="L79" i="14"/>
  <c r="L88" i="14"/>
  <c r="L22" i="14"/>
  <c r="L26" i="14"/>
  <c r="L33" i="14"/>
  <c r="L39" i="14"/>
  <c r="L48" i="14"/>
  <c r="L58" i="14"/>
  <c r="L20" i="14"/>
  <c r="L78" i="14"/>
  <c r="L47" i="14"/>
  <c r="L60" i="14"/>
  <c r="L68" i="14"/>
  <c r="L72" i="14"/>
  <c r="L76" i="14"/>
  <c r="L91" i="14"/>
  <c r="L95" i="14"/>
  <c r="L56" i="14"/>
  <c r="BD31" i="15"/>
  <c r="AZ36" i="15"/>
  <c r="AR37" i="14"/>
  <c r="AS32" i="14"/>
  <c r="AS37" i="14" s="1"/>
  <c r="AQ14" i="14"/>
  <c r="AQ37" i="14"/>
  <c r="DB37" i="15"/>
  <c r="CB73" i="15"/>
  <c r="CT67" i="15"/>
  <c r="CC64" i="15"/>
  <c r="CC65" i="15"/>
  <c r="CT70" i="15"/>
  <c r="CB65" i="15"/>
  <c r="CT63" i="15"/>
  <c r="CC73" i="15"/>
  <c r="CH56" i="15"/>
  <c r="CH73" i="15" s="1"/>
  <c r="CH44" i="15"/>
  <c r="CH61" i="15" s="1"/>
  <c r="CT66" i="15"/>
  <c r="CT65" i="15"/>
  <c r="CT72" i="15"/>
  <c r="CT71" i="15"/>
  <c r="CT73" i="15"/>
  <c r="CD62" i="15"/>
  <c r="CF62" i="15"/>
  <c r="CH45" i="15"/>
  <c r="CH62" i="15" s="1"/>
  <c r="CF73" i="15"/>
  <c r="CE73" i="15"/>
  <c r="CT69" i="15"/>
  <c r="CD66" i="15"/>
  <c r="CF66" i="15"/>
  <c r="CE66" i="15"/>
  <c r="CC66" i="15"/>
  <c r="CD70" i="15"/>
  <c r="CF70" i="15"/>
  <c r="CE70" i="15"/>
  <c r="CB66" i="15"/>
  <c r="CH47" i="15"/>
  <c r="CH64" i="15" s="1"/>
  <c r="CB70" i="15"/>
  <c r="CB72" i="15"/>
  <c r="CH54" i="15"/>
  <c r="CH71" i="15" s="1"/>
  <c r="CE71" i="15"/>
  <c r="CC71" i="15"/>
  <c r="CB71" i="15"/>
  <c r="CF71" i="15"/>
  <c r="CD71" i="15"/>
  <c r="CB61" i="15"/>
  <c r="CC68" i="15"/>
  <c r="CT61" i="15"/>
  <c r="CD64" i="15"/>
  <c r="CB64" i="15"/>
  <c r="CB62" i="15"/>
  <c r="CC63" i="15"/>
  <c r="CB63" i="15"/>
  <c r="CH46" i="15"/>
  <c r="CH63" i="15" s="1"/>
  <c r="CD63" i="15"/>
  <c r="CE63" i="15"/>
  <c r="CF63" i="15"/>
  <c r="CF65" i="15"/>
  <c r="CE65" i="15"/>
  <c r="CH48" i="15"/>
  <c r="CH65" i="15" s="1"/>
  <c r="CC70" i="15"/>
  <c r="CT62" i="15"/>
  <c r="CE61" i="15"/>
  <c r="CT68" i="15"/>
  <c r="CT64" i="15"/>
  <c r="CF64" i="15"/>
  <c r="CH52" i="15"/>
  <c r="CH69" i="15" s="1"/>
  <c r="CB69" i="15"/>
  <c r="CC69" i="15"/>
  <c r="CD69" i="15"/>
  <c r="CE69" i="15"/>
  <c r="CC61" i="15"/>
  <c r="CH55" i="15"/>
  <c r="CH72" i="15" s="1"/>
  <c r="CC72" i="15"/>
  <c r="CF72" i="15"/>
  <c r="CE72" i="15"/>
  <c r="CH51" i="15"/>
  <c r="CH68" i="15" s="1"/>
  <c r="CF68" i="15"/>
  <c r="CB68" i="15"/>
  <c r="CH50" i="15"/>
  <c r="CH67" i="15" s="1"/>
  <c r="CE67" i="15"/>
  <c r="CB67" i="15"/>
  <c r="CF67" i="15"/>
  <c r="CD67" i="15"/>
  <c r="CC67" i="15"/>
  <c r="CE68" i="15"/>
  <c r="CD61" i="15"/>
  <c r="H37" i="15"/>
  <c r="AS38" i="15"/>
  <c r="AS36" i="15"/>
  <c r="DA41" i="15"/>
  <c r="DA40" i="15" s="1"/>
  <c r="DA42" i="15" s="1"/>
  <c r="AS37" i="15"/>
  <c r="AS39" i="15"/>
  <c r="AX38" i="14"/>
  <c r="G97" i="14"/>
  <c r="AP42" i="14"/>
  <c r="AP41" i="14" s="1"/>
  <c r="G21" i="13"/>
  <c r="G22" i="13"/>
  <c r="K34" i="13"/>
  <c r="AE42" i="13"/>
  <c r="K33" i="13"/>
  <c r="P36" i="13"/>
  <c r="U36" i="13"/>
  <c r="J35" i="13"/>
  <c r="Z42" i="13"/>
  <c r="K32" i="13"/>
  <c r="CG73" i="15" l="1"/>
  <c r="L97" i="14"/>
  <c r="CG70" i="15"/>
  <c r="CG68" i="15"/>
  <c r="CG66" i="15"/>
  <c r="CG62" i="15"/>
  <c r="CG65" i="15"/>
  <c r="CG72" i="15"/>
  <c r="CG71" i="15"/>
  <c r="CG69" i="15"/>
  <c r="CG64" i="15"/>
  <c r="CG61" i="15"/>
  <c r="CG63" i="15"/>
  <c r="CG67" i="15"/>
  <c r="G24" i="13"/>
  <c r="K35" i="13"/>
  <c r="AW8" i="12" l="1"/>
  <c r="AV8" i="12"/>
  <c r="AU8" i="12"/>
  <c r="AP47" i="12"/>
  <c r="X25" i="12"/>
  <c r="Z23" i="12"/>
  <c r="Y23" i="12"/>
  <c r="Z22" i="12"/>
  <c r="Y22" i="12"/>
  <c r="Z26" i="12"/>
  <c r="AA26" i="12"/>
  <c r="Y26" i="12"/>
  <c r="X26" i="12"/>
  <c r="AA14" i="12"/>
  <c r="X8" i="12"/>
  <c r="AA22" i="12" l="1"/>
  <c r="Y27" i="12" s="1"/>
  <c r="AA23" i="12"/>
  <c r="Y28" i="12" s="1"/>
  <c r="O14" i="12"/>
  <c r="J15" i="12"/>
  <c r="E43" i="12"/>
  <c r="AQ40" i="12"/>
  <c r="AP40" i="12"/>
  <c r="AP80" i="12" s="1"/>
  <c r="AQ80" i="12" s="1"/>
  <c r="AQ39" i="12"/>
  <c r="AP39" i="12"/>
  <c r="AP79" i="12" s="1"/>
  <c r="AQ79" i="12" s="1"/>
  <c r="AQ38" i="12"/>
  <c r="AP38" i="12"/>
  <c r="AP78" i="12" s="1"/>
  <c r="AQ78" i="12" s="1"/>
  <c r="G32" i="12"/>
  <c r="G43" i="12" s="1"/>
  <c r="F32" i="12"/>
  <c r="AQ37" i="12"/>
  <c r="AP37" i="12"/>
  <c r="AP77" i="12" s="1"/>
  <c r="AQ77" i="12" s="1"/>
  <c r="AQ36" i="12"/>
  <c r="AP36" i="12"/>
  <c r="AP76" i="12" s="1"/>
  <c r="AQ76" i="12" s="1"/>
  <c r="AQ35" i="12"/>
  <c r="AP35" i="12"/>
  <c r="AP75" i="12" s="1"/>
  <c r="AQ75" i="12" s="1"/>
  <c r="AQ34" i="12"/>
  <c r="AP34" i="12"/>
  <c r="AP74" i="12" s="1"/>
  <c r="AQ74" i="12" s="1"/>
  <c r="AQ33" i="12"/>
  <c r="AP33" i="12"/>
  <c r="AP73" i="12" s="1"/>
  <c r="AQ73" i="12" s="1"/>
  <c r="AQ32" i="12"/>
  <c r="AP32" i="12"/>
  <c r="AP72" i="12" s="1"/>
  <c r="AQ72" i="12" s="1"/>
  <c r="AQ31" i="12"/>
  <c r="AP31" i="12"/>
  <c r="AP71" i="12" s="1"/>
  <c r="AQ71" i="12" s="1"/>
  <c r="K26" i="12"/>
  <c r="J26" i="12"/>
  <c r="I26" i="12"/>
  <c r="AQ30" i="12"/>
  <c r="AP30" i="12"/>
  <c r="AP70" i="12" s="1"/>
  <c r="AQ70" i="12" s="1"/>
  <c r="AQ29" i="12"/>
  <c r="AP29" i="12"/>
  <c r="AP69" i="12" s="1"/>
  <c r="AQ69" i="12" s="1"/>
  <c r="AQ28" i="12"/>
  <c r="AP28" i="12"/>
  <c r="AP68" i="12" s="1"/>
  <c r="AQ68" i="12" s="1"/>
  <c r="AQ27" i="12"/>
  <c r="AP27" i="12"/>
  <c r="AP67" i="12" s="1"/>
  <c r="AQ67" i="12" s="1"/>
  <c r="AQ26" i="12"/>
  <c r="AP26" i="12"/>
  <c r="AP66" i="12" s="1"/>
  <c r="AQ66" i="12" s="1"/>
  <c r="BG28" i="12"/>
  <c r="AQ25" i="12"/>
  <c r="AP25" i="12"/>
  <c r="AP65" i="12" s="1"/>
  <c r="AQ65" i="12" s="1"/>
  <c r="AQ24" i="12"/>
  <c r="AP24" i="12"/>
  <c r="AP64" i="12" s="1"/>
  <c r="AQ64" i="12" s="1"/>
  <c r="BM26" i="12"/>
  <c r="BM32" i="12" s="1"/>
  <c r="AQ23" i="12"/>
  <c r="AP23" i="12"/>
  <c r="AP63" i="12" s="1"/>
  <c r="AQ63" i="12" s="1"/>
  <c r="BM25" i="12"/>
  <c r="BM31" i="12" s="1"/>
  <c r="AQ22" i="12"/>
  <c r="AP22" i="12"/>
  <c r="AP62" i="12" s="1"/>
  <c r="AQ62" i="12" s="1"/>
  <c r="BM24" i="12"/>
  <c r="BM30" i="12" s="1"/>
  <c r="AQ21" i="12"/>
  <c r="AP21" i="12"/>
  <c r="AP61" i="12" s="1"/>
  <c r="AQ61" i="12" s="1"/>
  <c r="BM23" i="12"/>
  <c r="BM29" i="12" s="1"/>
  <c r="BL23" i="12"/>
  <c r="BL24" i="12" s="1"/>
  <c r="BK23" i="12"/>
  <c r="BK26" i="12" s="1"/>
  <c r="BJ23" i="12"/>
  <c r="BJ29" i="12" s="1"/>
  <c r="BI23" i="12"/>
  <c r="BI29" i="12" s="1"/>
  <c r="BH23" i="12"/>
  <c r="BG23" i="12"/>
  <c r="BG29" i="12" s="1"/>
  <c r="AQ20" i="12"/>
  <c r="AP20" i="12"/>
  <c r="AP60" i="12" s="1"/>
  <c r="AQ60" i="12" s="1"/>
  <c r="G15" i="12"/>
  <c r="F15" i="12"/>
  <c r="AQ19" i="12"/>
  <c r="AP19" i="12"/>
  <c r="AP59" i="12" s="1"/>
  <c r="AQ59" i="12" s="1"/>
  <c r="AQ18" i="12"/>
  <c r="AP18" i="12"/>
  <c r="AP58" i="12" s="1"/>
  <c r="AQ58" i="12" s="1"/>
  <c r="AQ17" i="12"/>
  <c r="AP17" i="12"/>
  <c r="AP57" i="12" s="1"/>
  <c r="AQ57" i="12" s="1"/>
  <c r="AQ16" i="12"/>
  <c r="AP16" i="12"/>
  <c r="AP56" i="12" s="1"/>
  <c r="AQ56" i="12" s="1"/>
  <c r="AQ15" i="12"/>
  <c r="AP15" i="12"/>
  <c r="AP55" i="12" s="1"/>
  <c r="AQ55" i="12" s="1"/>
  <c r="AQ14" i="12"/>
  <c r="AP14" i="12"/>
  <c r="AP54" i="12" s="1"/>
  <c r="AQ54" i="12" s="1"/>
  <c r="I14" i="12"/>
  <c r="I32" i="12" s="1"/>
  <c r="J32" i="12" s="1"/>
  <c r="BC13" i="12"/>
  <c r="BC25" i="12" s="1"/>
  <c r="BD25" i="12" s="1"/>
  <c r="AQ13" i="12"/>
  <c r="AP13" i="12"/>
  <c r="AP53" i="12" s="1"/>
  <c r="AQ53" i="12" s="1"/>
  <c r="S13" i="12"/>
  <c r="N13" i="12"/>
  <c r="I13" i="12"/>
  <c r="I31" i="12" s="1"/>
  <c r="J31" i="12" s="1"/>
  <c r="BC12" i="12"/>
  <c r="BC24" i="12" s="1"/>
  <c r="BD24" i="12" s="1"/>
  <c r="AQ12" i="12"/>
  <c r="AP12" i="12"/>
  <c r="AP52" i="12" s="1"/>
  <c r="AQ52" i="12" s="1"/>
  <c r="S12" i="12"/>
  <c r="N12" i="12"/>
  <c r="I12" i="12"/>
  <c r="BG17" i="12"/>
  <c r="BG26" i="12" s="1"/>
  <c r="BG32" i="12" s="1"/>
  <c r="BC11" i="12"/>
  <c r="BC23" i="12" s="1"/>
  <c r="BD23" i="12" s="1"/>
  <c r="AQ11" i="12"/>
  <c r="AP11" i="12"/>
  <c r="AP51" i="12" s="1"/>
  <c r="AQ51" i="12" s="1"/>
  <c r="S11" i="12"/>
  <c r="N11" i="12"/>
  <c r="I11" i="12"/>
  <c r="I29" i="12" s="1"/>
  <c r="J29" i="12" s="1"/>
  <c r="BG16" i="12"/>
  <c r="BG25" i="12" s="1"/>
  <c r="BG31" i="12" s="1"/>
  <c r="BC10" i="12"/>
  <c r="BC22" i="12" s="1"/>
  <c r="BD22" i="12" s="1"/>
  <c r="AY10" i="12"/>
  <c r="AY19" i="12" s="1"/>
  <c r="AZ19" i="12" s="1"/>
  <c r="AQ10" i="12"/>
  <c r="AP10" i="12"/>
  <c r="AP50" i="12" s="1"/>
  <c r="AQ50" i="12" s="1"/>
  <c r="S10" i="12"/>
  <c r="N10" i="12"/>
  <c r="I10" i="12"/>
  <c r="BG15" i="12"/>
  <c r="BG24" i="12" s="1"/>
  <c r="BG30" i="12" s="1"/>
  <c r="BC9" i="12"/>
  <c r="BC21" i="12" s="1"/>
  <c r="BD21" i="12" s="1"/>
  <c r="AY9" i="12"/>
  <c r="AY18" i="12" s="1"/>
  <c r="AZ18" i="12" s="1"/>
  <c r="AQ9" i="12"/>
  <c r="AP9" i="12"/>
  <c r="AP49" i="12" s="1"/>
  <c r="AQ49" i="12" s="1"/>
  <c r="S9" i="12"/>
  <c r="N9" i="12"/>
  <c r="I9" i="12"/>
  <c r="I27" i="12" s="1"/>
  <c r="X14" i="12"/>
  <c r="X21" i="12" s="1"/>
  <c r="BV63" i="11"/>
  <c r="BV46" i="11"/>
  <c r="BX46" i="11"/>
  <c r="BW46" i="11"/>
  <c r="BW63" i="11"/>
  <c r="BX63" i="11"/>
  <c r="BV48" i="11"/>
  <c r="BV49" i="11"/>
  <c r="BV50" i="11"/>
  <c r="BV51" i="11"/>
  <c r="BV52" i="11"/>
  <c r="BV53" i="11"/>
  <c r="BV54" i="11"/>
  <c r="BV55" i="11"/>
  <c r="BV56" i="11"/>
  <c r="BV57" i="11"/>
  <c r="BV58" i="11"/>
  <c r="BV59" i="11"/>
  <c r="BV60" i="11"/>
  <c r="BV47" i="11"/>
  <c r="BS63" i="11"/>
  <c r="BR63" i="11"/>
  <c r="BS53" i="11"/>
  <c r="BQ65" i="11"/>
  <c r="BQ66" i="11"/>
  <c r="BQ67" i="11"/>
  <c r="BQ68" i="11"/>
  <c r="BQ69" i="11"/>
  <c r="BQ70" i="11"/>
  <c r="BQ64" i="11"/>
  <c r="BQ63" i="11"/>
  <c r="BR53" i="11"/>
  <c r="BS43" i="11"/>
  <c r="BR43" i="11"/>
  <c r="BQ53" i="11"/>
  <c r="BQ43" i="11"/>
  <c r="N40" i="11"/>
  <c r="M39" i="11"/>
  <c r="O28" i="11"/>
  <c r="N28" i="11"/>
  <c r="M28" i="11"/>
  <c r="AZ20" i="12" l="1"/>
  <c r="BA19" i="12" s="1"/>
  <c r="AV10" i="12"/>
  <c r="AV14" i="12"/>
  <c r="AV18" i="12"/>
  <c r="AV22" i="12"/>
  <c r="AV26" i="12"/>
  <c r="AV30" i="12"/>
  <c r="AV34" i="12"/>
  <c r="AV38" i="12"/>
  <c r="AV37" i="12"/>
  <c r="AV11" i="12"/>
  <c r="AV15" i="12"/>
  <c r="AV19" i="12"/>
  <c r="AV23" i="12"/>
  <c r="AV27" i="12"/>
  <c r="AV31" i="12"/>
  <c r="AV35" i="12"/>
  <c r="AV39" i="12"/>
  <c r="AV12" i="12"/>
  <c r="AV16" i="12"/>
  <c r="AV20" i="12"/>
  <c r="AV24" i="12"/>
  <c r="AV28" i="12"/>
  <c r="AV32" i="12"/>
  <c r="AV36" i="12"/>
  <c r="AV40" i="12"/>
  <c r="AV13" i="12"/>
  <c r="AV17" i="12"/>
  <c r="AV21" i="12"/>
  <c r="AV25" i="12"/>
  <c r="AV29" i="12"/>
  <c r="AV33" i="12"/>
  <c r="AV9" i="12"/>
  <c r="Z27" i="12"/>
  <c r="AA27" i="12" s="1"/>
  <c r="Z28" i="12"/>
  <c r="AA28" i="12" s="1"/>
  <c r="S32" i="12"/>
  <c r="T32" i="12" s="1"/>
  <c r="T9" i="12"/>
  <c r="S34" i="12"/>
  <c r="T34" i="12" s="1"/>
  <c r="T11" i="12"/>
  <c r="S36" i="12"/>
  <c r="T36" i="12" s="1"/>
  <c r="T13" i="12"/>
  <c r="S33" i="12"/>
  <c r="T33" i="12" s="1"/>
  <c r="T10" i="12"/>
  <c r="S35" i="12"/>
  <c r="T35" i="12" s="1"/>
  <c r="U35" i="12" s="1"/>
  <c r="T12" i="12"/>
  <c r="J27" i="12"/>
  <c r="AQ41" i="12"/>
  <c r="AR20" i="12" s="1"/>
  <c r="BD26" i="12"/>
  <c r="BE21" i="12" s="1"/>
  <c r="I28" i="12"/>
  <c r="J28" i="12" s="1"/>
  <c r="N53" i="12"/>
  <c r="N34" i="12"/>
  <c r="O34" i="12" s="1"/>
  <c r="N71" i="12"/>
  <c r="AR11" i="12"/>
  <c r="BH29" i="12"/>
  <c r="BH26" i="12"/>
  <c r="BH25" i="12"/>
  <c r="BL29" i="12"/>
  <c r="BL26" i="12"/>
  <c r="BL25" i="12"/>
  <c r="N51" i="12"/>
  <c r="N69" i="12"/>
  <c r="N32" i="12"/>
  <c r="AQ81" i="12"/>
  <c r="AR61" i="12" s="1"/>
  <c r="N70" i="12"/>
  <c r="N52" i="12"/>
  <c r="N33" i="12"/>
  <c r="O33" i="12" s="1"/>
  <c r="I30" i="12"/>
  <c r="J30" i="12" s="1"/>
  <c r="AR13" i="12"/>
  <c r="AR17" i="12"/>
  <c r="BH24" i="12"/>
  <c r="AR18" i="12"/>
  <c r="AR21" i="12"/>
  <c r="BJ24" i="12"/>
  <c r="BJ25" i="12"/>
  <c r="BJ26" i="12"/>
  <c r="AR28" i="12"/>
  <c r="AR40" i="12"/>
  <c r="AR27" i="12"/>
  <c r="AR25" i="12"/>
  <c r="AR37" i="12"/>
  <c r="N72" i="12"/>
  <c r="N54" i="12"/>
  <c r="N35" i="12"/>
  <c r="O35" i="12" s="1"/>
  <c r="AR19" i="12"/>
  <c r="N55" i="12"/>
  <c r="N36" i="12"/>
  <c r="O36" i="12" s="1"/>
  <c r="BK24" i="12"/>
  <c r="BI25" i="12"/>
  <c r="BI26" i="12"/>
  <c r="BK29" i="12"/>
  <c r="BI24" i="12"/>
  <c r="BK25" i="12"/>
  <c r="AR29" i="12"/>
  <c r="AR34" i="12"/>
  <c r="AR36" i="12"/>
  <c r="F43" i="12"/>
  <c r="N73" i="12"/>
  <c r="BQ27" i="11"/>
  <c r="BQ60" i="11" s="1"/>
  <c r="BR60" i="11" s="1"/>
  <c r="BQ26" i="11"/>
  <c r="BQ59" i="11" s="1"/>
  <c r="BR59" i="11" s="1"/>
  <c r="BQ25" i="11"/>
  <c r="BQ58" i="11" s="1"/>
  <c r="BR58" i="11" s="1"/>
  <c r="BQ24" i="11"/>
  <c r="BQ57" i="11" s="1"/>
  <c r="BR57" i="11" s="1"/>
  <c r="BQ23" i="11"/>
  <c r="BQ56" i="11" s="1"/>
  <c r="BR56" i="11" s="1"/>
  <c r="BQ22" i="11"/>
  <c r="BQ55" i="11" s="1"/>
  <c r="BR55" i="11" s="1"/>
  <c r="BQ21" i="11"/>
  <c r="BQ54" i="11" s="1"/>
  <c r="BR54" i="11" s="1"/>
  <c r="M22" i="11"/>
  <c r="M21" i="11"/>
  <c r="BQ18" i="11"/>
  <c r="M20" i="11"/>
  <c r="M40" i="11" s="1"/>
  <c r="M18" i="11"/>
  <c r="M38" i="11" s="1"/>
  <c r="N38" i="11" s="1"/>
  <c r="M17" i="11"/>
  <c r="M37" i="11" s="1"/>
  <c r="N37" i="11" s="1"/>
  <c r="M16" i="11"/>
  <c r="M36" i="11" s="1"/>
  <c r="N36" i="11" s="1"/>
  <c r="BQ15" i="11"/>
  <c r="BQ50" i="11" s="1"/>
  <c r="BR50" i="11" s="1"/>
  <c r="M15" i="11"/>
  <c r="M35" i="11" s="1"/>
  <c r="N35" i="11" s="1"/>
  <c r="BQ14" i="11"/>
  <c r="BQ49" i="11" s="1"/>
  <c r="BR49" i="11" s="1"/>
  <c r="M14" i="11"/>
  <c r="M34" i="11" s="1"/>
  <c r="N34" i="11" s="1"/>
  <c r="BQ13" i="11"/>
  <c r="BQ48" i="11" s="1"/>
  <c r="BR48" i="11" s="1"/>
  <c r="M13" i="11"/>
  <c r="M33" i="11" s="1"/>
  <c r="N33" i="11" s="1"/>
  <c r="BQ12" i="11"/>
  <c r="BQ47" i="11" s="1"/>
  <c r="BR47" i="11" s="1"/>
  <c r="M12" i="11"/>
  <c r="M32" i="11" s="1"/>
  <c r="BQ11" i="11"/>
  <c r="BQ46" i="11" s="1"/>
  <c r="BR46" i="11" s="1"/>
  <c r="M11" i="11"/>
  <c r="M31" i="11" s="1"/>
  <c r="N31" i="11" s="1"/>
  <c r="BQ10" i="11"/>
  <c r="BQ45" i="11" s="1"/>
  <c r="BR45" i="11" s="1"/>
  <c r="M10" i="11"/>
  <c r="M30" i="11" s="1"/>
  <c r="N30" i="11" s="1"/>
  <c r="BQ9" i="11"/>
  <c r="BQ44" i="11" s="1"/>
  <c r="BR44" i="11" s="1"/>
  <c r="M9" i="11"/>
  <c r="M29" i="11" s="1"/>
  <c r="BV6" i="11"/>
  <c r="BQ6" i="11"/>
  <c r="N29" i="11" l="1"/>
  <c r="O31" i="11" s="1"/>
  <c r="BA18" i="12"/>
  <c r="BA20" i="12" s="1"/>
  <c r="AR35" i="12"/>
  <c r="AR24" i="12"/>
  <c r="AR38" i="12"/>
  <c r="AR31" i="12"/>
  <c r="AR14" i="12"/>
  <c r="O74" i="12"/>
  <c r="O56" i="12"/>
  <c r="AR33" i="12"/>
  <c r="AR39" i="12"/>
  <c r="AR12" i="12"/>
  <c r="AR26" i="12"/>
  <c r="AR32" i="12"/>
  <c r="AR30" i="12"/>
  <c r="AR22" i="12"/>
  <c r="N32" i="11"/>
  <c r="O36" i="11" s="1"/>
  <c r="AU17" i="12" a="1"/>
  <c r="AU17" i="12" s="1"/>
  <c r="AU36" i="12" a="1"/>
  <c r="AU36" i="12" s="1"/>
  <c r="AU25" i="12" a="1"/>
  <c r="AU25" i="12" s="1"/>
  <c r="AR63" i="12"/>
  <c r="AR62" i="12"/>
  <c r="AU19" i="12" a="1"/>
  <c r="AU19" i="12" s="1"/>
  <c r="AR55" i="12"/>
  <c r="AR79" i="12"/>
  <c r="AR53" i="12"/>
  <c r="AR67" i="12"/>
  <c r="AU30" i="12" a="1"/>
  <c r="AU30" i="12" s="1"/>
  <c r="AU14" i="12" a="1"/>
  <c r="AU14" i="12" s="1"/>
  <c r="AU39" i="12" a="1"/>
  <c r="AU39" i="12" s="1"/>
  <c r="AU33" i="12" a="1"/>
  <c r="AU33" i="12" s="1"/>
  <c r="AU35" i="12" a="1"/>
  <c r="AU35" i="12" s="1"/>
  <c r="AU21" i="12" a="1"/>
  <c r="AU21" i="12" s="1"/>
  <c r="AU31" i="12" a="1"/>
  <c r="AU31" i="12" s="1"/>
  <c r="AU15" i="12" a="1"/>
  <c r="AU15" i="12" s="1"/>
  <c r="AU32" i="12" a="1"/>
  <c r="AU32" i="12" s="1"/>
  <c r="AU16" i="12" a="1"/>
  <c r="AU16" i="12" s="1"/>
  <c r="AU34" i="12" a="1"/>
  <c r="AU34" i="12" s="1"/>
  <c r="AU18" i="12" a="1"/>
  <c r="AU18" i="12" s="1"/>
  <c r="AU28" i="12" a="1"/>
  <c r="AU28" i="12" s="1"/>
  <c r="AU12" i="12" a="1"/>
  <c r="AU12" i="12" s="1"/>
  <c r="AU27" i="12" a="1"/>
  <c r="AU27" i="12" s="1"/>
  <c r="AU11" i="12" a="1"/>
  <c r="AU11" i="12" s="1"/>
  <c r="AU29" i="12" a="1"/>
  <c r="AU29" i="12" s="1"/>
  <c r="AU13" i="12" a="1"/>
  <c r="AU13" i="12" s="1"/>
  <c r="AV41" i="12"/>
  <c r="AW32" i="12" s="1"/>
  <c r="AU20" i="12" a="1"/>
  <c r="AU20" i="12" s="1"/>
  <c r="AU37" i="12" a="1"/>
  <c r="AU37" i="12" s="1"/>
  <c r="AU23" i="12" a="1"/>
  <c r="AU23" i="12" s="1"/>
  <c r="AU38" i="12" a="1"/>
  <c r="AU38" i="12" s="1"/>
  <c r="AU22" i="12" a="1"/>
  <c r="AU22" i="12" s="1"/>
  <c r="AU9" i="12" a="1"/>
  <c r="AU9" i="12" s="1"/>
  <c r="AU24" i="12" a="1"/>
  <c r="AU24" i="12" s="1"/>
  <c r="AU40" i="12" a="1"/>
  <c r="AU40" i="12" s="1"/>
  <c r="AU26" i="12" a="1"/>
  <c r="AU26" i="12" s="1"/>
  <c r="AU10" i="12" a="1"/>
  <c r="AU10" i="12" s="1"/>
  <c r="AR71" i="12"/>
  <c r="U33" i="12"/>
  <c r="U34" i="12"/>
  <c r="U36" i="12"/>
  <c r="T37" i="12"/>
  <c r="AR65" i="12"/>
  <c r="AR76" i="12"/>
  <c r="AR57" i="12"/>
  <c r="AR69" i="12"/>
  <c r="AR59" i="12"/>
  <c r="AR64" i="12"/>
  <c r="AR54" i="12"/>
  <c r="AR68" i="12"/>
  <c r="AR52" i="12"/>
  <c r="AR78" i="12"/>
  <c r="AR75" i="12"/>
  <c r="U32" i="12"/>
  <c r="T14" i="12"/>
  <c r="U12" i="12" s="1"/>
  <c r="BI30" i="12"/>
  <c r="BI32" i="12"/>
  <c r="AR23" i="12"/>
  <c r="AR74" i="12"/>
  <c r="AR72" i="12"/>
  <c r="AR66" i="12"/>
  <c r="AR77" i="12"/>
  <c r="AR58" i="12"/>
  <c r="O32" i="12"/>
  <c r="O37" i="12"/>
  <c r="P35" i="12" s="1"/>
  <c r="J33" i="12"/>
  <c r="K27" i="12" s="1"/>
  <c r="AR70" i="12"/>
  <c r="BE22" i="12"/>
  <c r="AR56" i="12"/>
  <c r="AR10" i="12"/>
  <c r="AR9" i="12"/>
  <c r="BI31" i="12"/>
  <c r="BL30" i="12"/>
  <c r="AR49" i="12"/>
  <c r="BE23" i="12"/>
  <c r="BE24" i="12"/>
  <c r="AR16" i="12"/>
  <c r="BE25" i="12"/>
  <c r="AR15" i="12"/>
  <c r="BJ30" i="12"/>
  <c r="AR80" i="12"/>
  <c r="BL32" i="12"/>
  <c r="AR51" i="12"/>
  <c r="BK31" i="12"/>
  <c r="BK30" i="12"/>
  <c r="BJ31" i="12"/>
  <c r="BH30" i="12"/>
  <c r="AR60" i="12"/>
  <c r="BJ32" i="12"/>
  <c r="AR50" i="12"/>
  <c r="AR73" i="12"/>
  <c r="BH31" i="12"/>
  <c r="BK32" i="12"/>
  <c r="BL31" i="12"/>
  <c r="BH32" i="12"/>
  <c r="BR51" i="11"/>
  <c r="BS47" i="11" s="1"/>
  <c r="BR67" i="11" s="1"/>
  <c r="BR61" i="11"/>
  <c r="BS54" i="11" s="1"/>
  <c r="O30" i="11" l="1"/>
  <c r="O29" i="11" s="1"/>
  <c r="O33" i="11"/>
  <c r="O35" i="11"/>
  <c r="O34" i="11"/>
  <c r="O38" i="11"/>
  <c r="O37" i="11"/>
  <c r="BS44" i="11"/>
  <c r="BR64" i="11" s="1"/>
  <c r="BS57" i="11"/>
  <c r="BS67" i="11" s="1"/>
  <c r="BS60" i="11"/>
  <c r="BS70" i="11" s="1"/>
  <c r="BS48" i="11"/>
  <c r="BR68" i="11" s="1"/>
  <c r="BS50" i="11"/>
  <c r="BR70" i="11" s="1"/>
  <c r="BS59" i="11"/>
  <c r="BS69" i="11" s="1"/>
  <c r="BS45" i="11"/>
  <c r="BR65" i="11" s="1"/>
  <c r="BS49" i="11"/>
  <c r="BR69" i="11" s="1"/>
  <c r="BS58" i="11"/>
  <c r="BS68" i="11" s="1"/>
  <c r="BS46" i="11"/>
  <c r="BR66" i="11" s="1"/>
  <c r="AW25" i="12"/>
  <c r="AW38" i="12"/>
  <c r="AW30" i="12"/>
  <c r="AW36" i="12"/>
  <c r="AW28" i="12"/>
  <c r="AW23" i="12"/>
  <c r="AW31" i="12"/>
  <c r="AW37" i="12"/>
  <c r="AW40" i="12"/>
  <c r="AW14" i="12"/>
  <c r="AW12" i="12"/>
  <c r="AW18" i="12"/>
  <c r="AW22" i="12"/>
  <c r="AW20" i="12"/>
  <c r="AW9" i="12"/>
  <c r="AW10" i="12"/>
  <c r="AW39" i="12"/>
  <c r="AW15" i="12"/>
  <c r="AW11" i="12"/>
  <c r="AW13" i="12"/>
  <c r="AW16" i="12"/>
  <c r="AW19" i="12"/>
  <c r="AW34" i="12"/>
  <c r="AW26" i="12"/>
  <c r="AW24" i="12"/>
  <c r="AW17" i="12"/>
  <c r="AW27" i="12"/>
  <c r="AW29" i="12"/>
  <c r="AW33" i="12"/>
  <c r="AW35" i="12"/>
  <c r="AW21" i="12"/>
  <c r="AR41" i="12"/>
  <c r="U37" i="12"/>
  <c r="U9" i="12"/>
  <c r="U13" i="12"/>
  <c r="U11" i="12"/>
  <c r="BE26" i="12"/>
  <c r="U10" i="12"/>
  <c r="P32" i="12"/>
  <c r="K32" i="12"/>
  <c r="K29" i="12"/>
  <c r="K31" i="12"/>
  <c r="P33" i="12"/>
  <c r="K30" i="12"/>
  <c r="P36" i="12"/>
  <c r="P34" i="12"/>
  <c r="K28" i="12"/>
  <c r="AR81" i="12"/>
  <c r="BS64" i="11"/>
  <c r="BS56" i="11"/>
  <c r="BS66" i="11" s="1"/>
  <c r="BS55" i="11"/>
  <c r="BS65" i="11" s="1"/>
  <c r="O32" i="11" l="1"/>
  <c r="BS51" i="11"/>
  <c r="BS61" i="11"/>
  <c r="AW41" i="12"/>
  <c r="U14" i="12"/>
  <c r="H26" i="11"/>
  <c r="E9" i="11"/>
  <c r="E10" i="11"/>
  <c r="E11" i="11"/>
  <c r="E12" i="11"/>
  <c r="E13" i="11"/>
  <c r="E14" i="11"/>
  <c r="E15" i="11"/>
  <c r="E16" i="11"/>
  <c r="E17" i="11"/>
  <c r="E18" i="11"/>
  <c r="E19" i="11"/>
  <c r="E20" i="11"/>
  <c r="E21" i="11"/>
  <c r="E28" i="12" s="1"/>
  <c r="F26" i="11"/>
  <c r="G26" i="11"/>
  <c r="H44" i="11" s="1"/>
  <c r="G17" i="11" l="1"/>
  <c r="AI23" i="12"/>
  <c r="E24" i="12"/>
  <c r="G13" i="11"/>
  <c r="E20" i="12"/>
  <c r="AI19" i="12"/>
  <c r="G9" i="11"/>
  <c r="E16" i="12"/>
  <c r="AI15" i="12"/>
  <c r="G20" i="11"/>
  <c r="E27" i="12"/>
  <c r="AI26" i="12"/>
  <c r="G16" i="11"/>
  <c r="E23" i="12"/>
  <c r="AI22" i="12"/>
  <c r="G12" i="11"/>
  <c r="G28" i="11" s="1"/>
  <c r="E19" i="12"/>
  <c r="AI18" i="12"/>
  <c r="G18" i="11"/>
  <c r="G31" i="11" s="1"/>
  <c r="AI24" i="12"/>
  <c r="E25" i="12"/>
  <c r="G19" i="11"/>
  <c r="E26" i="12"/>
  <c r="AI25" i="12"/>
  <c r="G15" i="11"/>
  <c r="E22" i="12"/>
  <c r="AI21" i="12"/>
  <c r="G11" i="11"/>
  <c r="AI17" i="12"/>
  <c r="E18" i="12"/>
  <c r="G14" i="11"/>
  <c r="E21" i="12"/>
  <c r="AI20" i="12"/>
  <c r="G10" i="11"/>
  <c r="AI16" i="12"/>
  <c r="E17" i="12"/>
  <c r="H46" i="11" l="1"/>
  <c r="H45" i="11"/>
  <c r="G30" i="11"/>
  <c r="G27" i="11"/>
  <c r="AJ18" i="12"/>
  <c r="AK18" i="12"/>
  <c r="H47" i="11"/>
  <c r="AK25" i="12"/>
  <c r="AJ25" i="12"/>
  <c r="AJ24" i="12"/>
  <c r="AL24" i="12" s="1"/>
  <c r="AM24" i="12" s="1"/>
  <c r="AK24" i="12"/>
  <c r="AK26" i="12"/>
  <c r="AJ26" i="12"/>
  <c r="G29" i="11"/>
  <c r="AJ16" i="12"/>
  <c r="AK16" i="12"/>
  <c r="AK21" i="12"/>
  <c r="AJ21" i="12"/>
  <c r="AK22" i="12"/>
  <c r="AJ22" i="12"/>
  <c r="AK19" i="12"/>
  <c r="AJ19" i="12"/>
  <c r="AK23" i="12"/>
  <c r="AJ23" i="12"/>
  <c r="G21" i="11"/>
  <c r="AK20" i="12"/>
  <c r="AJ20" i="12"/>
  <c r="AK17" i="12"/>
  <c r="AJ17" i="12"/>
  <c r="AJ15" i="12"/>
  <c r="AK15" i="12"/>
  <c r="H48" i="11"/>
  <c r="G32" i="11"/>
  <c r="AL22" i="12" l="1"/>
  <c r="AM22" i="12" s="1"/>
  <c r="AK27" i="12"/>
  <c r="AL23" i="12"/>
  <c r="AN23" i="12" s="1"/>
  <c r="AL20" i="12"/>
  <c r="AN20" i="12" s="1"/>
  <c r="AL16" i="12"/>
  <c r="AN16" i="12" s="1"/>
  <c r="AN24" i="12"/>
  <c r="AJ27" i="12"/>
  <c r="AL15" i="12"/>
  <c r="AM15" i="12" s="1"/>
  <c r="AL19" i="12"/>
  <c r="AN19" i="12" s="1"/>
  <c r="AL21" i="12"/>
  <c r="AM21" i="12" s="1"/>
  <c r="AL17" i="12"/>
  <c r="AN17" i="12" s="1"/>
  <c r="AL26" i="12"/>
  <c r="AN26" i="12" s="1"/>
  <c r="AL25" i="12"/>
  <c r="AN25" i="12" s="1"/>
  <c r="AL18" i="12"/>
  <c r="AN18" i="12" s="1"/>
  <c r="CZ11" i="2"/>
  <c r="CZ12" i="2"/>
  <c r="CZ13" i="2"/>
  <c r="CZ14" i="2"/>
  <c r="CZ15" i="2"/>
  <c r="CZ16" i="2"/>
  <c r="CZ17" i="2"/>
  <c r="CZ18" i="2"/>
  <c r="CZ19" i="2"/>
  <c r="CZ20" i="2"/>
  <c r="CZ21" i="2"/>
  <c r="CZ22" i="2"/>
  <c r="CZ23" i="2"/>
  <c r="CZ24" i="2"/>
  <c r="CZ25" i="2"/>
  <c r="CZ26" i="2"/>
  <c r="CZ27" i="2"/>
  <c r="CZ28" i="2"/>
  <c r="CZ29" i="2"/>
  <c r="CZ30" i="2"/>
  <c r="CZ31" i="2"/>
  <c r="CZ32" i="2"/>
  <c r="CZ33" i="2"/>
  <c r="CZ34" i="2"/>
  <c r="CZ35" i="2"/>
  <c r="CZ36" i="2"/>
  <c r="CZ37" i="2"/>
  <c r="CZ38" i="2"/>
  <c r="CZ39" i="2"/>
  <c r="CZ40" i="2"/>
  <c r="CZ41" i="2"/>
  <c r="CZ42" i="2"/>
  <c r="CZ43" i="2"/>
  <c r="CZ44" i="2"/>
  <c r="CZ45" i="2"/>
  <c r="CZ46" i="2"/>
  <c r="CZ47" i="2"/>
  <c r="CZ48" i="2"/>
  <c r="CZ49" i="2"/>
  <c r="CZ50" i="2"/>
  <c r="CZ51" i="2"/>
  <c r="CZ52" i="2"/>
  <c r="CZ53" i="2"/>
  <c r="CZ54" i="2"/>
  <c r="CZ55" i="2"/>
  <c r="CZ56" i="2"/>
  <c r="CZ57" i="2"/>
  <c r="CZ58" i="2"/>
  <c r="CZ59" i="2"/>
  <c r="CZ60" i="2"/>
  <c r="CZ61" i="2"/>
  <c r="CZ62" i="2"/>
  <c r="CZ63" i="2"/>
  <c r="CZ64" i="2"/>
  <c r="CZ65" i="2"/>
  <c r="CZ66" i="2"/>
  <c r="CZ67" i="2"/>
  <c r="CZ68" i="2"/>
  <c r="CZ69" i="2"/>
  <c r="CZ70" i="2"/>
  <c r="CZ71" i="2"/>
  <c r="CZ72" i="2"/>
  <c r="CZ73" i="2"/>
  <c r="CZ74" i="2"/>
  <c r="CZ75" i="2"/>
  <c r="CZ76" i="2"/>
  <c r="CZ77" i="2"/>
  <c r="CZ78" i="2"/>
  <c r="CZ79" i="2"/>
  <c r="CZ80" i="2"/>
  <c r="CZ81" i="2"/>
  <c r="CZ82" i="2"/>
  <c r="CZ83" i="2"/>
  <c r="CZ84" i="2"/>
  <c r="CZ85" i="2"/>
  <c r="CZ86" i="2"/>
  <c r="CZ87" i="2"/>
  <c r="CZ88" i="2"/>
  <c r="CZ89" i="2"/>
  <c r="CZ90" i="2"/>
  <c r="CZ91" i="2"/>
  <c r="CZ92" i="2"/>
  <c r="CZ93" i="2"/>
  <c r="CZ94" i="2"/>
  <c r="CZ95" i="2"/>
  <c r="CZ96" i="2"/>
  <c r="CZ97" i="2"/>
  <c r="CZ98" i="2"/>
  <c r="CZ99" i="2"/>
  <c r="CZ100" i="2"/>
  <c r="CZ101" i="2"/>
  <c r="CZ102" i="2"/>
  <c r="CZ103" i="2"/>
  <c r="CZ104" i="2"/>
  <c r="CZ105" i="2"/>
  <c r="CZ106" i="2"/>
  <c r="CZ107" i="2"/>
  <c r="CZ108" i="2"/>
  <c r="CZ109" i="2"/>
  <c r="CZ110" i="2"/>
  <c r="CZ111" i="2"/>
  <c r="CZ112" i="2"/>
  <c r="CZ113" i="2"/>
  <c r="CZ114" i="2"/>
  <c r="CZ115" i="2"/>
  <c r="CZ116" i="2"/>
  <c r="CZ117" i="2"/>
  <c r="CZ118" i="2"/>
  <c r="CZ119" i="2"/>
  <c r="CZ120" i="2"/>
  <c r="CZ121" i="2"/>
  <c r="CZ122" i="2"/>
  <c r="CZ123" i="2"/>
  <c r="CZ124" i="2"/>
  <c r="CZ125" i="2"/>
  <c r="CZ126" i="2"/>
  <c r="CZ127" i="2"/>
  <c r="CZ128" i="2"/>
  <c r="CZ129" i="2"/>
  <c r="CZ130" i="2"/>
  <c r="CZ131" i="2"/>
  <c r="CZ132" i="2"/>
  <c r="CZ133" i="2"/>
  <c r="CZ134" i="2"/>
  <c r="CZ135" i="2"/>
  <c r="CZ136" i="2"/>
  <c r="CZ137" i="2"/>
  <c r="CZ138" i="2"/>
  <c r="CZ139" i="2"/>
  <c r="CZ140" i="2"/>
  <c r="CZ141" i="2"/>
  <c r="CZ142" i="2"/>
  <c r="CZ143" i="2"/>
  <c r="CZ144" i="2"/>
  <c r="CZ145" i="2"/>
  <c r="CZ146" i="2"/>
  <c r="CZ147" i="2"/>
  <c r="CZ148" i="2"/>
  <c r="CZ149" i="2"/>
  <c r="CZ150" i="2"/>
  <c r="CZ151" i="2"/>
  <c r="CZ152" i="2"/>
  <c r="CZ153" i="2"/>
  <c r="CZ154" i="2"/>
  <c r="CZ155" i="2"/>
  <c r="CZ156" i="2"/>
  <c r="CZ157" i="2"/>
  <c r="CZ158" i="2"/>
  <c r="CZ159" i="2"/>
  <c r="CZ160" i="2"/>
  <c r="CZ161" i="2"/>
  <c r="CZ162" i="2"/>
  <c r="CZ163" i="2"/>
  <c r="CZ164" i="2"/>
  <c r="CZ165" i="2"/>
  <c r="CZ166" i="2"/>
  <c r="CZ167" i="2"/>
  <c r="CZ168" i="2"/>
  <c r="CZ169" i="2"/>
  <c r="CZ170" i="2"/>
  <c r="CZ171" i="2"/>
  <c r="CZ172" i="2"/>
  <c r="CZ173" i="2"/>
  <c r="CZ174" i="2"/>
  <c r="CZ175" i="2"/>
  <c r="CZ176" i="2"/>
  <c r="CZ177" i="2"/>
  <c r="CZ178" i="2"/>
  <c r="CZ179" i="2"/>
  <c r="CZ180" i="2"/>
  <c r="CZ181" i="2"/>
  <c r="CZ182" i="2"/>
  <c r="CZ183" i="2"/>
  <c r="CZ184" i="2"/>
  <c r="CZ185" i="2"/>
  <c r="CZ186" i="2"/>
  <c r="CZ187" i="2"/>
  <c r="CZ188" i="2"/>
  <c r="CZ189" i="2"/>
  <c r="CZ190" i="2"/>
  <c r="CZ191" i="2"/>
  <c r="CZ192" i="2"/>
  <c r="CZ193" i="2"/>
  <c r="CZ194" i="2"/>
  <c r="CZ195" i="2"/>
  <c r="CZ196" i="2"/>
  <c r="CZ197" i="2"/>
  <c r="CZ198" i="2"/>
  <c r="CZ199" i="2"/>
  <c r="CZ200" i="2"/>
  <c r="CZ201" i="2"/>
  <c r="CZ202" i="2"/>
  <c r="CZ203" i="2"/>
  <c r="CZ204" i="2"/>
  <c r="CZ205" i="2"/>
  <c r="CZ206" i="2"/>
  <c r="CZ207" i="2"/>
  <c r="CZ208" i="2"/>
  <c r="CZ209" i="2"/>
  <c r="CZ210" i="2"/>
  <c r="CZ211" i="2"/>
  <c r="CZ212" i="2"/>
  <c r="CZ213" i="2"/>
  <c r="CZ214" i="2"/>
  <c r="CZ215" i="2"/>
  <c r="CZ216" i="2"/>
  <c r="CZ217" i="2"/>
  <c r="CZ218" i="2"/>
  <c r="CZ219" i="2"/>
  <c r="CZ220" i="2"/>
  <c r="CZ221" i="2"/>
  <c r="CZ222" i="2"/>
  <c r="CZ223" i="2"/>
  <c r="CZ224" i="2"/>
  <c r="CZ225" i="2"/>
  <c r="CZ226" i="2"/>
  <c r="CZ227" i="2"/>
  <c r="CZ228" i="2"/>
  <c r="CZ229" i="2"/>
  <c r="CZ230" i="2"/>
  <c r="CZ231" i="2"/>
  <c r="CZ232" i="2"/>
  <c r="CZ233" i="2"/>
  <c r="CZ234" i="2"/>
  <c r="CZ235" i="2"/>
  <c r="CZ236" i="2"/>
  <c r="CZ237" i="2"/>
  <c r="CZ238" i="2"/>
  <c r="CZ239" i="2"/>
  <c r="CZ240" i="2"/>
  <c r="CZ241" i="2"/>
  <c r="CZ242" i="2"/>
  <c r="CZ243" i="2"/>
  <c r="CZ244" i="2"/>
  <c r="CZ245" i="2"/>
  <c r="CZ246" i="2"/>
  <c r="CZ247" i="2"/>
  <c r="CZ248" i="2"/>
  <c r="CZ249" i="2"/>
  <c r="CZ250" i="2"/>
  <c r="CZ251" i="2"/>
  <c r="CZ252" i="2"/>
  <c r="CZ253" i="2"/>
  <c r="CZ254" i="2"/>
  <c r="CZ255" i="2"/>
  <c r="CZ256" i="2"/>
  <c r="CZ257" i="2"/>
  <c r="CZ258" i="2"/>
  <c r="CZ259" i="2"/>
  <c r="CZ260" i="2"/>
  <c r="CZ261" i="2"/>
  <c r="CZ262" i="2"/>
  <c r="CZ263" i="2"/>
  <c r="CZ264" i="2"/>
  <c r="CZ265" i="2"/>
  <c r="CZ266" i="2"/>
  <c r="CZ267" i="2"/>
  <c r="CZ268" i="2"/>
  <c r="CZ269" i="2"/>
  <c r="CZ270" i="2"/>
  <c r="CZ271" i="2"/>
  <c r="CZ272" i="2"/>
  <c r="CZ273" i="2"/>
  <c r="CZ4" i="2"/>
  <c r="CZ5" i="2"/>
  <c r="CZ6" i="2"/>
  <c r="CZ7" i="2"/>
  <c r="CZ8" i="2"/>
  <c r="CZ9" i="2"/>
  <c r="CZ10" i="2"/>
  <c r="CZ3" i="2"/>
  <c r="AN22" i="12" l="1"/>
  <c r="AM20" i="12"/>
  <c r="AM16" i="12"/>
  <c r="AM17" i="12"/>
  <c r="AM18" i="12"/>
  <c r="AM26" i="12"/>
  <c r="AN15" i="12"/>
  <c r="AL27" i="12"/>
  <c r="AN27" i="12" s="1"/>
  <c r="AM23" i="12"/>
  <c r="AM25" i="12"/>
  <c r="AN21" i="12"/>
  <c r="AM19" i="12"/>
  <c r="BP4" i="2"/>
  <c r="CY4" i="2" s="1"/>
  <c r="BQ4" i="2"/>
  <c r="BP5" i="2"/>
  <c r="CY5" i="2" s="1"/>
  <c r="BQ5" i="2"/>
  <c r="BP6" i="2"/>
  <c r="CY6" i="2" s="1"/>
  <c r="BQ6" i="2"/>
  <c r="BP7" i="2"/>
  <c r="CY7" i="2" s="1"/>
  <c r="BQ7" i="2"/>
  <c r="BP8" i="2"/>
  <c r="CY8" i="2" s="1"/>
  <c r="BQ8" i="2"/>
  <c r="BP9" i="2"/>
  <c r="CY9" i="2" s="1"/>
  <c r="BQ9" i="2"/>
  <c r="BP10" i="2"/>
  <c r="CY10" i="2" s="1"/>
  <c r="BQ10" i="2"/>
  <c r="BP11" i="2"/>
  <c r="CY11" i="2" s="1"/>
  <c r="BQ11" i="2"/>
  <c r="BP12" i="2"/>
  <c r="CY12" i="2" s="1"/>
  <c r="BQ12" i="2"/>
  <c r="BP13" i="2"/>
  <c r="CY13" i="2" s="1"/>
  <c r="BQ13" i="2"/>
  <c r="BP14" i="2"/>
  <c r="CY14" i="2" s="1"/>
  <c r="BQ14" i="2"/>
  <c r="BP15" i="2"/>
  <c r="CY15" i="2" s="1"/>
  <c r="BQ15" i="2"/>
  <c r="BP16" i="2"/>
  <c r="CY16" i="2" s="1"/>
  <c r="BQ16" i="2"/>
  <c r="BP17" i="2"/>
  <c r="CY17" i="2" s="1"/>
  <c r="BQ17" i="2"/>
  <c r="BP18" i="2"/>
  <c r="CY18" i="2" s="1"/>
  <c r="BQ18" i="2"/>
  <c r="BP19" i="2"/>
  <c r="CY19" i="2" s="1"/>
  <c r="BQ19" i="2"/>
  <c r="BP20" i="2"/>
  <c r="CY20" i="2" s="1"/>
  <c r="BQ20" i="2"/>
  <c r="BP21" i="2"/>
  <c r="CY21" i="2" s="1"/>
  <c r="BQ21" i="2"/>
  <c r="BP22" i="2"/>
  <c r="CY22" i="2" s="1"/>
  <c r="BQ22" i="2"/>
  <c r="BP23" i="2"/>
  <c r="CY23" i="2" s="1"/>
  <c r="BQ23" i="2"/>
  <c r="BP24" i="2"/>
  <c r="CY24" i="2" s="1"/>
  <c r="BQ24" i="2"/>
  <c r="BP25" i="2"/>
  <c r="CY25" i="2" s="1"/>
  <c r="BQ25" i="2"/>
  <c r="BP26" i="2"/>
  <c r="CY26" i="2" s="1"/>
  <c r="BQ26" i="2"/>
  <c r="BP27" i="2"/>
  <c r="CY27" i="2" s="1"/>
  <c r="BQ27" i="2"/>
  <c r="BP28" i="2"/>
  <c r="CY28" i="2" s="1"/>
  <c r="BQ28" i="2"/>
  <c r="BP29" i="2"/>
  <c r="CY29" i="2" s="1"/>
  <c r="BQ29" i="2"/>
  <c r="BP30" i="2"/>
  <c r="CY30" i="2" s="1"/>
  <c r="BQ30" i="2"/>
  <c r="BP31" i="2"/>
  <c r="CY31" i="2" s="1"/>
  <c r="BQ31" i="2"/>
  <c r="BP32" i="2"/>
  <c r="CY32" i="2" s="1"/>
  <c r="BQ32" i="2"/>
  <c r="BP33" i="2"/>
  <c r="CY33" i="2" s="1"/>
  <c r="BQ33" i="2"/>
  <c r="BP34" i="2"/>
  <c r="CY34" i="2" s="1"/>
  <c r="BQ34" i="2"/>
  <c r="BP35" i="2"/>
  <c r="CY35" i="2" s="1"/>
  <c r="BQ35" i="2"/>
  <c r="BP36" i="2"/>
  <c r="CY36" i="2" s="1"/>
  <c r="BQ36" i="2"/>
  <c r="BP37" i="2"/>
  <c r="CY37" i="2" s="1"/>
  <c r="BQ37" i="2"/>
  <c r="BP38" i="2"/>
  <c r="CY38" i="2" s="1"/>
  <c r="BQ38" i="2"/>
  <c r="BP39" i="2"/>
  <c r="CY39" i="2" s="1"/>
  <c r="BQ39" i="2"/>
  <c r="BP40" i="2"/>
  <c r="CY40" i="2" s="1"/>
  <c r="BQ40" i="2"/>
  <c r="BP41" i="2"/>
  <c r="CY41" i="2" s="1"/>
  <c r="BQ41" i="2"/>
  <c r="BP42" i="2"/>
  <c r="CY42" i="2" s="1"/>
  <c r="BQ42" i="2"/>
  <c r="BP43" i="2"/>
  <c r="CY43" i="2" s="1"/>
  <c r="BQ43" i="2"/>
  <c r="BP44" i="2"/>
  <c r="CY44" i="2" s="1"/>
  <c r="BQ44" i="2"/>
  <c r="BP45" i="2"/>
  <c r="CY45" i="2" s="1"/>
  <c r="BQ45" i="2"/>
  <c r="BP46" i="2"/>
  <c r="CY46" i="2" s="1"/>
  <c r="BQ46" i="2"/>
  <c r="BP47" i="2"/>
  <c r="CY47" i="2" s="1"/>
  <c r="BQ47" i="2"/>
  <c r="BP48" i="2"/>
  <c r="CY48" i="2" s="1"/>
  <c r="BQ48" i="2"/>
  <c r="BP49" i="2"/>
  <c r="CY49" i="2" s="1"/>
  <c r="BQ49" i="2"/>
  <c r="BP50" i="2"/>
  <c r="CY50" i="2" s="1"/>
  <c r="BQ50" i="2"/>
  <c r="BP51" i="2"/>
  <c r="CY51" i="2" s="1"/>
  <c r="BQ51" i="2"/>
  <c r="BP52" i="2"/>
  <c r="CY52" i="2" s="1"/>
  <c r="BQ52" i="2"/>
  <c r="BP53" i="2"/>
  <c r="CY53" i="2" s="1"/>
  <c r="BQ53" i="2"/>
  <c r="BP54" i="2"/>
  <c r="CY54" i="2" s="1"/>
  <c r="BQ54" i="2"/>
  <c r="BP55" i="2"/>
  <c r="CY55" i="2" s="1"/>
  <c r="BQ55" i="2"/>
  <c r="BP56" i="2"/>
  <c r="CY56" i="2" s="1"/>
  <c r="BQ56" i="2"/>
  <c r="BP57" i="2"/>
  <c r="CY57" i="2" s="1"/>
  <c r="BQ57" i="2"/>
  <c r="BP58" i="2"/>
  <c r="CY58" i="2" s="1"/>
  <c r="BQ58" i="2"/>
  <c r="BP59" i="2"/>
  <c r="CY59" i="2" s="1"/>
  <c r="BQ59" i="2"/>
  <c r="BP60" i="2"/>
  <c r="CY60" i="2" s="1"/>
  <c r="BQ60" i="2"/>
  <c r="BP61" i="2"/>
  <c r="CY61" i="2" s="1"/>
  <c r="BQ61" i="2"/>
  <c r="BP62" i="2"/>
  <c r="CY62" i="2" s="1"/>
  <c r="BQ62" i="2"/>
  <c r="BP63" i="2"/>
  <c r="CY63" i="2" s="1"/>
  <c r="BQ63" i="2"/>
  <c r="BP64" i="2"/>
  <c r="CY64" i="2" s="1"/>
  <c r="BQ64" i="2"/>
  <c r="BP65" i="2"/>
  <c r="CY65" i="2" s="1"/>
  <c r="BQ65" i="2"/>
  <c r="BP66" i="2"/>
  <c r="CY66" i="2" s="1"/>
  <c r="BQ66" i="2"/>
  <c r="BP67" i="2"/>
  <c r="CY67" i="2" s="1"/>
  <c r="BQ67" i="2"/>
  <c r="BP68" i="2"/>
  <c r="CY68" i="2" s="1"/>
  <c r="BQ68" i="2"/>
  <c r="BP69" i="2"/>
  <c r="CY69" i="2" s="1"/>
  <c r="BQ69" i="2"/>
  <c r="BP70" i="2"/>
  <c r="CY70" i="2" s="1"/>
  <c r="BQ70" i="2"/>
  <c r="BP71" i="2"/>
  <c r="CY71" i="2" s="1"/>
  <c r="BQ71" i="2"/>
  <c r="BP72" i="2"/>
  <c r="CY72" i="2" s="1"/>
  <c r="BQ72" i="2"/>
  <c r="BP73" i="2"/>
  <c r="CY73" i="2" s="1"/>
  <c r="BQ73" i="2"/>
  <c r="BP74" i="2"/>
  <c r="CY74" i="2" s="1"/>
  <c r="BQ74" i="2"/>
  <c r="BP75" i="2"/>
  <c r="CY75" i="2" s="1"/>
  <c r="BQ75" i="2"/>
  <c r="BP76" i="2"/>
  <c r="CY76" i="2" s="1"/>
  <c r="BQ76" i="2"/>
  <c r="BP77" i="2"/>
  <c r="CY77" i="2" s="1"/>
  <c r="BQ77" i="2"/>
  <c r="BP78" i="2"/>
  <c r="CY78" i="2" s="1"/>
  <c r="BQ78" i="2"/>
  <c r="BP79" i="2"/>
  <c r="CY79" i="2" s="1"/>
  <c r="BQ79" i="2"/>
  <c r="BP80" i="2"/>
  <c r="CY80" i="2" s="1"/>
  <c r="BQ80" i="2"/>
  <c r="BP81" i="2"/>
  <c r="CY81" i="2" s="1"/>
  <c r="BQ81" i="2"/>
  <c r="BP82" i="2"/>
  <c r="CY82" i="2" s="1"/>
  <c r="BQ82" i="2"/>
  <c r="BP83" i="2"/>
  <c r="CY83" i="2" s="1"/>
  <c r="BQ83" i="2"/>
  <c r="BP84" i="2"/>
  <c r="CY84" i="2" s="1"/>
  <c r="BQ84" i="2"/>
  <c r="BP85" i="2"/>
  <c r="CY85" i="2" s="1"/>
  <c r="BQ85" i="2"/>
  <c r="BP86" i="2"/>
  <c r="CY86" i="2" s="1"/>
  <c r="BQ86" i="2"/>
  <c r="BP87" i="2"/>
  <c r="CY87" i="2" s="1"/>
  <c r="BQ87" i="2"/>
  <c r="BP88" i="2"/>
  <c r="CY88" i="2" s="1"/>
  <c r="BQ88" i="2"/>
  <c r="BP89" i="2"/>
  <c r="CY89" i="2" s="1"/>
  <c r="BQ89" i="2"/>
  <c r="BP90" i="2"/>
  <c r="CY90" i="2" s="1"/>
  <c r="BQ90" i="2"/>
  <c r="BP91" i="2"/>
  <c r="CY91" i="2" s="1"/>
  <c r="BQ91" i="2"/>
  <c r="BP92" i="2"/>
  <c r="CY92" i="2" s="1"/>
  <c r="BQ92" i="2"/>
  <c r="BP93" i="2"/>
  <c r="CY93" i="2" s="1"/>
  <c r="BQ93" i="2"/>
  <c r="BP94" i="2"/>
  <c r="CY94" i="2" s="1"/>
  <c r="BQ94" i="2"/>
  <c r="BP95" i="2"/>
  <c r="CY95" i="2" s="1"/>
  <c r="BQ95" i="2"/>
  <c r="BP96" i="2"/>
  <c r="CY96" i="2" s="1"/>
  <c r="BQ96" i="2"/>
  <c r="BP97" i="2"/>
  <c r="CY97" i="2" s="1"/>
  <c r="BQ97" i="2"/>
  <c r="BP98" i="2"/>
  <c r="CY98" i="2" s="1"/>
  <c r="BQ98" i="2"/>
  <c r="BP99" i="2"/>
  <c r="CY99" i="2" s="1"/>
  <c r="BQ99" i="2"/>
  <c r="BP100" i="2"/>
  <c r="CY100" i="2" s="1"/>
  <c r="BQ100" i="2"/>
  <c r="BP101" i="2"/>
  <c r="CY101" i="2" s="1"/>
  <c r="BQ101" i="2"/>
  <c r="BP102" i="2"/>
  <c r="CY102" i="2" s="1"/>
  <c r="BQ102" i="2"/>
  <c r="BP103" i="2"/>
  <c r="CY103" i="2" s="1"/>
  <c r="BQ103" i="2"/>
  <c r="BP104" i="2"/>
  <c r="CY104" i="2" s="1"/>
  <c r="BQ104" i="2"/>
  <c r="BP105" i="2"/>
  <c r="CY105" i="2" s="1"/>
  <c r="BQ105" i="2"/>
  <c r="BP106" i="2"/>
  <c r="CY106" i="2" s="1"/>
  <c r="BQ106" i="2"/>
  <c r="BP107" i="2"/>
  <c r="CY107" i="2" s="1"/>
  <c r="BQ107" i="2"/>
  <c r="BP108" i="2"/>
  <c r="CY108" i="2" s="1"/>
  <c r="BQ108" i="2"/>
  <c r="BP109" i="2"/>
  <c r="CY109" i="2" s="1"/>
  <c r="BQ109" i="2"/>
  <c r="BP110" i="2"/>
  <c r="CY110" i="2" s="1"/>
  <c r="BQ110" i="2"/>
  <c r="BP111" i="2"/>
  <c r="CY111" i="2" s="1"/>
  <c r="BQ111" i="2"/>
  <c r="BP112" i="2"/>
  <c r="CY112" i="2" s="1"/>
  <c r="BQ112" i="2"/>
  <c r="BP113" i="2"/>
  <c r="CY113" i="2" s="1"/>
  <c r="BQ113" i="2"/>
  <c r="BP114" i="2"/>
  <c r="CY114" i="2" s="1"/>
  <c r="BQ114" i="2"/>
  <c r="BP115" i="2"/>
  <c r="CY115" i="2" s="1"/>
  <c r="BQ115" i="2"/>
  <c r="BP116" i="2"/>
  <c r="CY116" i="2" s="1"/>
  <c r="BQ116" i="2"/>
  <c r="BP117" i="2"/>
  <c r="CY117" i="2" s="1"/>
  <c r="BQ117" i="2"/>
  <c r="BP118" i="2"/>
  <c r="CY118" i="2" s="1"/>
  <c r="BQ118" i="2"/>
  <c r="BP119" i="2"/>
  <c r="CY119" i="2" s="1"/>
  <c r="BQ119" i="2"/>
  <c r="BP120" i="2"/>
  <c r="CY120" i="2" s="1"/>
  <c r="BQ120" i="2"/>
  <c r="BP121" i="2"/>
  <c r="CY121" i="2" s="1"/>
  <c r="BQ121" i="2"/>
  <c r="BP122" i="2"/>
  <c r="CY122" i="2" s="1"/>
  <c r="BQ122" i="2"/>
  <c r="BP123" i="2"/>
  <c r="CY123" i="2" s="1"/>
  <c r="BQ123" i="2"/>
  <c r="BP124" i="2"/>
  <c r="CY124" i="2" s="1"/>
  <c r="BQ124" i="2"/>
  <c r="BP125" i="2"/>
  <c r="CY125" i="2" s="1"/>
  <c r="BQ125" i="2"/>
  <c r="BP126" i="2"/>
  <c r="CY126" i="2" s="1"/>
  <c r="BQ126" i="2"/>
  <c r="BP127" i="2"/>
  <c r="CY127" i="2" s="1"/>
  <c r="BQ127" i="2"/>
  <c r="BP128" i="2"/>
  <c r="CY128" i="2" s="1"/>
  <c r="BQ128" i="2"/>
  <c r="BP129" i="2"/>
  <c r="CY129" i="2" s="1"/>
  <c r="BQ129" i="2"/>
  <c r="BP130" i="2"/>
  <c r="CY130" i="2" s="1"/>
  <c r="BQ130" i="2"/>
  <c r="BP131" i="2"/>
  <c r="CY131" i="2" s="1"/>
  <c r="BQ131" i="2"/>
  <c r="BP132" i="2"/>
  <c r="CY132" i="2" s="1"/>
  <c r="BQ132" i="2"/>
  <c r="BP133" i="2"/>
  <c r="CY133" i="2" s="1"/>
  <c r="BQ133" i="2"/>
  <c r="BP134" i="2"/>
  <c r="CY134" i="2" s="1"/>
  <c r="BQ134" i="2"/>
  <c r="BP135" i="2"/>
  <c r="CY135" i="2" s="1"/>
  <c r="BQ135" i="2"/>
  <c r="BP136" i="2"/>
  <c r="CY136" i="2" s="1"/>
  <c r="BQ136" i="2"/>
  <c r="BP137" i="2"/>
  <c r="CY137" i="2" s="1"/>
  <c r="BQ137" i="2"/>
  <c r="BP138" i="2"/>
  <c r="CY138" i="2" s="1"/>
  <c r="BQ138" i="2"/>
  <c r="BP139" i="2"/>
  <c r="CY139" i="2" s="1"/>
  <c r="BQ139" i="2"/>
  <c r="BP140" i="2"/>
  <c r="CY140" i="2" s="1"/>
  <c r="BQ140" i="2"/>
  <c r="BP141" i="2"/>
  <c r="CY141" i="2" s="1"/>
  <c r="BQ141" i="2"/>
  <c r="BP142" i="2"/>
  <c r="CY142" i="2" s="1"/>
  <c r="BQ142" i="2"/>
  <c r="BP143" i="2"/>
  <c r="CY143" i="2" s="1"/>
  <c r="BQ143" i="2"/>
  <c r="BP144" i="2"/>
  <c r="CY144" i="2" s="1"/>
  <c r="BQ144" i="2"/>
  <c r="BP145" i="2"/>
  <c r="CY145" i="2" s="1"/>
  <c r="BQ145" i="2"/>
  <c r="BP146" i="2"/>
  <c r="CY146" i="2" s="1"/>
  <c r="BQ146" i="2"/>
  <c r="BP147" i="2"/>
  <c r="CY147" i="2" s="1"/>
  <c r="BQ147" i="2"/>
  <c r="BP148" i="2"/>
  <c r="CY148" i="2" s="1"/>
  <c r="BQ148" i="2"/>
  <c r="BP149" i="2"/>
  <c r="CY149" i="2" s="1"/>
  <c r="BQ149" i="2"/>
  <c r="BP150" i="2"/>
  <c r="CY150" i="2" s="1"/>
  <c r="BQ150" i="2"/>
  <c r="BP151" i="2"/>
  <c r="CY151" i="2" s="1"/>
  <c r="BQ151" i="2"/>
  <c r="BP152" i="2"/>
  <c r="CY152" i="2" s="1"/>
  <c r="BQ152" i="2"/>
  <c r="BP153" i="2"/>
  <c r="CY153" i="2" s="1"/>
  <c r="BQ153" i="2"/>
  <c r="BP154" i="2"/>
  <c r="CY154" i="2" s="1"/>
  <c r="BQ154" i="2"/>
  <c r="BP155" i="2"/>
  <c r="CY155" i="2" s="1"/>
  <c r="BQ155" i="2"/>
  <c r="BP156" i="2"/>
  <c r="CY156" i="2" s="1"/>
  <c r="BQ156" i="2"/>
  <c r="BP157" i="2"/>
  <c r="CY157" i="2" s="1"/>
  <c r="BQ157" i="2"/>
  <c r="BP158" i="2"/>
  <c r="CY158" i="2" s="1"/>
  <c r="BQ158" i="2"/>
  <c r="BP159" i="2"/>
  <c r="CY159" i="2" s="1"/>
  <c r="BQ159" i="2"/>
  <c r="BP160" i="2"/>
  <c r="CY160" i="2" s="1"/>
  <c r="BQ160" i="2"/>
  <c r="BP161" i="2"/>
  <c r="CY161" i="2" s="1"/>
  <c r="BQ161" i="2"/>
  <c r="BP162" i="2"/>
  <c r="CY162" i="2" s="1"/>
  <c r="BQ162" i="2"/>
  <c r="BP163" i="2"/>
  <c r="CY163" i="2" s="1"/>
  <c r="BQ163" i="2"/>
  <c r="BP164" i="2"/>
  <c r="CY164" i="2" s="1"/>
  <c r="BQ164" i="2"/>
  <c r="BP165" i="2"/>
  <c r="CY165" i="2" s="1"/>
  <c r="BQ165" i="2"/>
  <c r="BP166" i="2"/>
  <c r="CY166" i="2" s="1"/>
  <c r="BQ166" i="2"/>
  <c r="BP167" i="2"/>
  <c r="CY167" i="2" s="1"/>
  <c r="BQ167" i="2"/>
  <c r="BP168" i="2"/>
  <c r="CY168" i="2" s="1"/>
  <c r="BQ168" i="2"/>
  <c r="BP169" i="2"/>
  <c r="CY169" i="2" s="1"/>
  <c r="BQ169" i="2"/>
  <c r="BP170" i="2"/>
  <c r="CY170" i="2" s="1"/>
  <c r="BQ170" i="2"/>
  <c r="BP171" i="2"/>
  <c r="CY171" i="2" s="1"/>
  <c r="BQ171" i="2"/>
  <c r="BP172" i="2"/>
  <c r="CY172" i="2" s="1"/>
  <c r="BQ172" i="2"/>
  <c r="BP173" i="2"/>
  <c r="CY173" i="2" s="1"/>
  <c r="BQ173" i="2"/>
  <c r="BP174" i="2"/>
  <c r="CY174" i="2" s="1"/>
  <c r="BQ174" i="2"/>
  <c r="BP175" i="2"/>
  <c r="CY175" i="2" s="1"/>
  <c r="BQ175" i="2"/>
  <c r="BP176" i="2"/>
  <c r="CY176" i="2" s="1"/>
  <c r="BQ176" i="2"/>
  <c r="BP177" i="2"/>
  <c r="CY177" i="2" s="1"/>
  <c r="BQ177" i="2"/>
  <c r="BP178" i="2"/>
  <c r="CY178" i="2" s="1"/>
  <c r="BQ178" i="2"/>
  <c r="BP179" i="2"/>
  <c r="CY179" i="2" s="1"/>
  <c r="BQ179" i="2"/>
  <c r="BP180" i="2"/>
  <c r="CY180" i="2" s="1"/>
  <c r="BQ180" i="2"/>
  <c r="BP181" i="2"/>
  <c r="CY181" i="2" s="1"/>
  <c r="BQ181" i="2"/>
  <c r="BP182" i="2"/>
  <c r="CY182" i="2" s="1"/>
  <c r="BQ182" i="2"/>
  <c r="BP183" i="2"/>
  <c r="CY183" i="2" s="1"/>
  <c r="BQ183" i="2"/>
  <c r="BP184" i="2"/>
  <c r="CY184" i="2" s="1"/>
  <c r="BQ184" i="2"/>
  <c r="BP185" i="2"/>
  <c r="CY185" i="2" s="1"/>
  <c r="BQ185" i="2"/>
  <c r="BP186" i="2"/>
  <c r="CY186" i="2" s="1"/>
  <c r="BQ186" i="2"/>
  <c r="BP187" i="2"/>
  <c r="CY187" i="2" s="1"/>
  <c r="BQ187" i="2"/>
  <c r="BP188" i="2"/>
  <c r="CY188" i="2" s="1"/>
  <c r="BQ188" i="2"/>
  <c r="BP189" i="2"/>
  <c r="CY189" i="2" s="1"/>
  <c r="BQ189" i="2"/>
  <c r="BP190" i="2"/>
  <c r="CY190" i="2" s="1"/>
  <c r="BQ190" i="2"/>
  <c r="BP191" i="2"/>
  <c r="CY191" i="2" s="1"/>
  <c r="BQ191" i="2"/>
  <c r="BP192" i="2"/>
  <c r="CY192" i="2" s="1"/>
  <c r="BQ192" i="2"/>
  <c r="BP193" i="2"/>
  <c r="CY193" i="2" s="1"/>
  <c r="BQ193" i="2"/>
  <c r="BP194" i="2"/>
  <c r="CY194" i="2" s="1"/>
  <c r="BQ194" i="2"/>
  <c r="BP195" i="2"/>
  <c r="CY195" i="2" s="1"/>
  <c r="BQ195" i="2"/>
  <c r="BP196" i="2"/>
  <c r="CY196" i="2" s="1"/>
  <c r="BQ196" i="2"/>
  <c r="BP197" i="2"/>
  <c r="CY197" i="2" s="1"/>
  <c r="BQ197" i="2"/>
  <c r="BP198" i="2"/>
  <c r="CY198" i="2" s="1"/>
  <c r="BQ198" i="2"/>
  <c r="BP199" i="2"/>
  <c r="CY199" i="2" s="1"/>
  <c r="BQ199" i="2"/>
  <c r="BP200" i="2"/>
  <c r="CY200" i="2" s="1"/>
  <c r="BQ200" i="2"/>
  <c r="BP201" i="2"/>
  <c r="CY201" i="2" s="1"/>
  <c r="BQ201" i="2"/>
  <c r="BP202" i="2"/>
  <c r="CY202" i="2" s="1"/>
  <c r="BQ202" i="2"/>
  <c r="BP203" i="2"/>
  <c r="CY203" i="2" s="1"/>
  <c r="BQ203" i="2"/>
  <c r="BP204" i="2"/>
  <c r="CY204" i="2" s="1"/>
  <c r="BQ204" i="2"/>
  <c r="BP205" i="2"/>
  <c r="CY205" i="2" s="1"/>
  <c r="BQ205" i="2"/>
  <c r="BP206" i="2"/>
  <c r="CY206" i="2" s="1"/>
  <c r="BQ206" i="2"/>
  <c r="BP207" i="2"/>
  <c r="CY207" i="2" s="1"/>
  <c r="BQ207" i="2"/>
  <c r="BP208" i="2"/>
  <c r="CY208" i="2" s="1"/>
  <c r="BQ208" i="2"/>
  <c r="BP209" i="2"/>
  <c r="CY209" i="2" s="1"/>
  <c r="BQ209" i="2"/>
  <c r="BP210" i="2"/>
  <c r="CY210" i="2" s="1"/>
  <c r="BQ210" i="2"/>
  <c r="BP211" i="2"/>
  <c r="CY211" i="2" s="1"/>
  <c r="BQ211" i="2"/>
  <c r="BP212" i="2"/>
  <c r="CY212" i="2" s="1"/>
  <c r="BQ212" i="2"/>
  <c r="BP213" i="2"/>
  <c r="CY213" i="2" s="1"/>
  <c r="BQ213" i="2"/>
  <c r="BP214" i="2"/>
  <c r="CY214" i="2" s="1"/>
  <c r="BQ214" i="2"/>
  <c r="BP215" i="2"/>
  <c r="CY215" i="2" s="1"/>
  <c r="BQ215" i="2"/>
  <c r="BP216" i="2"/>
  <c r="CY216" i="2" s="1"/>
  <c r="BQ216" i="2"/>
  <c r="BP217" i="2"/>
  <c r="CY217" i="2" s="1"/>
  <c r="BQ217" i="2"/>
  <c r="BP218" i="2"/>
  <c r="CY218" i="2" s="1"/>
  <c r="BQ218" i="2"/>
  <c r="BP219" i="2"/>
  <c r="CY219" i="2" s="1"/>
  <c r="BQ219" i="2"/>
  <c r="BP220" i="2"/>
  <c r="CY220" i="2" s="1"/>
  <c r="BQ220" i="2"/>
  <c r="BP221" i="2"/>
  <c r="CY221" i="2" s="1"/>
  <c r="BQ221" i="2"/>
  <c r="BP222" i="2"/>
  <c r="CY222" i="2" s="1"/>
  <c r="BQ222" i="2"/>
  <c r="BP223" i="2"/>
  <c r="CY223" i="2" s="1"/>
  <c r="BQ223" i="2"/>
  <c r="BP224" i="2"/>
  <c r="CY224" i="2" s="1"/>
  <c r="BQ224" i="2"/>
  <c r="BP225" i="2"/>
  <c r="CY225" i="2" s="1"/>
  <c r="BQ225" i="2"/>
  <c r="BP226" i="2"/>
  <c r="CY226" i="2" s="1"/>
  <c r="BQ226" i="2"/>
  <c r="BP227" i="2"/>
  <c r="CY227" i="2" s="1"/>
  <c r="BQ227" i="2"/>
  <c r="BP228" i="2"/>
  <c r="CY228" i="2" s="1"/>
  <c r="BQ228" i="2"/>
  <c r="BP229" i="2"/>
  <c r="CY229" i="2" s="1"/>
  <c r="BQ229" i="2"/>
  <c r="BP230" i="2"/>
  <c r="CY230" i="2" s="1"/>
  <c r="BQ230" i="2"/>
  <c r="BP231" i="2"/>
  <c r="CY231" i="2" s="1"/>
  <c r="BQ231" i="2"/>
  <c r="BP232" i="2"/>
  <c r="CY232" i="2" s="1"/>
  <c r="BQ232" i="2"/>
  <c r="BP233" i="2"/>
  <c r="CY233" i="2" s="1"/>
  <c r="BQ233" i="2"/>
  <c r="BP234" i="2"/>
  <c r="CY234" i="2" s="1"/>
  <c r="BQ234" i="2"/>
  <c r="BP235" i="2"/>
  <c r="CY235" i="2" s="1"/>
  <c r="BQ235" i="2"/>
  <c r="BP236" i="2"/>
  <c r="CY236" i="2" s="1"/>
  <c r="BQ236" i="2"/>
  <c r="BP237" i="2"/>
  <c r="CY237" i="2" s="1"/>
  <c r="BQ237" i="2"/>
  <c r="BP238" i="2"/>
  <c r="CY238" i="2" s="1"/>
  <c r="BQ238" i="2"/>
  <c r="BP239" i="2"/>
  <c r="CY239" i="2" s="1"/>
  <c r="BQ239" i="2"/>
  <c r="BP240" i="2"/>
  <c r="CY240" i="2" s="1"/>
  <c r="BQ240" i="2"/>
  <c r="BP241" i="2"/>
  <c r="CY241" i="2" s="1"/>
  <c r="BQ241" i="2"/>
  <c r="BP242" i="2"/>
  <c r="CY242" i="2" s="1"/>
  <c r="BQ242" i="2"/>
  <c r="BP243" i="2"/>
  <c r="CY243" i="2" s="1"/>
  <c r="BQ243" i="2"/>
  <c r="BP244" i="2"/>
  <c r="CY244" i="2" s="1"/>
  <c r="BQ244" i="2"/>
  <c r="BP245" i="2"/>
  <c r="CY245" i="2" s="1"/>
  <c r="BQ245" i="2"/>
  <c r="BP246" i="2"/>
  <c r="CY246" i="2" s="1"/>
  <c r="BQ246" i="2"/>
  <c r="BP247" i="2"/>
  <c r="CY247" i="2" s="1"/>
  <c r="BQ247" i="2"/>
  <c r="BP248" i="2"/>
  <c r="CY248" i="2" s="1"/>
  <c r="BQ248" i="2"/>
  <c r="BP249" i="2"/>
  <c r="CY249" i="2" s="1"/>
  <c r="BQ249" i="2"/>
  <c r="BP250" i="2"/>
  <c r="CY250" i="2" s="1"/>
  <c r="BQ250" i="2"/>
  <c r="BP251" i="2"/>
  <c r="CY251" i="2" s="1"/>
  <c r="BQ251" i="2"/>
  <c r="BP252" i="2"/>
  <c r="CY252" i="2" s="1"/>
  <c r="BQ252" i="2"/>
  <c r="BP253" i="2"/>
  <c r="CY253" i="2" s="1"/>
  <c r="BQ253" i="2"/>
  <c r="BP254" i="2"/>
  <c r="CY254" i="2" s="1"/>
  <c r="BQ254" i="2"/>
  <c r="BP255" i="2"/>
  <c r="CY255" i="2" s="1"/>
  <c r="BQ255" i="2"/>
  <c r="BP256" i="2"/>
  <c r="CY256" i="2" s="1"/>
  <c r="BQ256" i="2"/>
  <c r="BP257" i="2"/>
  <c r="CY257" i="2" s="1"/>
  <c r="BQ257" i="2"/>
  <c r="BP258" i="2"/>
  <c r="CY258" i="2" s="1"/>
  <c r="BQ258" i="2"/>
  <c r="BP259" i="2"/>
  <c r="CY259" i="2" s="1"/>
  <c r="BQ259" i="2"/>
  <c r="BP260" i="2"/>
  <c r="CY260" i="2" s="1"/>
  <c r="BQ260" i="2"/>
  <c r="BP261" i="2"/>
  <c r="CY261" i="2" s="1"/>
  <c r="BQ261" i="2"/>
  <c r="BP262" i="2"/>
  <c r="CY262" i="2" s="1"/>
  <c r="BQ262" i="2"/>
  <c r="BP263" i="2"/>
  <c r="CY263" i="2" s="1"/>
  <c r="BQ263" i="2"/>
  <c r="BP264" i="2"/>
  <c r="CY264" i="2" s="1"/>
  <c r="BQ264" i="2"/>
  <c r="BP265" i="2"/>
  <c r="CY265" i="2" s="1"/>
  <c r="BQ265" i="2"/>
  <c r="BP266" i="2"/>
  <c r="CY266" i="2" s="1"/>
  <c r="BQ266" i="2"/>
  <c r="BP267" i="2"/>
  <c r="CY267" i="2" s="1"/>
  <c r="BQ267" i="2"/>
  <c r="BP268" i="2"/>
  <c r="CY268" i="2" s="1"/>
  <c r="BQ268" i="2"/>
  <c r="BP269" i="2"/>
  <c r="CY269" i="2" s="1"/>
  <c r="BQ269" i="2"/>
  <c r="BP270" i="2"/>
  <c r="CY270" i="2" s="1"/>
  <c r="BQ270" i="2"/>
  <c r="BP271" i="2"/>
  <c r="CY271" i="2" s="1"/>
  <c r="BQ271" i="2"/>
  <c r="BP272" i="2"/>
  <c r="CY272" i="2" s="1"/>
  <c r="BQ272" i="2"/>
  <c r="BP273" i="2"/>
  <c r="CY273" i="2" s="1"/>
  <c r="BQ273" i="2"/>
  <c r="BQ3" i="2"/>
  <c r="BP3" i="2"/>
  <c r="AM27" i="12" l="1"/>
  <c r="CY3" i="2"/>
  <c r="F190" i="14"/>
  <c r="G190" i="14" s="1"/>
  <c r="F103" i="14"/>
  <c r="F144" i="14"/>
  <c r="G144" i="14" s="1"/>
  <c r="F156" i="14"/>
  <c r="G156" i="14" s="1"/>
  <c r="F167" i="14"/>
  <c r="G167" i="14" s="1"/>
  <c r="F132" i="14"/>
  <c r="G132" i="14" s="1"/>
  <c r="F115" i="14"/>
  <c r="G115" i="14" s="1"/>
  <c r="F188" i="14"/>
  <c r="G188" i="14" s="1"/>
  <c r="F116" i="14"/>
  <c r="G116" i="14" s="1"/>
  <c r="F189" i="14"/>
  <c r="G189" i="14" s="1"/>
  <c r="F163" i="14"/>
  <c r="G163" i="14" s="1"/>
  <c r="F147" i="14"/>
  <c r="G147" i="14" s="1"/>
  <c r="F112" i="14"/>
  <c r="G112" i="14" s="1"/>
  <c r="F182" i="14"/>
  <c r="G182" i="14" s="1"/>
  <c r="F131" i="14"/>
  <c r="G131" i="14" s="1"/>
  <c r="F174" i="14"/>
  <c r="G174" i="14" s="1"/>
  <c r="F119" i="14"/>
  <c r="G119" i="14" s="1"/>
  <c r="F158" i="14"/>
  <c r="G158" i="14" s="1"/>
  <c r="F105" i="14"/>
  <c r="G105" i="14" s="1"/>
  <c r="F121" i="14"/>
  <c r="G121" i="14" s="1"/>
  <c r="F137" i="14"/>
  <c r="G137" i="14" s="1"/>
  <c r="F152" i="14"/>
  <c r="G152" i="14" s="1"/>
  <c r="F168" i="14"/>
  <c r="G168" i="14" s="1"/>
  <c r="F187" i="14"/>
  <c r="G187" i="14" s="1"/>
  <c r="F122" i="14"/>
  <c r="G122" i="14" s="1"/>
  <c r="F138" i="14"/>
  <c r="G138" i="14" s="1"/>
  <c r="F153" i="14"/>
  <c r="G153" i="14" s="1"/>
  <c r="F169" i="14"/>
  <c r="G169" i="14" s="1"/>
  <c r="F184" i="14"/>
  <c r="G184" i="14" s="1"/>
  <c r="F151" i="14"/>
  <c r="G151" i="14" s="1"/>
  <c r="F177" i="14"/>
  <c r="G177" i="14" s="1"/>
  <c r="F155" i="14"/>
  <c r="G155" i="14" s="1"/>
  <c r="F124" i="14"/>
  <c r="G124" i="14" s="1"/>
  <c r="F106" i="14"/>
  <c r="G106" i="14" s="1"/>
  <c r="F140" i="14"/>
  <c r="G140" i="14" s="1"/>
  <c r="F185" i="14"/>
  <c r="G185" i="14" s="1"/>
  <c r="F127" i="14"/>
  <c r="G127" i="14" s="1"/>
  <c r="F166" i="14"/>
  <c r="G166" i="14" s="1"/>
  <c r="F109" i="14"/>
  <c r="G109" i="14" s="1"/>
  <c r="F125" i="14"/>
  <c r="G125" i="14" s="1"/>
  <c r="F141" i="14"/>
  <c r="G141" i="14" s="1"/>
  <c r="F154" i="14"/>
  <c r="G154" i="14" s="1"/>
  <c r="F175" i="14"/>
  <c r="G175" i="14" s="1"/>
  <c r="F110" i="14"/>
  <c r="G110" i="14" s="1"/>
  <c r="F126" i="14"/>
  <c r="G126" i="14" s="1"/>
  <c r="F142" i="14"/>
  <c r="G142" i="14" s="1"/>
  <c r="F157" i="14"/>
  <c r="G157" i="14" s="1"/>
  <c r="F172" i="14"/>
  <c r="G172" i="14" s="1"/>
  <c r="F173" i="14"/>
  <c r="G173" i="14" s="1"/>
  <c r="F123" i="14"/>
  <c r="G123" i="14" s="1"/>
  <c r="F107" i="14"/>
  <c r="G107" i="14" s="1"/>
  <c r="F171" i="14"/>
  <c r="G171" i="14" s="1"/>
  <c r="F139" i="14"/>
  <c r="G139" i="14" s="1"/>
  <c r="F108" i="14"/>
  <c r="G108" i="14" s="1"/>
  <c r="F159" i="14"/>
  <c r="G159" i="14" s="1"/>
  <c r="F104" i="14"/>
  <c r="G104" i="14" s="1"/>
  <c r="F135" i="14"/>
  <c r="G135" i="14" s="1"/>
  <c r="F178" i="14"/>
  <c r="G178" i="14" s="1"/>
  <c r="F113" i="14"/>
  <c r="G113" i="14" s="1"/>
  <c r="F129" i="14"/>
  <c r="G129" i="14" s="1"/>
  <c r="F145" i="14"/>
  <c r="G145" i="14" s="1"/>
  <c r="F160" i="14"/>
  <c r="G160" i="14" s="1"/>
  <c r="F179" i="14"/>
  <c r="G179" i="14" s="1"/>
  <c r="F114" i="14"/>
  <c r="G114" i="14" s="1"/>
  <c r="F130" i="14"/>
  <c r="G130" i="14" s="1"/>
  <c r="F146" i="14"/>
  <c r="G146" i="14" s="1"/>
  <c r="F161" i="14"/>
  <c r="G161" i="14" s="1"/>
  <c r="F176" i="14"/>
  <c r="G176" i="14" s="1"/>
  <c r="F136" i="14"/>
  <c r="G136" i="14" s="1"/>
  <c r="F148" i="14"/>
  <c r="G148" i="14" s="1"/>
  <c r="F128" i="14"/>
  <c r="G128" i="14" s="1"/>
  <c r="F181" i="14"/>
  <c r="G181" i="14" s="1"/>
  <c r="F162" i="14"/>
  <c r="G162" i="14" s="1"/>
  <c r="F120" i="14"/>
  <c r="G120" i="14" s="1"/>
  <c r="F170" i="14"/>
  <c r="G170" i="14" s="1"/>
  <c r="F111" i="14"/>
  <c r="G111" i="14" s="1"/>
  <c r="F143" i="14"/>
  <c r="G143" i="14" s="1"/>
  <c r="F186" i="14"/>
  <c r="G186" i="14" s="1"/>
  <c r="F117" i="14"/>
  <c r="G117" i="14" s="1"/>
  <c r="F133" i="14"/>
  <c r="G133" i="14" s="1"/>
  <c r="F149" i="14"/>
  <c r="G149" i="14" s="1"/>
  <c r="F164" i="14"/>
  <c r="G164" i="14" s="1"/>
  <c r="F183" i="14"/>
  <c r="G183" i="14" s="1"/>
  <c r="F118" i="14"/>
  <c r="G118" i="14" s="1"/>
  <c r="F134" i="14"/>
  <c r="G134" i="14" s="1"/>
  <c r="F150" i="14"/>
  <c r="G150" i="14" s="1"/>
  <c r="F165" i="14"/>
  <c r="G165" i="14" s="1"/>
  <c r="F180" i="14"/>
  <c r="G180" i="14" s="1"/>
  <c r="G103" i="14" l="1"/>
  <c r="G191" i="14" s="1"/>
  <c r="P12" i="14"/>
  <c r="P49" i="14"/>
  <c r="P27" i="14"/>
  <c r="P64" i="14"/>
  <c r="P37" i="14"/>
  <c r="P10" i="14"/>
  <c r="P74" i="14"/>
  <c r="P35" i="14"/>
  <c r="P24" i="14"/>
  <c r="P88" i="14"/>
  <c r="P61" i="14"/>
  <c r="P34" i="14"/>
  <c r="P39" i="14"/>
  <c r="P60" i="14"/>
  <c r="P9" i="14"/>
  <c r="P11" i="14"/>
  <c r="P48" i="14"/>
  <c r="P63" i="14"/>
  <c r="P36" i="14"/>
  <c r="P25" i="14"/>
  <c r="P89" i="14"/>
  <c r="P62" i="14"/>
  <c r="P94" i="14"/>
  <c r="P44" i="14"/>
  <c r="P81" i="14"/>
  <c r="P59" i="14"/>
  <c r="P80" i="14"/>
  <c r="P53" i="14"/>
  <c r="P26" i="14"/>
  <c r="P90" i="14"/>
  <c r="P51" i="14"/>
  <c r="P40" i="14"/>
  <c r="P13" i="14"/>
  <c r="P77" i="14"/>
  <c r="P50" i="14"/>
  <c r="P55" i="14"/>
  <c r="P92" i="14"/>
  <c r="P38" i="14"/>
  <c r="P43" i="14"/>
  <c r="P15" i="14"/>
  <c r="P79" i="14"/>
  <c r="P52" i="14"/>
  <c r="P41" i="14"/>
  <c r="P14" i="14"/>
  <c r="P78" i="14"/>
  <c r="P23" i="14"/>
  <c r="P76" i="14"/>
  <c r="P22" i="14"/>
  <c r="P91" i="14"/>
  <c r="P96" i="14"/>
  <c r="P69" i="14"/>
  <c r="P42" i="14"/>
  <c r="F191" i="14"/>
  <c r="P67" i="14"/>
  <c r="P56" i="14"/>
  <c r="P29" i="14"/>
  <c r="P93" i="14"/>
  <c r="P66" i="14"/>
  <c r="P87" i="14"/>
  <c r="P33" i="14"/>
  <c r="P70" i="14"/>
  <c r="P75" i="14"/>
  <c r="P31" i="14"/>
  <c r="P95" i="14"/>
  <c r="P68" i="14"/>
  <c r="P57" i="14"/>
  <c r="P30" i="14"/>
  <c r="P71" i="14"/>
  <c r="P17" i="14"/>
  <c r="P54" i="14"/>
  <c r="P32" i="14"/>
  <c r="P21" i="14"/>
  <c r="P85" i="14"/>
  <c r="P58" i="14"/>
  <c r="P19" i="14"/>
  <c r="P83" i="14"/>
  <c r="P72" i="14"/>
  <c r="P45" i="14"/>
  <c r="P18" i="14"/>
  <c r="P82" i="14"/>
  <c r="P28" i="14"/>
  <c r="P65" i="14"/>
  <c r="P86" i="14"/>
  <c r="P16" i="14"/>
  <c r="P47" i="14"/>
  <c r="P20" i="14"/>
  <c r="P84" i="14"/>
  <c r="P73" i="14"/>
  <c r="P46" i="14"/>
  <c r="O105" i="15"/>
  <c r="O180" i="15"/>
  <c r="O148" i="15"/>
  <c r="O116" i="15"/>
  <c r="O171" i="15"/>
  <c r="O139" i="15"/>
  <c r="O107" i="15"/>
  <c r="O160" i="15"/>
  <c r="O128" i="15"/>
  <c r="O183" i="15"/>
  <c r="O151" i="15"/>
  <c r="O119" i="15"/>
  <c r="O178" i="15"/>
  <c r="O162" i="15"/>
  <c r="O146" i="15"/>
  <c r="O130" i="15"/>
  <c r="O114" i="15"/>
  <c r="O185" i="15"/>
  <c r="O169" i="15"/>
  <c r="O153" i="15"/>
  <c r="O137" i="15"/>
  <c r="O121" i="15"/>
  <c r="O172" i="15"/>
  <c r="O140" i="15"/>
  <c r="O108" i="15"/>
  <c r="O163" i="15"/>
  <c r="O131" i="15"/>
  <c r="O184" i="15"/>
  <c r="O152" i="15"/>
  <c r="O120" i="15"/>
  <c r="O175" i="15"/>
  <c r="O143" i="15"/>
  <c r="O111" i="15"/>
  <c r="O174" i="15"/>
  <c r="O158" i="15"/>
  <c r="O142" i="15"/>
  <c r="O126" i="15"/>
  <c r="O110" i="15"/>
  <c r="O181" i="15"/>
  <c r="O165" i="15"/>
  <c r="O149" i="15"/>
  <c r="O133" i="15"/>
  <c r="O117" i="15"/>
  <c r="O164" i="15"/>
  <c r="O132" i="15"/>
  <c r="O187" i="15"/>
  <c r="O155" i="15"/>
  <c r="O123" i="15"/>
  <c r="O176" i="15"/>
  <c r="O144" i="15"/>
  <c r="O112" i="15"/>
  <c r="O167" i="15"/>
  <c r="O135" i="15"/>
  <c r="O186" i="15"/>
  <c r="O170" i="15"/>
  <c r="O154" i="15"/>
  <c r="O138" i="15"/>
  <c r="O122" i="15"/>
  <c r="O106" i="15"/>
  <c r="O177" i="15"/>
  <c r="O161" i="15"/>
  <c r="O145" i="15"/>
  <c r="O129" i="15"/>
  <c r="O113" i="15"/>
  <c r="O188" i="15"/>
  <c r="O156" i="15"/>
  <c r="O124" i="15"/>
  <c r="O179" i="15"/>
  <c r="O147" i="15"/>
  <c r="O115" i="15"/>
  <c r="O168" i="15"/>
  <c r="O136" i="15"/>
  <c r="O104" i="15"/>
  <c r="O159" i="15"/>
  <c r="O127" i="15"/>
  <c r="O182" i="15"/>
  <c r="O166" i="15"/>
  <c r="O150" i="15"/>
  <c r="O134" i="15"/>
  <c r="O118" i="15"/>
  <c r="O103" i="15"/>
  <c r="O173" i="15"/>
  <c r="O157" i="15"/>
  <c r="O141" i="15"/>
  <c r="O125" i="15"/>
  <c r="O109" i="15"/>
  <c r="O71" i="12"/>
  <c r="O69" i="12"/>
  <c r="O72" i="12"/>
  <c r="O70" i="12"/>
  <c r="O54" i="12"/>
  <c r="P54" i="12" s="1"/>
  <c r="O53" i="12"/>
  <c r="P53" i="12" s="1"/>
  <c r="O52" i="12"/>
  <c r="P52" i="12" s="1"/>
  <c r="O51" i="12"/>
  <c r="P51" i="12" s="1"/>
  <c r="OJ2" i="2"/>
  <c r="DH40" i="16"/>
  <c r="O16" i="14" l="1" a="1"/>
  <c r="O16" i="14" s="1"/>
  <c r="O84" i="14" a="1"/>
  <c r="O84" i="14" s="1"/>
  <c r="O68" i="14" a="1"/>
  <c r="O68" i="14" s="1"/>
  <c r="O59" i="14" a="1"/>
  <c r="O59" i="14" s="1"/>
  <c r="O86" i="14" a="1"/>
  <c r="O86" i="14" s="1"/>
  <c r="O93" i="14" a="1"/>
  <c r="O93" i="14" s="1"/>
  <c r="O50" i="14" a="1"/>
  <c r="O50" i="14" s="1"/>
  <c r="O10" i="14" a="1"/>
  <c r="O10" i="14" s="1"/>
  <c r="O96" i="14" a="1"/>
  <c r="O96" i="14" s="1"/>
  <c r="O64" i="14" a="1"/>
  <c r="O64" i="14" s="1"/>
  <c r="O88" i="14" a="1"/>
  <c r="O88" i="14" s="1"/>
  <c r="O19" i="14" a="1"/>
  <c r="O19" i="14" s="1"/>
  <c r="O32" i="14" a="1"/>
  <c r="O32" i="14" s="1"/>
  <c r="O30" i="14" a="1"/>
  <c r="O30" i="14" s="1"/>
  <c r="O31" i="14" a="1"/>
  <c r="O31" i="14" s="1"/>
  <c r="O87" i="14" a="1"/>
  <c r="O87" i="14" s="1"/>
  <c r="O56" i="14" a="1"/>
  <c r="O56" i="14" s="1"/>
  <c r="O69" i="14" a="1"/>
  <c r="O69" i="14" s="1"/>
  <c r="O76" i="14" a="1"/>
  <c r="O76" i="14" s="1"/>
  <c r="O41" i="14" a="1"/>
  <c r="O41" i="14" s="1"/>
  <c r="O43" i="14" a="1"/>
  <c r="O43" i="14" s="1"/>
  <c r="O51" i="14" a="1"/>
  <c r="O51" i="14" s="1"/>
  <c r="O80" i="14" a="1"/>
  <c r="O80" i="14" s="1"/>
  <c r="O94" i="14" a="1"/>
  <c r="O94" i="14" s="1"/>
  <c r="O36" i="14" a="1"/>
  <c r="O36" i="14" s="1"/>
  <c r="O20" i="14" a="1"/>
  <c r="O20" i="14" s="1"/>
  <c r="O61" i="14" a="1"/>
  <c r="O61" i="14" s="1"/>
  <c r="O74" i="14" a="1"/>
  <c r="O74" i="14" s="1"/>
  <c r="O60" i="14" a="1"/>
  <c r="O60" i="14" s="1"/>
  <c r="O53" i="14" a="1"/>
  <c r="O53" i="14" s="1"/>
  <c r="O24" i="14" a="1"/>
  <c r="O24" i="14" s="1"/>
  <c r="O25" i="14" a="1"/>
  <c r="O25" i="14" s="1"/>
  <c r="O22" i="14" a="1"/>
  <c r="O22" i="14" s="1"/>
  <c r="O27" i="14" a="1"/>
  <c r="O27" i="14" s="1"/>
  <c r="O83" i="14" a="1"/>
  <c r="O83" i="14" s="1"/>
  <c r="O91" i="14" a="1"/>
  <c r="O91" i="14" s="1"/>
  <c r="O77" i="14" a="1"/>
  <c r="O77" i="14" s="1"/>
  <c r="O66" i="14" a="1"/>
  <c r="O66" i="14" s="1"/>
  <c r="O85" i="14" a="1"/>
  <c r="O85" i="14" s="1"/>
  <c r="O18" i="14" a="1"/>
  <c r="O18" i="14" s="1"/>
  <c r="O81" i="14" a="1"/>
  <c r="O81" i="14" s="1"/>
  <c r="O45" i="14" a="1"/>
  <c r="O45" i="14" s="1"/>
  <c r="O54" i="14" a="1"/>
  <c r="O54" i="14" s="1"/>
  <c r="O47" i="14" a="1"/>
  <c r="O47" i="14" s="1"/>
  <c r="O65" i="14" a="1"/>
  <c r="O65" i="14" s="1"/>
  <c r="O39" i="14" a="1"/>
  <c r="O39" i="14" s="1"/>
  <c r="O89" i="14" a="1"/>
  <c r="O89" i="14" s="1"/>
  <c r="O82" i="14" a="1"/>
  <c r="O82" i="14" s="1"/>
  <c r="O70" i="14" a="1"/>
  <c r="O70" i="14" s="1"/>
  <c r="O9" i="14" a="1"/>
  <c r="O9" i="14" s="1"/>
  <c r="O23" i="14" a="1"/>
  <c r="O23" i="14" s="1"/>
  <c r="O35" i="14" a="1"/>
  <c r="O35" i="14" s="1"/>
  <c r="O37" i="14" a="1"/>
  <c r="O37" i="14" s="1"/>
  <c r="O67" i="14" a="1"/>
  <c r="O67" i="14" s="1"/>
  <c r="O49" i="14" a="1"/>
  <c r="O49" i="14" s="1"/>
  <c r="O95" i="14" a="1"/>
  <c r="O95" i="14" s="1"/>
  <c r="O21" i="14" a="1"/>
  <c r="O21" i="14" s="1"/>
  <c r="O55" i="14" a="1"/>
  <c r="O55" i="14" s="1"/>
  <c r="O38" i="14" a="1"/>
  <c r="O38" i="14" s="1"/>
  <c r="O48" i="14" a="1"/>
  <c r="O48" i="14" s="1"/>
  <c r="O33" i="14" a="1"/>
  <c r="O33" i="14" s="1"/>
  <c r="O71" i="14" a="1"/>
  <c r="O71" i="14" s="1"/>
  <c r="O90" i="14" a="1"/>
  <c r="O90" i="14" s="1"/>
  <c r="O34" i="14" a="1"/>
  <c r="O34" i="14" s="1"/>
  <c r="O63" i="14" a="1"/>
  <c r="O63" i="14" s="1"/>
  <c r="O14" i="14" a="1"/>
  <c r="O14" i="14" s="1"/>
  <c r="O42" i="14" a="1"/>
  <c r="O42" i="14" s="1"/>
  <c r="O92" i="14" a="1"/>
  <c r="O92" i="14" s="1"/>
  <c r="O78" i="14" a="1"/>
  <c r="O78" i="14" s="1"/>
  <c r="O15" i="14" a="1"/>
  <c r="O15" i="14" s="1"/>
  <c r="O58" i="14" a="1"/>
  <c r="O58" i="14" s="1"/>
  <c r="O40" i="14" a="1"/>
  <c r="O40" i="14" s="1"/>
  <c r="O75" i="14" a="1"/>
  <c r="O75" i="14" s="1"/>
  <c r="O44" i="14" a="1"/>
  <c r="O44" i="14" s="1"/>
  <c r="O79" i="14" a="1"/>
  <c r="O79" i="14" s="1"/>
  <c r="O12" i="14" a="1"/>
  <c r="O12" i="14" s="1"/>
  <c r="O62" i="14" a="1"/>
  <c r="O62" i="14" s="1"/>
  <c r="O46" i="14" a="1"/>
  <c r="O46" i="14" s="1"/>
  <c r="O72" i="14" a="1"/>
  <c r="O72" i="14" s="1"/>
  <c r="O52" i="14" a="1"/>
  <c r="O52" i="14" s="1"/>
  <c r="O29" i="14" a="1"/>
  <c r="O29" i="14" s="1"/>
  <c r="O57" i="14" a="1"/>
  <c r="O57" i="14" s="1"/>
  <c r="O13" i="14" a="1"/>
  <c r="O13" i="14" s="1"/>
  <c r="O17" i="14" a="1"/>
  <c r="O17" i="14" s="1"/>
  <c r="O26" i="14" a="1"/>
  <c r="O26" i="14" s="1"/>
  <c r="O28" i="14" a="1"/>
  <c r="O28" i="14" s="1"/>
  <c r="O73" i="14" a="1"/>
  <c r="O73" i="14" s="1"/>
  <c r="P70" i="12"/>
  <c r="P97" i="14"/>
  <c r="Q30" i="14" s="1"/>
  <c r="O189" i="15"/>
  <c r="P157" i="15" s="1"/>
  <c r="T40" i="15"/>
  <c r="T88" i="15"/>
  <c r="T21" i="15"/>
  <c r="T37" i="15"/>
  <c r="T53" i="15"/>
  <c r="T69" i="15"/>
  <c r="T10" i="15"/>
  <c r="T26" i="15"/>
  <c r="T42" i="15"/>
  <c r="T58" i="15"/>
  <c r="T74" i="15"/>
  <c r="T90" i="15"/>
  <c r="T48" i="15"/>
  <c r="T11" i="15"/>
  <c r="T27" i="15"/>
  <c r="T43" i="15"/>
  <c r="T59" i="15"/>
  <c r="T75" i="15"/>
  <c r="T91" i="15"/>
  <c r="T44" i="15"/>
  <c r="T12" i="15"/>
  <c r="T52" i="15"/>
  <c r="T85" i="15"/>
  <c r="T25" i="15"/>
  <c r="T41" i="15"/>
  <c r="T57" i="15"/>
  <c r="T73" i="15"/>
  <c r="T14" i="15"/>
  <c r="T30" i="15"/>
  <c r="T46" i="15"/>
  <c r="T62" i="15"/>
  <c r="T78" i="15"/>
  <c r="T94" i="15"/>
  <c r="T60" i="15"/>
  <c r="T15" i="15"/>
  <c r="T31" i="15"/>
  <c r="T47" i="15"/>
  <c r="T63" i="15"/>
  <c r="T79" i="15"/>
  <c r="T9" i="15"/>
  <c r="S9" i="15" s="1" a="1"/>
  <c r="S9" i="15" s="1"/>
  <c r="T56" i="15"/>
  <c r="T77" i="15"/>
  <c r="T24" i="15"/>
  <c r="T64" i="15"/>
  <c r="T13" i="15"/>
  <c r="T29" i="15"/>
  <c r="T45" i="15"/>
  <c r="T61" i="15"/>
  <c r="T81" i="15"/>
  <c r="T18" i="15"/>
  <c r="T34" i="15"/>
  <c r="T50" i="15"/>
  <c r="T66" i="15"/>
  <c r="T82" i="15"/>
  <c r="T20" i="15"/>
  <c r="T72" i="15"/>
  <c r="T19" i="15"/>
  <c r="T35" i="15"/>
  <c r="T51" i="15"/>
  <c r="T67" i="15"/>
  <c r="T83" i="15"/>
  <c r="T16" i="15"/>
  <c r="T68" i="15"/>
  <c r="T93" i="15"/>
  <c r="T28" i="15"/>
  <c r="T76" i="15"/>
  <c r="T17" i="15"/>
  <c r="T33" i="15"/>
  <c r="T49" i="15"/>
  <c r="T65" i="15"/>
  <c r="T89" i="15"/>
  <c r="T22" i="15"/>
  <c r="T38" i="15"/>
  <c r="T54" i="15"/>
  <c r="T70" i="15"/>
  <c r="T86" i="15"/>
  <c r="T36" i="15"/>
  <c r="T84" i="15"/>
  <c r="T23" i="15"/>
  <c r="T39" i="15"/>
  <c r="T55" i="15"/>
  <c r="T71" i="15"/>
  <c r="T87" i="15"/>
  <c r="T32" i="15"/>
  <c r="T80" i="15"/>
  <c r="T92" i="15"/>
  <c r="P104" i="15"/>
  <c r="P138" i="15"/>
  <c r="P149" i="15"/>
  <c r="P108" i="15"/>
  <c r="P128" i="15"/>
  <c r="P118" i="15"/>
  <c r="P113" i="15"/>
  <c r="P123" i="15"/>
  <c r="P143" i="15"/>
  <c r="P130" i="15"/>
  <c r="O11" i="14" a="1"/>
  <c r="O11" i="14" s="1"/>
  <c r="P71" i="12"/>
  <c r="P72" i="12"/>
  <c r="P69" i="12"/>
  <c r="DH34" i="16"/>
  <c r="DH52" i="16"/>
  <c r="DH22" i="16"/>
  <c r="DH46" i="16"/>
  <c r="OK8" i="2"/>
  <c r="DH13" i="16" s="1"/>
  <c r="OK5" i="2"/>
  <c r="DH10" i="16" s="1"/>
  <c r="OK6" i="2"/>
  <c r="DH11" i="16" s="1"/>
  <c r="OK7" i="2"/>
  <c r="DH12" i="16" s="1"/>
  <c r="OK4" i="2"/>
  <c r="DH9" i="16" s="1"/>
  <c r="DH13" i="2"/>
  <c r="DH12" i="2"/>
  <c r="AR17" i="15" s="1"/>
  <c r="AR9" i="15" s="1"/>
  <c r="DH10" i="2"/>
  <c r="AP17" i="15" s="1"/>
  <c r="AP9" i="15" s="1"/>
  <c r="P160" i="15" l="1"/>
  <c r="P140" i="15"/>
  <c r="P165" i="15"/>
  <c r="P154" i="15"/>
  <c r="P136" i="15"/>
  <c r="P105" i="15"/>
  <c r="P114" i="15"/>
  <c r="P111" i="15"/>
  <c r="P176" i="15"/>
  <c r="P188" i="15"/>
  <c r="P119" i="15"/>
  <c r="P184" i="15"/>
  <c r="P164" i="15"/>
  <c r="P177" i="15"/>
  <c r="P182" i="15"/>
  <c r="P171" i="15"/>
  <c r="P137" i="15"/>
  <c r="P126" i="15"/>
  <c r="P135" i="15"/>
  <c r="P147" i="15"/>
  <c r="P116" i="15"/>
  <c r="P153" i="15"/>
  <c r="P142" i="15"/>
  <c r="P167" i="15"/>
  <c r="P179" i="15"/>
  <c r="P141" i="15"/>
  <c r="P178" i="15"/>
  <c r="P152" i="15"/>
  <c r="P132" i="15"/>
  <c r="P161" i="15"/>
  <c r="P166" i="15"/>
  <c r="P103" i="15"/>
  <c r="Q39" i="14"/>
  <c r="Q33" i="14"/>
  <c r="Q28" i="14"/>
  <c r="Q11" i="14"/>
  <c r="Q14" i="14"/>
  <c r="Q26" i="14"/>
  <c r="S43" i="15" a="1"/>
  <c r="S43" i="15" s="1"/>
  <c r="S49" i="15" a="1"/>
  <c r="S49" i="15" s="1"/>
  <c r="S14" i="15" a="1"/>
  <c r="S14" i="15" s="1"/>
  <c r="S23" i="15" a="1"/>
  <c r="S23" i="15" s="1"/>
  <c r="S22" i="15" a="1"/>
  <c r="S22" i="15" s="1"/>
  <c r="S92" i="15" a="1"/>
  <c r="S92" i="15" s="1"/>
  <c r="S71" i="15" a="1"/>
  <c r="S71" i="15" s="1"/>
  <c r="S69" i="15" a="1"/>
  <c r="S69" i="15" s="1"/>
  <c r="S41" i="15" a="1"/>
  <c r="S41" i="15" s="1"/>
  <c r="S84" i="15" a="1"/>
  <c r="S84" i="15" s="1"/>
  <c r="S65" i="15" a="1"/>
  <c r="S65" i="15" s="1"/>
  <c r="S18" i="15" a="1"/>
  <c r="S18" i="15" s="1"/>
  <c r="Q53" i="14"/>
  <c r="Q68" i="14"/>
  <c r="Q83" i="14"/>
  <c r="Q78" i="14"/>
  <c r="S91" i="15" a="1"/>
  <c r="S91" i="15" s="1"/>
  <c r="S74" i="15" a="1"/>
  <c r="S74" i="15" s="1"/>
  <c r="S93" i="15" a="1"/>
  <c r="S93" i="15" s="1"/>
  <c r="P121" i="15"/>
  <c r="P109" i="15"/>
  <c r="P181" i="15"/>
  <c r="S40" i="15" a="1"/>
  <c r="S40" i="15" s="1"/>
  <c r="S55" i="15" a="1"/>
  <c r="S55" i="15" s="1"/>
  <c r="S70" i="15" a="1"/>
  <c r="S70" i="15" s="1"/>
  <c r="P110" i="15"/>
  <c r="P170" i="15"/>
  <c r="S29" i="15" a="1"/>
  <c r="S29" i="15" s="1"/>
  <c r="S63" i="15" a="1"/>
  <c r="S63" i="15" s="1"/>
  <c r="S46" i="15" a="1"/>
  <c r="S46" i="15" s="1"/>
  <c r="S52" i="15" a="1"/>
  <c r="S52" i="15" s="1"/>
  <c r="S34" i="15" a="1"/>
  <c r="S34" i="15" s="1"/>
  <c r="P125" i="15"/>
  <c r="P186" i="15"/>
  <c r="P107" i="15"/>
  <c r="P168" i="15"/>
  <c r="S32" i="15" a="1"/>
  <c r="S32" i="15" s="1"/>
  <c r="S20" i="15" a="1"/>
  <c r="S20" i="15" s="1"/>
  <c r="S47" i="15" a="1"/>
  <c r="S47" i="15" s="1"/>
  <c r="P139" i="15"/>
  <c r="P115" i="15"/>
  <c r="P172" i="15"/>
  <c r="Q60" i="14"/>
  <c r="Q90" i="14"/>
  <c r="Q23" i="14"/>
  <c r="Q75" i="14"/>
  <c r="Q45" i="14"/>
  <c r="Q80" i="14"/>
  <c r="Q41" i="14"/>
  <c r="Q87" i="14"/>
  <c r="Q18" i="14"/>
  <c r="Q64" i="14"/>
  <c r="Q40" i="14"/>
  <c r="Q22" i="14"/>
  <c r="Q95" i="14"/>
  <c r="Q82" i="14"/>
  <c r="Q12" i="14"/>
  <c r="Q48" i="14"/>
  <c r="Q13" i="14"/>
  <c r="Q91" i="14"/>
  <c r="Q17" i="14"/>
  <c r="Q47" i="14"/>
  <c r="S45" i="15" a="1"/>
  <c r="S45" i="15" s="1"/>
  <c r="S85" i="15" a="1"/>
  <c r="S85" i="15" s="1"/>
  <c r="S57" i="15" a="1"/>
  <c r="S57" i="15" s="1"/>
  <c r="S72" i="15" a="1"/>
  <c r="S72" i="15" s="1"/>
  <c r="S86" i="15" a="1"/>
  <c r="S86" i="15" s="1"/>
  <c r="S87" i="15" a="1"/>
  <c r="S87" i="15" s="1"/>
  <c r="S37" i="15" a="1"/>
  <c r="S37" i="15" s="1"/>
  <c r="S80" i="15" a="1"/>
  <c r="S80" i="15" s="1"/>
  <c r="S24" i="15" a="1"/>
  <c r="S24" i="15" s="1"/>
  <c r="S38" i="15" a="1"/>
  <c r="S38" i="15" s="1"/>
  <c r="S28" i="15" a="1"/>
  <c r="S28" i="15" s="1"/>
  <c r="S26" i="15" a="1"/>
  <c r="S26" i="15" s="1"/>
  <c r="S78" i="15" a="1"/>
  <c r="S78" i="15" s="1"/>
  <c r="S51" i="15" a="1"/>
  <c r="S51" i="15" s="1"/>
  <c r="S44" i="15" a="1"/>
  <c r="S44" i="15" s="1"/>
  <c r="S88" i="15" a="1"/>
  <c r="S88" i="15" s="1"/>
  <c r="S30" i="15" a="1"/>
  <c r="S30" i="15" s="1"/>
  <c r="S19" i="15" a="1"/>
  <c r="S19" i="15" s="1"/>
  <c r="S11" i="15" a="1"/>
  <c r="S11" i="15" s="1"/>
  <c r="Q49" i="14"/>
  <c r="Q63" i="14"/>
  <c r="Q77" i="14"/>
  <c r="Q96" i="14"/>
  <c r="Q57" i="14"/>
  <c r="Q65" i="14"/>
  <c r="P183" i="15"/>
  <c r="P163" i="15"/>
  <c r="P133" i="15"/>
  <c r="P122" i="15"/>
  <c r="P159" i="15"/>
  <c r="Q27" i="14"/>
  <c r="Q9" i="14"/>
  <c r="Q51" i="14"/>
  <c r="Q76" i="14"/>
  <c r="Q31" i="14"/>
  <c r="Q86" i="14"/>
  <c r="P151" i="15"/>
  <c r="P131" i="15"/>
  <c r="P117" i="15"/>
  <c r="P106" i="15"/>
  <c r="P127" i="15"/>
  <c r="Q35" i="14"/>
  <c r="Q25" i="14"/>
  <c r="Q55" i="14"/>
  <c r="Q42" i="14"/>
  <c r="Q71" i="14"/>
  <c r="Q16" i="14"/>
  <c r="Q37" i="14"/>
  <c r="Q89" i="14"/>
  <c r="Q92" i="14"/>
  <c r="Q93" i="14"/>
  <c r="Q85" i="14"/>
  <c r="Q46" i="14"/>
  <c r="S56" i="15" a="1"/>
  <c r="S56" i="15" s="1"/>
  <c r="S21" i="15" a="1"/>
  <c r="S21" i="15" s="1"/>
  <c r="S79" i="15" a="1"/>
  <c r="S79" i="15" s="1"/>
  <c r="S35" i="15" a="1"/>
  <c r="S35" i="15" s="1"/>
  <c r="S61" i="15" a="1"/>
  <c r="S61" i="15" s="1"/>
  <c r="S17" i="15" a="1"/>
  <c r="S17" i="15" s="1"/>
  <c r="S73" i="15" a="1"/>
  <c r="S73" i="15" s="1"/>
  <c r="S31" i="15" a="1"/>
  <c r="S31" i="15" s="1"/>
  <c r="S36" i="15" a="1"/>
  <c r="S36" i="15" s="1"/>
  <c r="S39" i="15" a="1"/>
  <c r="S39" i="15" s="1"/>
  <c r="S50" i="15" a="1"/>
  <c r="S50" i="15" s="1"/>
  <c r="S90" i="15" a="1"/>
  <c r="S90" i="15" s="1"/>
  <c r="S59" i="15" a="1"/>
  <c r="S59" i="15" s="1"/>
  <c r="S77" i="15" a="1"/>
  <c r="S77" i="15" s="1"/>
  <c r="S60" i="15" a="1"/>
  <c r="S60" i="15" s="1"/>
  <c r="S42" i="15" a="1"/>
  <c r="S42" i="15" s="1"/>
  <c r="S94" i="15" a="1"/>
  <c r="S94" i="15" s="1"/>
  <c r="S83" i="15" a="1"/>
  <c r="S83" i="15" s="1"/>
  <c r="T95" i="15"/>
  <c r="U71" i="15" s="1"/>
  <c r="Q10" i="14"/>
  <c r="Q62" i="14"/>
  <c r="Q38" i="14"/>
  <c r="Q67" i="14"/>
  <c r="Q54" i="14"/>
  <c r="Q20" i="14"/>
  <c r="P162" i="15"/>
  <c r="P120" i="15"/>
  <c r="P187" i="15"/>
  <c r="P145" i="15"/>
  <c r="P150" i="15"/>
  <c r="Q74" i="14"/>
  <c r="Q36" i="14"/>
  <c r="Q50" i="14"/>
  <c r="Q69" i="14"/>
  <c r="Q32" i="14"/>
  <c r="Q84" i="14"/>
  <c r="P146" i="15"/>
  <c r="P175" i="15"/>
  <c r="P155" i="15"/>
  <c r="P129" i="15"/>
  <c r="P134" i="15"/>
  <c r="Q34" i="14"/>
  <c r="Q44" i="14"/>
  <c r="Q15" i="14"/>
  <c r="Q29" i="14"/>
  <c r="Q21" i="14"/>
  <c r="Q73" i="14"/>
  <c r="Q24" i="14"/>
  <c r="Q81" i="14"/>
  <c r="Q79" i="14"/>
  <c r="Q70" i="14"/>
  <c r="Q72" i="14"/>
  <c r="S66" i="15" a="1"/>
  <c r="S66" i="15" s="1"/>
  <c r="S76" i="15" a="1"/>
  <c r="S76" i="15" s="1"/>
  <c r="S58" i="15" a="1"/>
  <c r="S58" i="15" s="1"/>
  <c r="S27" i="15" a="1"/>
  <c r="S27" i="15" s="1"/>
  <c r="S33" i="15" a="1"/>
  <c r="S33" i="15" s="1"/>
  <c r="S68" i="15" a="1"/>
  <c r="S68" i="15" s="1"/>
  <c r="S12" i="15" a="1"/>
  <c r="S12" i="15" s="1"/>
  <c r="S10" i="15" a="1"/>
  <c r="S10" i="15" s="1"/>
  <c r="S62" i="15" a="1"/>
  <c r="S62" i="15" s="1"/>
  <c r="S81" i="15" a="1"/>
  <c r="S81" i="15" s="1"/>
  <c r="S67" i="15" a="1"/>
  <c r="S67" i="15" s="1"/>
  <c r="S16" i="15" a="1"/>
  <c r="S16" i="15" s="1"/>
  <c r="S53" i="15" a="1"/>
  <c r="S53" i="15" s="1"/>
  <c r="S25" i="15" a="1"/>
  <c r="S25" i="15" s="1"/>
  <c r="S64" i="15" a="1"/>
  <c r="S64" i="15" s="1"/>
  <c r="S54" i="15" a="1"/>
  <c r="S54" i="15" s="1"/>
  <c r="S13" i="15" a="1"/>
  <c r="S13" i="15" s="1"/>
  <c r="S82" i="15" a="1"/>
  <c r="S82" i="15" s="1"/>
  <c r="S48" i="15" a="1"/>
  <c r="S48" i="15" s="1"/>
  <c r="S75" i="15" a="1"/>
  <c r="S75" i="15" s="1"/>
  <c r="S89" i="15" a="1"/>
  <c r="S89" i="15" s="1"/>
  <c r="S15" i="15" a="1"/>
  <c r="S15" i="15" s="1"/>
  <c r="U89" i="15"/>
  <c r="U20" i="15"/>
  <c r="U79" i="15"/>
  <c r="U85" i="15"/>
  <c r="U26" i="15"/>
  <c r="Q88" i="14"/>
  <c r="Q59" i="14"/>
  <c r="Q52" i="14"/>
  <c r="Q66" i="14"/>
  <c r="Q58" i="14"/>
  <c r="P180" i="15"/>
  <c r="P185" i="15"/>
  <c r="P174" i="15"/>
  <c r="P144" i="15"/>
  <c r="P156" i="15"/>
  <c r="P173" i="15"/>
  <c r="Q61" i="14"/>
  <c r="Q94" i="14"/>
  <c r="Q43" i="14"/>
  <c r="Q56" i="14"/>
  <c r="Q19" i="14"/>
  <c r="P148" i="15"/>
  <c r="P169" i="15"/>
  <c r="P158" i="15"/>
  <c r="P112" i="15"/>
  <c r="P124" i="15"/>
  <c r="OK9" i="2"/>
  <c r="DH14" i="16" s="1"/>
  <c r="OK10" i="2"/>
  <c r="DH15" i="16" s="1"/>
  <c r="U65" i="15" l="1"/>
  <c r="U90" i="15"/>
  <c r="U73" i="15"/>
  <c r="U24" i="15"/>
  <c r="U51" i="15"/>
  <c r="U70" i="15"/>
  <c r="U43" i="15"/>
  <c r="U62" i="15"/>
  <c r="U45" i="15"/>
  <c r="U68" i="15"/>
  <c r="U23" i="15"/>
  <c r="U37" i="15"/>
  <c r="U44" i="15"/>
  <c r="U15" i="15"/>
  <c r="U34" i="15"/>
  <c r="U17" i="15"/>
  <c r="U87" i="15"/>
  <c r="U10" i="15"/>
  <c r="U14" i="15"/>
  <c r="U63" i="15"/>
  <c r="U48" i="15"/>
  <c r="P189" i="15"/>
  <c r="U72" i="15"/>
  <c r="U22" i="15"/>
  <c r="U88" i="15"/>
  <c r="U30" i="15"/>
  <c r="U13" i="15"/>
  <c r="U83" i="15"/>
  <c r="U36" i="15"/>
  <c r="U57" i="15"/>
  <c r="U35" i="15"/>
  <c r="U27" i="15"/>
  <c r="U29" i="15"/>
  <c r="U84" i="15"/>
  <c r="U40" i="15"/>
  <c r="U59" i="15"/>
  <c r="U78" i="15"/>
  <c r="U64" i="15"/>
  <c r="U67" i="15"/>
  <c r="U86" i="15"/>
  <c r="U69" i="15"/>
  <c r="U75" i="15"/>
  <c r="U94" i="15"/>
  <c r="U81" i="15"/>
  <c r="U28" i="15"/>
  <c r="U55" i="15"/>
  <c r="U21" i="15"/>
  <c r="U60" i="15"/>
  <c r="U76" i="15"/>
  <c r="U52" i="15"/>
  <c r="U82" i="15"/>
  <c r="U92" i="15"/>
  <c r="U53" i="15"/>
  <c r="U31" i="15"/>
  <c r="U61" i="15"/>
  <c r="U93" i="15"/>
  <c r="U39" i="15"/>
  <c r="U58" i="15"/>
  <c r="U12" i="15"/>
  <c r="U47" i="15"/>
  <c r="U66" i="15"/>
  <c r="U49" i="15"/>
  <c r="U80" i="15"/>
  <c r="U74" i="15"/>
  <c r="U77" i="15"/>
  <c r="U54" i="15"/>
  <c r="U46" i="15"/>
  <c r="U16" i="15"/>
  <c r="U42" i="15"/>
  <c r="U25" i="15"/>
  <c r="U9" i="15"/>
  <c r="U50" i="15"/>
  <c r="U33" i="15"/>
  <c r="U32" i="15"/>
  <c r="Q97" i="14"/>
  <c r="U11" i="15"/>
  <c r="U41" i="15"/>
  <c r="U56" i="15"/>
  <c r="U19" i="15"/>
  <c r="U38" i="15"/>
  <c r="U91" i="15"/>
  <c r="U18" i="15"/>
  <c r="LI5" i="2"/>
  <c r="CI10" i="16" s="1"/>
  <c r="LI6" i="2"/>
  <c r="CI11" i="16" s="1"/>
  <c r="LI7" i="2"/>
  <c r="CI12" i="16" s="1"/>
  <c r="LI4" i="2"/>
  <c r="CI9" i="16" s="1"/>
  <c r="CI18" i="16" l="1"/>
  <c r="CI21" i="16"/>
  <c r="CI20" i="16"/>
  <c r="CI19" i="16"/>
  <c r="U95" i="15"/>
  <c r="LI8" i="2"/>
  <c r="CI13" i="16" s="1"/>
  <c r="KZ5" i="2"/>
  <c r="BQ10" i="16" s="1"/>
  <c r="BQ19" i="16" s="1"/>
  <c r="KZ6" i="2"/>
  <c r="BQ11" i="16" s="1"/>
  <c r="BQ20" i="16" s="1"/>
  <c r="KZ7" i="2"/>
  <c r="BQ12" i="16" s="1"/>
  <c r="BQ21" i="16" s="1"/>
  <c r="KZ4" i="2"/>
  <c r="BQ9" i="16" s="1"/>
  <c r="BQ18" i="16" s="1"/>
  <c r="CI22" i="16" l="1"/>
  <c r="KZ8" i="2"/>
  <c r="BQ13" i="16" s="1"/>
  <c r="BQ22" i="16" s="1"/>
  <c r="IC5" i="2" l="1"/>
  <c r="DH10" i="15" s="1"/>
  <c r="DI10" i="15" s="1"/>
  <c r="IC6" i="2"/>
  <c r="DH11" i="15" s="1"/>
  <c r="DI11" i="15" s="1"/>
  <c r="IC7" i="2"/>
  <c r="DH12" i="15" s="1"/>
  <c r="DI12" i="15" s="1"/>
  <c r="IC8" i="2"/>
  <c r="DH13" i="15" s="1"/>
  <c r="DI13" i="15" s="1"/>
  <c r="IC9" i="2"/>
  <c r="DH14" i="15" s="1"/>
  <c r="DI14" i="15" s="1"/>
  <c r="IC10" i="2"/>
  <c r="DH15" i="15" s="1"/>
  <c r="DI15" i="15" s="1"/>
  <c r="IC11" i="2"/>
  <c r="DH16" i="15" s="1"/>
  <c r="DI16" i="15" s="1"/>
  <c r="IC12" i="2"/>
  <c r="DH17" i="15" s="1"/>
  <c r="DI17" i="15" s="1"/>
  <c r="IC13" i="2"/>
  <c r="DH18" i="15" s="1"/>
  <c r="DI18" i="15" s="1"/>
  <c r="IC4" i="2"/>
  <c r="DH9" i="15" s="1"/>
  <c r="DI9" i="15" s="1"/>
  <c r="IF5" i="2"/>
  <c r="IF6" i="2"/>
  <c r="IF7" i="2"/>
  <c r="IF8" i="2"/>
  <c r="IF9" i="2"/>
  <c r="IF10" i="2"/>
  <c r="IF11" i="2"/>
  <c r="IF12" i="2"/>
  <c r="IF13" i="2"/>
  <c r="IF4" i="2"/>
  <c r="ID5" i="2"/>
  <c r="ID9" i="2"/>
  <c r="IG4" i="2" l="1"/>
  <c r="DM9" i="15"/>
  <c r="DN9" i="15" s="1"/>
  <c r="IG10" i="2"/>
  <c r="DM15" i="15"/>
  <c r="DN15" i="15" s="1"/>
  <c r="IG6" i="2"/>
  <c r="DM11" i="15"/>
  <c r="DN11" i="15" s="1"/>
  <c r="IG13" i="2"/>
  <c r="DM18" i="15"/>
  <c r="DN18" i="15" s="1"/>
  <c r="IG9" i="2"/>
  <c r="DM14" i="15"/>
  <c r="DN14" i="15" s="1"/>
  <c r="IG5" i="2"/>
  <c r="DM10" i="15"/>
  <c r="DN10" i="15" s="1"/>
  <c r="IG12" i="2"/>
  <c r="DM17" i="15"/>
  <c r="DN17" i="15" s="1"/>
  <c r="IG8" i="2"/>
  <c r="DM13" i="15"/>
  <c r="DN13" i="15" s="1"/>
  <c r="IG11" i="2"/>
  <c r="DM16" i="15"/>
  <c r="DN16" i="15" s="1"/>
  <c r="IG7" i="2"/>
  <c r="DM12" i="15"/>
  <c r="DN12" i="15" s="1"/>
  <c r="ID8" i="2"/>
  <c r="ID13" i="2"/>
  <c r="ID12" i="2"/>
  <c r="ID4" i="2"/>
  <c r="ID11" i="2"/>
  <c r="ID7" i="2"/>
  <c r="IC14" i="2"/>
  <c r="DH19" i="15" s="1"/>
  <c r="DI19" i="15" s="1"/>
  <c r="ID10" i="2"/>
  <c r="ID6" i="2"/>
  <c r="ID14" i="2" l="1"/>
  <c r="MA7" i="2" l="1"/>
  <c r="DE4" i="2"/>
  <c r="X9" i="15" s="1"/>
  <c r="DE9" i="2"/>
  <c r="X14" i="15" s="1"/>
  <c r="DE6" i="2"/>
  <c r="DE5" i="2"/>
  <c r="Y37" i="15" l="1"/>
  <c r="Y32" i="15"/>
  <c r="CT9" i="2"/>
  <c r="AW14" i="14" s="1"/>
  <c r="CT8" i="2"/>
  <c r="AW13" i="14" s="1"/>
  <c r="CT7" i="2"/>
  <c r="AW12" i="14" s="1"/>
  <c r="CT6" i="2"/>
  <c r="AW11" i="14" s="1"/>
  <c r="CT5" i="2"/>
  <c r="AW10" i="14" s="1"/>
  <c r="CT4" i="2"/>
  <c r="AW9" i="14" s="1"/>
  <c r="CT10" i="2" l="1"/>
  <c r="AW15" i="14" s="1"/>
  <c r="CE7" i="2" l="1"/>
  <c r="AG14" i="14" s="1"/>
  <c r="Y14" i="15" s="1"/>
  <c r="Z14" i="15" s="1"/>
  <c r="BY7" i="2" l="1"/>
  <c r="BY6" i="2"/>
  <c r="BY5" i="2"/>
  <c r="BY4" i="2"/>
  <c r="BY8" i="2" l="1"/>
  <c r="BM14" i="2" l="1"/>
  <c r="AD19" i="13" s="1"/>
  <c r="N5" i="2" l="1"/>
  <c r="O10" i="12" s="1"/>
  <c r="N6" i="2"/>
  <c r="O11" i="12" s="1"/>
  <c r="N7" i="2"/>
  <c r="O12" i="12" s="1"/>
  <c r="N4" i="2"/>
  <c r="O9" i="12" s="1"/>
  <c r="N8" i="2" l="1"/>
  <c r="O13" i="12" s="1"/>
  <c r="K4" i="2"/>
  <c r="J9" i="12" s="1"/>
  <c r="K9" i="12" s="1"/>
  <c r="K5" i="2"/>
  <c r="J10" i="12" s="1"/>
  <c r="K10" i="12" s="1"/>
  <c r="K6" i="2"/>
  <c r="J11" i="12" s="1"/>
  <c r="K11" i="12" s="1"/>
  <c r="K7" i="2"/>
  <c r="J12" i="12" s="1"/>
  <c r="K12" i="12" s="1"/>
  <c r="K8" i="2"/>
  <c r="J13" i="12" s="1"/>
  <c r="K13" i="12" s="1"/>
  <c r="K9" i="2"/>
  <c r="J14" i="12" s="1"/>
  <c r="K14" i="12" s="1"/>
  <c r="AI5" i="2" l="1"/>
  <c r="AI6" i="2"/>
  <c r="AI7" i="2"/>
  <c r="AI8" i="2"/>
  <c r="AI9" i="2"/>
  <c r="AI10" i="2"/>
  <c r="AI11" i="2"/>
  <c r="AI12" i="2"/>
  <c r="AI13" i="2"/>
  <c r="AI14" i="2"/>
  <c r="AI15" i="2"/>
  <c r="AI16" i="2"/>
  <c r="AI17" i="2"/>
  <c r="AI18" i="2"/>
  <c r="AI19" i="2"/>
  <c r="AI20" i="2"/>
  <c r="AI21" i="2"/>
  <c r="AI22" i="2"/>
  <c r="AI23" i="2"/>
  <c r="AI24" i="2"/>
  <c r="AI25" i="2"/>
  <c r="AI26" i="2"/>
  <c r="AI27" i="2"/>
  <c r="AI28" i="2"/>
  <c r="AI29" i="2"/>
  <c r="AI30" i="2"/>
  <c r="AI31" i="2"/>
  <c r="AI32" i="2"/>
  <c r="AI33" i="2"/>
  <c r="AI34" i="2"/>
  <c r="AI35" i="2"/>
  <c r="AI4" i="2"/>
  <c r="AJ4" i="2" l="1"/>
  <c r="AJ6" i="2"/>
  <c r="AJ32" i="2"/>
  <c r="AJ31" i="2"/>
  <c r="AJ27" i="2"/>
  <c r="AJ23" i="2"/>
  <c r="AJ20" i="2"/>
  <c r="AJ16" i="2"/>
  <c r="AJ13" i="2"/>
  <c r="AJ9" i="2"/>
  <c r="AJ5" i="2"/>
  <c r="AJ28" i="2"/>
  <c r="AJ34" i="2"/>
  <c r="AJ30" i="2"/>
  <c r="AJ26" i="2"/>
  <c r="AJ22" i="2"/>
  <c r="AJ19" i="2"/>
  <c r="AJ12" i="2"/>
  <c r="AJ8" i="2"/>
  <c r="AJ24" i="2"/>
  <c r="AJ35" i="2"/>
  <c r="AJ33" i="2"/>
  <c r="AJ29" i="2"/>
  <c r="AJ25" i="2"/>
  <c r="AJ21" i="2"/>
  <c r="AJ18" i="2"/>
  <c r="AJ15" i="2"/>
  <c r="AJ11" i="2"/>
  <c r="AJ7" i="2"/>
  <c r="AJ17" i="2"/>
  <c r="AJ14" i="2"/>
  <c r="AJ10" i="2"/>
  <c r="FH139" i="1" l="1"/>
  <c r="FH140" i="1"/>
  <c r="FH141" i="1"/>
  <c r="FH142" i="1"/>
  <c r="FH143" i="1"/>
  <c r="FH144" i="1"/>
  <c r="FH145" i="1"/>
  <c r="FH146" i="1"/>
  <c r="FH147" i="1"/>
  <c r="FH148" i="1"/>
  <c r="FH149" i="1"/>
  <c r="FH150" i="1"/>
  <c r="FH151" i="1"/>
  <c r="FH152" i="1"/>
  <c r="FH153" i="1"/>
  <c r="FH154" i="1"/>
  <c r="FH155" i="1"/>
  <c r="FH156" i="1"/>
  <c r="FH157" i="1"/>
  <c r="FH158" i="1"/>
  <c r="FH159" i="1"/>
  <c r="FH160" i="1"/>
  <c r="FH161" i="1"/>
  <c r="FH162" i="1"/>
  <c r="FH163" i="1"/>
  <c r="FH164" i="1"/>
  <c r="FH165" i="1"/>
  <c r="FH166" i="1"/>
  <c r="FH167" i="1"/>
  <c r="FH168" i="1"/>
  <c r="FH169" i="1"/>
  <c r="FH170" i="1"/>
  <c r="FH171" i="1"/>
  <c r="FH172" i="1"/>
  <c r="FH173" i="1"/>
  <c r="FH174" i="1"/>
  <c r="FH175" i="1"/>
  <c r="FH176" i="1"/>
  <c r="FH177" i="1"/>
  <c r="FH179" i="1"/>
  <c r="FH180" i="1"/>
  <c r="FH181" i="1"/>
  <c r="FH182" i="1"/>
  <c r="FH183" i="1"/>
  <c r="FH184" i="1"/>
  <c r="FH185" i="1"/>
  <c r="FH186" i="1"/>
  <c r="FH187" i="1"/>
  <c r="FH188" i="1"/>
  <c r="FH189" i="1"/>
  <c r="FH190" i="1"/>
  <c r="FH191" i="1"/>
  <c r="FH192" i="1"/>
  <c r="FH193" i="1"/>
  <c r="FH194" i="1"/>
  <c r="FH195" i="1"/>
  <c r="FH196" i="1"/>
  <c r="FH197" i="1"/>
  <c r="FH198" i="1"/>
  <c r="FH199" i="1"/>
  <c r="FH200" i="1"/>
  <c r="FH201" i="1"/>
  <c r="FH202" i="1"/>
  <c r="FH203" i="1"/>
  <c r="FH204" i="1"/>
  <c r="FH205" i="1"/>
  <c r="FH206" i="1"/>
  <c r="FH207" i="1"/>
  <c r="FH208" i="1"/>
  <c r="FH209" i="1"/>
  <c r="FH210" i="1"/>
  <c r="FH211" i="1"/>
  <c r="FH212" i="1"/>
  <c r="FH213" i="1"/>
  <c r="FH214" i="1"/>
  <c r="FH215" i="1"/>
  <c r="FH216" i="1"/>
  <c r="FH217" i="1"/>
  <c r="FH218" i="1"/>
  <c r="FH219" i="1"/>
  <c r="FH220" i="1"/>
  <c r="FH221" i="1"/>
  <c r="FH222" i="1"/>
  <c r="FH223" i="1"/>
  <c r="FH224" i="1"/>
  <c r="FH225" i="1"/>
  <c r="FH226" i="1"/>
  <c r="FH227" i="1"/>
  <c r="FH228" i="1"/>
  <c r="FH229" i="1"/>
  <c r="FH230" i="1"/>
  <c r="FH231" i="1"/>
  <c r="FH232" i="1"/>
  <c r="FH233" i="1"/>
  <c r="FH234" i="1"/>
  <c r="FH235" i="1"/>
  <c r="FH236" i="1"/>
  <c r="FH237" i="1"/>
  <c r="FH238" i="1"/>
  <c r="FH239" i="1"/>
  <c r="FH240" i="1"/>
  <c r="FH241" i="1"/>
  <c r="FH242" i="1"/>
  <c r="FH243" i="1"/>
  <c r="FH244" i="1"/>
  <c r="FH245" i="1"/>
  <c r="FH246" i="1"/>
  <c r="FH247" i="1"/>
  <c r="FH248" i="1"/>
  <c r="FH249" i="1"/>
  <c r="FH250" i="1"/>
  <c r="FH251" i="1"/>
  <c r="FH252" i="1"/>
  <c r="FH253" i="1"/>
  <c r="FH254" i="1"/>
  <c r="FH255" i="1"/>
  <c r="FH256" i="1"/>
  <c r="FH257" i="1"/>
  <c r="FH258" i="1"/>
  <c r="FH259" i="1"/>
  <c r="FH260" i="1"/>
  <c r="FH261" i="1"/>
  <c r="FH262" i="1"/>
  <c r="FH263" i="1"/>
  <c r="FH264" i="1"/>
  <c r="FH265" i="1"/>
  <c r="FH266" i="1"/>
  <c r="FH267" i="1"/>
  <c r="FH268" i="1"/>
  <c r="FH269" i="1"/>
  <c r="FH270" i="1"/>
  <c r="FH271" i="1"/>
  <c r="FH272" i="1"/>
  <c r="FH273" i="1"/>
  <c r="FH134" i="1"/>
  <c r="FH135" i="1"/>
  <c r="FH136" i="1"/>
  <c r="FH137" i="1"/>
  <c r="FH138" i="1"/>
  <c r="FH133" i="1"/>
  <c r="DH28" i="16" l="1"/>
  <c r="J56" i="13"/>
  <c r="J57" i="13"/>
  <c r="J55" i="13"/>
  <c r="BW48" i="11"/>
  <c r="BW56" i="11"/>
  <c r="BW47" i="11"/>
  <c r="BW49" i="11"/>
  <c r="BW57" i="11"/>
  <c r="BW52" i="11"/>
  <c r="BW60" i="11"/>
  <c r="BW53" i="11"/>
  <c r="BW59" i="11"/>
  <c r="BW54" i="11"/>
  <c r="BW21" i="11"/>
  <c r="BW14" i="11"/>
  <c r="BW12" i="11"/>
  <c r="BW11" i="11"/>
  <c r="BW16" i="11"/>
  <c r="BW10" i="11"/>
  <c r="BW51" i="11"/>
  <c r="BW55" i="11"/>
  <c r="BW19" i="11"/>
  <c r="BW13" i="11"/>
  <c r="BW9" i="11"/>
  <c r="BW58" i="11"/>
  <c r="BW22" i="11"/>
  <c r="BW20" i="11"/>
  <c r="BW18" i="11"/>
  <c r="BW17" i="11"/>
  <c r="BX17" i="11" s="1"/>
  <c r="BW31" i="11" s="1"/>
  <c r="BW15" i="11"/>
  <c r="BW50" i="11"/>
  <c r="G61" i="15"/>
  <c r="G59" i="15"/>
  <c r="G56" i="15"/>
  <c r="G57" i="15"/>
  <c r="G60" i="15"/>
  <c r="G55" i="15"/>
  <c r="G62" i="15"/>
  <c r="G54" i="15"/>
  <c r="G58" i="15"/>
  <c r="G77" i="15"/>
  <c r="G69" i="15"/>
  <c r="G70" i="15"/>
  <c r="G72" i="15"/>
  <c r="G75" i="15"/>
  <c r="G76" i="15"/>
  <c r="G68" i="15"/>
  <c r="G73" i="15"/>
  <c r="G74" i="15"/>
  <c r="G71" i="15"/>
  <c r="OH5" i="2"/>
  <c r="OH9" i="2"/>
  <c r="OH13" i="2"/>
  <c r="OH17" i="2"/>
  <c r="OH6" i="2"/>
  <c r="OH10" i="2"/>
  <c r="OH14" i="2"/>
  <c r="OH4" i="2"/>
  <c r="OH7" i="2"/>
  <c r="OH11" i="2"/>
  <c r="OH15" i="2"/>
  <c r="OH8" i="2"/>
  <c r="OH12" i="2"/>
  <c r="OH16" i="2"/>
  <c r="NT11" i="2"/>
  <c r="BR27" i="11" s="1"/>
  <c r="NQ11" i="2"/>
  <c r="BR15" i="11" s="1"/>
  <c r="NT10" i="2"/>
  <c r="BR26" i="11" s="1"/>
  <c r="NQ10" i="2"/>
  <c r="BR14" i="11" s="1"/>
  <c r="NT9" i="2"/>
  <c r="BR25" i="11" s="1"/>
  <c r="NQ9" i="2"/>
  <c r="BR13" i="11" s="1"/>
  <c r="NH9" i="2"/>
  <c r="NT8" i="2"/>
  <c r="BR24" i="11" s="1"/>
  <c r="NQ8" i="2"/>
  <c r="BR12" i="11" s="1"/>
  <c r="NK8" i="2"/>
  <c r="NH8" i="2"/>
  <c r="NT7" i="2"/>
  <c r="BR23" i="11" s="1"/>
  <c r="NQ7" i="2"/>
  <c r="BR11" i="11" s="1"/>
  <c r="NN7" i="2"/>
  <c r="NK7" i="2"/>
  <c r="NH7" i="2"/>
  <c r="NT6" i="2"/>
  <c r="BR22" i="11" s="1"/>
  <c r="NQ6" i="2"/>
  <c r="BR10" i="11" s="1"/>
  <c r="NN6" i="2"/>
  <c r="NK6" i="2"/>
  <c r="NH6" i="2"/>
  <c r="NE6" i="2"/>
  <c r="NB6" i="2"/>
  <c r="MY6" i="2"/>
  <c r="MV6" i="2"/>
  <c r="MS6" i="2"/>
  <c r="MP6" i="2"/>
  <c r="OD5" i="2"/>
  <c r="OA5" i="2"/>
  <c r="NT5" i="2"/>
  <c r="BR21" i="11" s="1"/>
  <c r="NQ5" i="2"/>
  <c r="BR9" i="11" s="1"/>
  <c r="NN5" i="2"/>
  <c r="NK5" i="2"/>
  <c r="NH5" i="2"/>
  <c r="NE5" i="2"/>
  <c r="NB5" i="2"/>
  <c r="MY5" i="2"/>
  <c r="MV5" i="2"/>
  <c r="MS5" i="2"/>
  <c r="MP5" i="2"/>
  <c r="OD4" i="2"/>
  <c r="OA4" i="2"/>
  <c r="NT4" i="2"/>
  <c r="NQ4" i="2"/>
  <c r="NN4" i="2"/>
  <c r="NK4" i="2"/>
  <c r="NH4" i="2"/>
  <c r="NE4" i="2"/>
  <c r="NB4" i="2"/>
  <c r="MY4" i="2"/>
  <c r="MV4" i="2"/>
  <c r="MS4" i="2"/>
  <c r="MP4" i="2"/>
  <c r="MA5" i="2"/>
  <c r="N21" i="11" s="1"/>
  <c r="IF14" i="2"/>
  <c r="DM19" i="15" s="1"/>
  <c r="DN19" i="15" s="1"/>
  <c r="LR13" i="2"/>
  <c r="LL13" i="2"/>
  <c r="CN17" i="16" s="1"/>
  <c r="CP40" i="16" s="1"/>
  <c r="LC13" i="2"/>
  <c r="BW17" i="16" s="1"/>
  <c r="BY40" i="16" s="1"/>
  <c r="KQ13" i="2"/>
  <c r="KN13" i="2"/>
  <c r="KK13" i="2"/>
  <c r="KH13" i="2"/>
  <c r="KE13" i="2"/>
  <c r="KB13" i="2"/>
  <c r="KB14" i="2" s="1"/>
  <c r="JY13" i="2"/>
  <c r="JV13" i="2"/>
  <c r="JS13" i="2"/>
  <c r="JP13" i="2"/>
  <c r="JP14" i="2" s="1"/>
  <c r="JM13" i="2"/>
  <c r="JJ13" i="2"/>
  <c r="JG13" i="2"/>
  <c r="JD13" i="2"/>
  <c r="JD14" i="2" s="1"/>
  <c r="JA13" i="2"/>
  <c r="IX13" i="2"/>
  <c r="IR13" i="2"/>
  <c r="IO13" i="2"/>
  <c r="IO14" i="2" s="1"/>
  <c r="HZ13" i="2"/>
  <c r="DA17" i="15" s="1"/>
  <c r="DC40" i="15" s="1"/>
  <c r="HW13" i="2"/>
  <c r="HW14" i="2" s="1"/>
  <c r="HT13" i="2"/>
  <c r="HQ13" i="2"/>
  <c r="HN13" i="2"/>
  <c r="HK13" i="2"/>
  <c r="HK14" i="2" s="1"/>
  <c r="HH13" i="2"/>
  <c r="HE13" i="2"/>
  <c r="HB13" i="2"/>
  <c r="LR12" i="2"/>
  <c r="LL12" i="2"/>
  <c r="LC12" i="2"/>
  <c r="KQ12" i="2"/>
  <c r="KN12" i="2"/>
  <c r="KK12" i="2"/>
  <c r="KH12" i="2"/>
  <c r="KE12" i="2"/>
  <c r="KB12" i="2"/>
  <c r="JY12" i="2"/>
  <c r="JV12" i="2"/>
  <c r="JS12" i="2"/>
  <c r="JP12" i="2"/>
  <c r="JM12" i="2"/>
  <c r="JJ12" i="2"/>
  <c r="JG12" i="2"/>
  <c r="JD12" i="2"/>
  <c r="JA12" i="2"/>
  <c r="IX12" i="2"/>
  <c r="IR12" i="2"/>
  <c r="IO12" i="2"/>
  <c r="HZ12" i="2"/>
  <c r="HW12" i="2"/>
  <c r="CW38" i="15" s="1"/>
  <c r="HT12" i="2"/>
  <c r="CW37" i="15" s="1"/>
  <c r="HQ12" i="2"/>
  <c r="CW36" i="15" s="1"/>
  <c r="HN12" i="2"/>
  <c r="CW35" i="15" s="1"/>
  <c r="HK12" i="2"/>
  <c r="CW34" i="15" s="1"/>
  <c r="HH12" i="2"/>
  <c r="CW33" i="15" s="1"/>
  <c r="HE12" i="2"/>
  <c r="CW32" i="15" s="1"/>
  <c r="HB12" i="2"/>
  <c r="CW31" i="15" s="1"/>
  <c r="LR10" i="2"/>
  <c r="CZ15" i="16" s="1"/>
  <c r="DB37" i="16" s="1"/>
  <c r="LL10" i="2"/>
  <c r="CN15" i="16" s="1"/>
  <c r="CP38" i="16" s="1"/>
  <c r="LC10" i="2"/>
  <c r="BW15" i="16" s="1"/>
  <c r="BY38" i="16" s="1"/>
  <c r="KQ10" i="2"/>
  <c r="KN10" i="2"/>
  <c r="KK10" i="2"/>
  <c r="KH10" i="2"/>
  <c r="KE10" i="2"/>
  <c r="KB10" i="2"/>
  <c r="JY10" i="2"/>
  <c r="JV10" i="2"/>
  <c r="JS10" i="2"/>
  <c r="JP10" i="2"/>
  <c r="JM10" i="2"/>
  <c r="JJ10" i="2"/>
  <c r="JG10" i="2"/>
  <c r="JD10" i="2"/>
  <c r="JA10" i="2"/>
  <c r="IX10" i="2"/>
  <c r="IR10" i="2"/>
  <c r="IO10" i="2"/>
  <c r="II10" i="2"/>
  <c r="G15" i="16" s="1"/>
  <c r="HZ10" i="2"/>
  <c r="DA15" i="15" s="1"/>
  <c r="DC38" i="15" s="1"/>
  <c r="HW10" i="2"/>
  <c r="CU38" i="15" s="1"/>
  <c r="HT10" i="2"/>
  <c r="CU37" i="15" s="1"/>
  <c r="HQ10" i="2"/>
  <c r="CU36" i="15" s="1"/>
  <c r="HN10" i="2"/>
  <c r="CU35" i="15" s="1"/>
  <c r="HK10" i="2"/>
  <c r="CU34" i="15" s="1"/>
  <c r="HH10" i="2"/>
  <c r="CU33" i="15" s="1"/>
  <c r="HE10" i="2"/>
  <c r="CU32" i="15" s="1"/>
  <c r="HB10" i="2"/>
  <c r="CU31" i="15" s="1"/>
  <c r="LX9" i="2"/>
  <c r="N18" i="11" s="1"/>
  <c r="II9" i="2"/>
  <c r="G14" i="16" s="1"/>
  <c r="LX8" i="2"/>
  <c r="N17" i="11" s="1"/>
  <c r="LR8" i="2"/>
  <c r="CZ13" i="16" s="1"/>
  <c r="DB35" i="16" s="1"/>
  <c r="LL8" i="2"/>
  <c r="CN13" i="16" s="1"/>
  <c r="CP36" i="16" s="1"/>
  <c r="LC8" i="2"/>
  <c r="BW13" i="16" s="1"/>
  <c r="BY36" i="16" s="1"/>
  <c r="KT8" i="2"/>
  <c r="BG13" i="16" s="1"/>
  <c r="KQ8" i="2"/>
  <c r="AY13" i="16" s="1"/>
  <c r="KN8" i="2"/>
  <c r="AY12" i="16" s="1"/>
  <c r="KK8" i="2"/>
  <c r="AY11" i="16" s="1"/>
  <c r="KH8" i="2"/>
  <c r="AY10" i="16" s="1"/>
  <c r="KE8" i="2"/>
  <c r="AY9" i="16" s="1"/>
  <c r="KB8" i="2"/>
  <c r="AL19" i="16" s="1"/>
  <c r="JY8" i="2"/>
  <c r="AL18" i="16" s="1"/>
  <c r="JV8" i="2"/>
  <c r="AL17" i="16" s="1"/>
  <c r="JS8" i="2"/>
  <c r="AL16" i="16" s="1"/>
  <c r="JP8" i="2"/>
  <c r="AL15" i="16" s="1"/>
  <c r="JM8" i="2"/>
  <c r="AL14" i="16" s="1"/>
  <c r="JJ8" i="2"/>
  <c r="AL13" i="16" s="1"/>
  <c r="JG8" i="2"/>
  <c r="AL12" i="16" s="1"/>
  <c r="JD8" i="2"/>
  <c r="AL11" i="16" s="1"/>
  <c r="JA8" i="2"/>
  <c r="AL10" i="16" s="1"/>
  <c r="IX8" i="2"/>
  <c r="AL9" i="16" s="1"/>
  <c r="IR8" i="2"/>
  <c r="U10" i="16" s="1"/>
  <c r="IO8" i="2"/>
  <c r="U9" i="16" s="1"/>
  <c r="II8" i="2"/>
  <c r="G13" i="16" s="1"/>
  <c r="HZ8" i="2"/>
  <c r="DA13" i="15" s="1"/>
  <c r="HW8" i="2"/>
  <c r="HT8" i="2"/>
  <c r="HQ8" i="2"/>
  <c r="HN8" i="2"/>
  <c r="HK8" i="2"/>
  <c r="HH8" i="2"/>
  <c r="HE8" i="2"/>
  <c r="HB8" i="2"/>
  <c r="MA8" i="2"/>
  <c r="LX7" i="2"/>
  <c r="N16" i="11" s="1"/>
  <c r="LR7" i="2"/>
  <c r="CZ12" i="16" s="1"/>
  <c r="DB34" i="16" s="1"/>
  <c r="LL7" i="2"/>
  <c r="CN12" i="16" s="1"/>
  <c r="CP35" i="16" s="1"/>
  <c r="LC7" i="2"/>
  <c r="BW12" i="16" s="1"/>
  <c r="BY35" i="16" s="1"/>
  <c r="KT7" i="2"/>
  <c r="BG12" i="16" s="1"/>
  <c r="KQ7" i="2"/>
  <c r="AX13" i="16" s="1"/>
  <c r="KN7" i="2"/>
  <c r="AX12" i="16" s="1"/>
  <c r="KK7" i="2"/>
  <c r="AX11" i="16" s="1"/>
  <c r="KH7" i="2"/>
  <c r="AX10" i="16" s="1"/>
  <c r="KE7" i="2"/>
  <c r="AX9" i="16" s="1"/>
  <c r="KB7" i="2"/>
  <c r="AK19" i="16" s="1"/>
  <c r="JY7" i="2"/>
  <c r="AK18" i="16" s="1"/>
  <c r="JV7" i="2"/>
  <c r="AK17" i="16" s="1"/>
  <c r="JS7" i="2"/>
  <c r="AK16" i="16" s="1"/>
  <c r="JP7" i="2"/>
  <c r="AK15" i="16" s="1"/>
  <c r="JM7" i="2"/>
  <c r="AK14" i="16" s="1"/>
  <c r="JJ7" i="2"/>
  <c r="AK13" i="16" s="1"/>
  <c r="JG7" i="2"/>
  <c r="AK12" i="16" s="1"/>
  <c r="JD7" i="2"/>
  <c r="AK11" i="16" s="1"/>
  <c r="JA7" i="2"/>
  <c r="AK10" i="16" s="1"/>
  <c r="IX7" i="2"/>
  <c r="AK9" i="16" s="1"/>
  <c r="IR7" i="2"/>
  <c r="T10" i="16" s="1"/>
  <c r="IO7" i="2"/>
  <c r="T9" i="16" s="1"/>
  <c r="II7" i="2"/>
  <c r="G12" i="16" s="1"/>
  <c r="HZ7" i="2"/>
  <c r="DA12" i="15" s="1"/>
  <c r="DC35" i="15" s="1"/>
  <c r="HW7" i="2"/>
  <c r="HT7" i="2"/>
  <c r="HQ7" i="2"/>
  <c r="HN7" i="2"/>
  <c r="HK7" i="2"/>
  <c r="HH7" i="2"/>
  <c r="HE7" i="2"/>
  <c r="HB7" i="2"/>
  <c r="MA6" i="2"/>
  <c r="LX6" i="2"/>
  <c r="N15" i="11" s="1"/>
  <c r="LR6" i="2"/>
  <c r="CZ11" i="16" s="1"/>
  <c r="DB33" i="16" s="1"/>
  <c r="LL6" i="2"/>
  <c r="CN11" i="16" s="1"/>
  <c r="CP34" i="16" s="1"/>
  <c r="LC6" i="2"/>
  <c r="BW11" i="16" s="1"/>
  <c r="BY34" i="16" s="1"/>
  <c r="KT6" i="2"/>
  <c r="BG11" i="16" s="1"/>
  <c r="KQ6" i="2"/>
  <c r="AW13" i="16" s="1"/>
  <c r="KN6" i="2"/>
  <c r="AW12" i="16" s="1"/>
  <c r="KK6" i="2"/>
  <c r="AW11" i="16" s="1"/>
  <c r="KH6" i="2"/>
  <c r="AW10" i="16" s="1"/>
  <c r="KE6" i="2"/>
  <c r="AW9" i="16" s="1"/>
  <c r="KB6" i="2"/>
  <c r="AJ19" i="16" s="1"/>
  <c r="JY6" i="2"/>
  <c r="AJ18" i="16" s="1"/>
  <c r="JV6" i="2"/>
  <c r="AJ17" i="16" s="1"/>
  <c r="JS6" i="2"/>
  <c r="AJ16" i="16" s="1"/>
  <c r="JP6" i="2"/>
  <c r="AJ15" i="16" s="1"/>
  <c r="JM6" i="2"/>
  <c r="AJ14" i="16" s="1"/>
  <c r="JJ6" i="2"/>
  <c r="AJ13" i="16" s="1"/>
  <c r="JG6" i="2"/>
  <c r="AJ12" i="16" s="1"/>
  <c r="JD6" i="2"/>
  <c r="AJ11" i="16" s="1"/>
  <c r="JA6" i="2"/>
  <c r="AJ10" i="16" s="1"/>
  <c r="IX6" i="2"/>
  <c r="AJ9" i="16" s="1"/>
  <c r="IR6" i="2"/>
  <c r="S10" i="16" s="1"/>
  <c r="IO6" i="2"/>
  <c r="S9" i="16" s="1"/>
  <c r="II6" i="2"/>
  <c r="G11" i="16" s="1"/>
  <c r="HZ6" i="2"/>
  <c r="DA11" i="15" s="1"/>
  <c r="HW6" i="2"/>
  <c r="HT6" i="2"/>
  <c r="HQ6" i="2"/>
  <c r="HN6" i="2"/>
  <c r="HK6" i="2"/>
  <c r="HH6" i="2"/>
  <c r="HE6" i="2"/>
  <c r="HB6" i="2"/>
  <c r="LX5" i="2"/>
  <c r="N14" i="11" s="1"/>
  <c r="LU5" i="2"/>
  <c r="N11" i="11" s="1"/>
  <c r="LR5" i="2"/>
  <c r="CZ10" i="16" s="1"/>
  <c r="DB32" i="16" s="1"/>
  <c r="LO5" i="2"/>
  <c r="CU10" i="16" s="1"/>
  <c r="LL5" i="2"/>
  <c r="CN10" i="16" s="1"/>
  <c r="CP33" i="16" s="1"/>
  <c r="LF5" i="2"/>
  <c r="CD10" i="16" s="1"/>
  <c r="LC5" i="2"/>
  <c r="BW10" i="16" s="1"/>
  <c r="BY33" i="16" s="1"/>
  <c r="KW5" i="2"/>
  <c r="BL10" i="16" s="1"/>
  <c r="KT5" i="2"/>
  <c r="BG10" i="16" s="1"/>
  <c r="KQ5" i="2"/>
  <c r="AV13" i="16" s="1"/>
  <c r="KN5" i="2"/>
  <c r="AV12" i="16" s="1"/>
  <c r="KK5" i="2"/>
  <c r="AV11" i="16" s="1"/>
  <c r="KH5" i="2"/>
  <c r="AV10" i="16" s="1"/>
  <c r="KE5" i="2"/>
  <c r="AV9" i="16" s="1"/>
  <c r="KB5" i="2"/>
  <c r="AI19" i="16" s="1"/>
  <c r="JY5" i="2"/>
  <c r="AI18" i="16" s="1"/>
  <c r="JV5" i="2"/>
  <c r="AI17" i="16" s="1"/>
  <c r="JS5" i="2"/>
  <c r="AI16" i="16" s="1"/>
  <c r="JP5" i="2"/>
  <c r="AI15" i="16" s="1"/>
  <c r="JM5" i="2"/>
  <c r="AI14" i="16" s="1"/>
  <c r="JJ5" i="2"/>
  <c r="AI13" i="16" s="1"/>
  <c r="JG5" i="2"/>
  <c r="AI12" i="16" s="1"/>
  <c r="JD5" i="2"/>
  <c r="AI11" i="16" s="1"/>
  <c r="JA5" i="2"/>
  <c r="AI10" i="16" s="1"/>
  <c r="IX5" i="2"/>
  <c r="AI9" i="16" s="1"/>
  <c r="IU5" i="2"/>
  <c r="AC10" i="16" s="1"/>
  <c r="IR5" i="2"/>
  <c r="R10" i="16" s="1"/>
  <c r="IO5" i="2"/>
  <c r="R9" i="16" s="1"/>
  <c r="IL5" i="2"/>
  <c r="L10" i="16" s="1"/>
  <c r="II5" i="2"/>
  <c r="G10" i="16" s="1"/>
  <c r="HZ5" i="2"/>
  <c r="DA10" i="15" s="1"/>
  <c r="HW5" i="2"/>
  <c r="HT5" i="2"/>
  <c r="HQ5" i="2"/>
  <c r="HN5" i="2"/>
  <c r="HK5" i="2"/>
  <c r="HH5" i="2"/>
  <c r="HE5" i="2"/>
  <c r="HB5" i="2"/>
  <c r="MA4" i="2"/>
  <c r="N20" i="11" s="1"/>
  <c r="LX4" i="2"/>
  <c r="N13" i="11" s="1"/>
  <c r="LU4" i="2"/>
  <c r="N10" i="11" s="1"/>
  <c r="N9" i="11" s="1"/>
  <c r="O10" i="11" s="1"/>
  <c r="LR4" i="2"/>
  <c r="CZ9" i="16" s="1"/>
  <c r="LO4" i="2"/>
  <c r="CU9" i="16" s="1"/>
  <c r="CU11" i="16" s="1"/>
  <c r="LL4" i="2"/>
  <c r="CN9" i="16" s="1"/>
  <c r="LF4" i="2"/>
  <c r="CD9" i="16" s="1"/>
  <c r="LC4" i="2"/>
  <c r="BW9" i="16" s="1"/>
  <c r="KW4" i="2"/>
  <c r="BL9" i="16" s="1"/>
  <c r="KT4" i="2"/>
  <c r="BG9" i="16" s="1"/>
  <c r="KQ4" i="2"/>
  <c r="AU13" i="16" s="1"/>
  <c r="KN4" i="2"/>
  <c r="AU12" i="16" s="1"/>
  <c r="KK4" i="2"/>
  <c r="AU11" i="16" s="1"/>
  <c r="KH4" i="2"/>
  <c r="AU10" i="16" s="1"/>
  <c r="KE4" i="2"/>
  <c r="AU9" i="16" s="1"/>
  <c r="KB4" i="2"/>
  <c r="AH19" i="16" s="1"/>
  <c r="JY4" i="2"/>
  <c r="AH18" i="16" s="1"/>
  <c r="JV4" i="2"/>
  <c r="AH17" i="16" s="1"/>
  <c r="JS4" i="2"/>
  <c r="AH16" i="16" s="1"/>
  <c r="JP4" i="2"/>
  <c r="AH15" i="16" s="1"/>
  <c r="JM4" i="2"/>
  <c r="AH14" i="16" s="1"/>
  <c r="JJ4" i="2"/>
  <c r="AH13" i="16" s="1"/>
  <c r="JG4" i="2"/>
  <c r="AH12" i="16" s="1"/>
  <c r="JD4" i="2"/>
  <c r="AH11" i="16" s="1"/>
  <c r="JA4" i="2"/>
  <c r="AH10" i="16" s="1"/>
  <c r="IX4" i="2"/>
  <c r="AH9" i="16" s="1"/>
  <c r="IU4" i="2"/>
  <c r="AC9" i="16" s="1"/>
  <c r="AC11" i="16" s="1"/>
  <c r="IR4" i="2"/>
  <c r="Q10" i="16" s="1"/>
  <c r="IO4" i="2"/>
  <c r="Q9" i="16" s="1"/>
  <c r="IL4" i="2"/>
  <c r="L9" i="16" s="1"/>
  <c r="L11" i="16" s="1"/>
  <c r="II4" i="2"/>
  <c r="G9" i="16" s="1"/>
  <c r="HZ4" i="2"/>
  <c r="DA9" i="15" s="1"/>
  <c r="HW4" i="2"/>
  <c r="HT4" i="2"/>
  <c r="HQ4" i="2"/>
  <c r="HN4" i="2"/>
  <c r="HK4" i="2"/>
  <c r="HH4" i="2"/>
  <c r="HE4" i="2"/>
  <c r="HB4" i="2"/>
  <c r="KN14" i="2"/>
  <c r="DW14" i="2"/>
  <c r="AY18" i="15" s="1"/>
  <c r="DW13" i="2"/>
  <c r="AY17" i="15" s="1"/>
  <c r="DT13" i="2"/>
  <c r="DQ13" i="2"/>
  <c r="DQ14" i="2" s="1"/>
  <c r="DN13" i="2"/>
  <c r="DK13" i="2"/>
  <c r="DW12" i="2"/>
  <c r="AY16" i="15" s="1"/>
  <c r="DT12" i="2"/>
  <c r="AR21" i="15" s="1"/>
  <c r="AR13" i="15" s="1"/>
  <c r="DQ12" i="2"/>
  <c r="AR20" i="15" s="1"/>
  <c r="AR12" i="15" s="1"/>
  <c r="DN12" i="2"/>
  <c r="AR19" i="15" s="1"/>
  <c r="AR11" i="15" s="1"/>
  <c r="DK12" i="2"/>
  <c r="AR18" i="15" s="1"/>
  <c r="AR10" i="15" s="1"/>
  <c r="DW11" i="2"/>
  <c r="AY15" i="15" s="1"/>
  <c r="DW10" i="2"/>
  <c r="AY14" i="15" s="1"/>
  <c r="DT10" i="2"/>
  <c r="AP21" i="15" s="1"/>
  <c r="AP13" i="15" s="1"/>
  <c r="DQ10" i="2"/>
  <c r="AP20" i="15" s="1"/>
  <c r="AP12" i="15" s="1"/>
  <c r="DN10" i="2"/>
  <c r="AP19" i="15" s="1"/>
  <c r="AP11" i="15" s="1"/>
  <c r="DK10" i="2"/>
  <c r="AP18" i="15" s="1"/>
  <c r="AP10" i="15" s="1"/>
  <c r="DW9" i="2"/>
  <c r="AY13" i="15" s="1"/>
  <c r="EC8" i="2"/>
  <c r="DZ8" i="2"/>
  <c r="BC13" i="15" s="1"/>
  <c r="DW8" i="2"/>
  <c r="AY12" i="15" s="1"/>
  <c r="DT8" i="2"/>
  <c r="AN13" i="15" s="1"/>
  <c r="DQ8" i="2"/>
  <c r="AN12" i="15" s="1"/>
  <c r="DN8" i="2"/>
  <c r="AN11" i="15" s="1"/>
  <c r="DK8" i="2"/>
  <c r="AN10" i="15" s="1"/>
  <c r="DH8" i="2"/>
  <c r="AN9" i="15" s="1"/>
  <c r="ET7" i="2"/>
  <c r="EQ7" i="2"/>
  <c r="EI7" i="2"/>
  <c r="BM12" i="15" s="1"/>
  <c r="EC7" i="2"/>
  <c r="BH12" i="15" s="1"/>
  <c r="DZ7" i="2"/>
  <c r="BC12" i="15" s="1"/>
  <c r="DW7" i="2"/>
  <c r="AY11" i="15" s="1"/>
  <c r="DT7" i="2"/>
  <c r="AM13" i="15" s="1"/>
  <c r="DQ7" i="2"/>
  <c r="AM12" i="15" s="1"/>
  <c r="DN7" i="2"/>
  <c r="AM11" i="15" s="1"/>
  <c r="DK7" i="2"/>
  <c r="AM10" i="15" s="1"/>
  <c r="DH7" i="2"/>
  <c r="AM9" i="15" s="1"/>
  <c r="ET6" i="2"/>
  <c r="EQ6" i="2"/>
  <c r="EI6" i="2"/>
  <c r="BM11" i="15" s="1"/>
  <c r="EC6" i="2"/>
  <c r="BH11" i="15" s="1"/>
  <c r="DZ6" i="2"/>
  <c r="BC11" i="15" s="1"/>
  <c r="DW6" i="2"/>
  <c r="AY10" i="15" s="1"/>
  <c r="DT6" i="2"/>
  <c r="AL13" i="15" s="1"/>
  <c r="DQ6" i="2"/>
  <c r="AL12" i="15" s="1"/>
  <c r="DN6" i="2"/>
  <c r="AL11" i="15" s="1"/>
  <c r="DK6" i="2"/>
  <c r="AL10" i="15" s="1"/>
  <c r="DH6" i="2"/>
  <c r="AL9" i="15" s="1"/>
  <c r="ET5" i="2"/>
  <c r="EQ5" i="2"/>
  <c r="EI5" i="2"/>
  <c r="BM10" i="15" s="1"/>
  <c r="EF5" i="2"/>
  <c r="EC5" i="2"/>
  <c r="BH10" i="15" s="1"/>
  <c r="DZ5" i="2"/>
  <c r="BC10" i="15" s="1"/>
  <c r="DW5" i="2"/>
  <c r="AY9" i="15" s="1"/>
  <c r="DT5" i="2"/>
  <c r="AK13" i="15" s="1"/>
  <c r="DQ5" i="2"/>
  <c r="AK12" i="15" s="1"/>
  <c r="DN5" i="2"/>
  <c r="AK11" i="15" s="1"/>
  <c r="DK5" i="2"/>
  <c r="AK10" i="15" s="1"/>
  <c r="DH5" i="2"/>
  <c r="AK9" i="15" s="1"/>
  <c r="ET4" i="2"/>
  <c r="EQ4" i="2"/>
  <c r="EI4" i="2"/>
  <c r="BM9" i="15" s="1"/>
  <c r="EF4" i="2"/>
  <c r="EG4" i="2" s="1"/>
  <c r="EC4" i="2"/>
  <c r="BH9" i="15" s="1"/>
  <c r="DZ4" i="2"/>
  <c r="BC9" i="15" s="1"/>
  <c r="DW4" i="2"/>
  <c r="DT4" i="2"/>
  <c r="AJ13" i="15" s="1"/>
  <c r="DQ4" i="2"/>
  <c r="AJ12" i="15" s="1"/>
  <c r="DN4" i="2"/>
  <c r="AJ11" i="15" s="1"/>
  <c r="DK4" i="2"/>
  <c r="AJ10" i="15" s="1"/>
  <c r="DH4" i="2"/>
  <c r="AJ9" i="15" s="1"/>
  <c r="DE8" i="2"/>
  <c r="X13" i="15" s="1"/>
  <c r="DE7" i="2"/>
  <c r="X12" i="15" s="1"/>
  <c r="CW6" i="2"/>
  <c r="G11" i="15" s="1"/>
  <c r="CW5" i="2"/>
  <c r="G10" i="15" s="1"/>
  <c r="CW4" i="2"/>
  <c r="G9" i="15" s="1"/>
  <c r="CK13" i="2"/>
  <c r="AP66" i="14" s="1"/>
  <c r="AR89" i="14" s="1"/>
  <c r="CH13" i="2"/>
  <c r="AP18" i="14" s="1"/>
  <c r="AR41" i="14" s="1"/>
  <c r="CK12" i="2"/>
  <c r="AP65" i="14" s="1"/>
  <c r="AR88" i="14" s="1"/>
  <c r="CH12" i="2"/>
  <c r="AP17" i="14" s="1"/>
  <c r="AR40" i="14" s="1"/>
  <c r="CK10" i="2"/>
  <c r="AP63" i="14" s="1"/>
  <c r="AR86" i="14" s="1"/>
  <c r="CH10" i="2"/>
  <c r="AP15" i="14" s="1"/>
  <c r="AR38" i="14" s="1"/>
  <c r="CK8" i="2"/>
  <c r="AP61" i="14" s="1"/>
  <c r="CH8" i="2"/>
  <c r="CQ7" i="2"/>
  <c r="AP156" i="14" s="1"/>
  <c r="AR175" i="14" s="1"/>
  <c r="CK7" i="2"/>
  <c r="AP60" i="14" s="1"/>
  <c r="CH7" i="2"/>
  <c r="CQ6" i="2"/>
  <c r="AP155" i="14" s="1"/>
  <c r="CK6" i="2"/>
  <c r="AP59" i="14" s="1"/>
  <c r="CH6" i="2"/>
  <c r="CQ5" i="2"/>
  <c r="AP154" i="14" s="1"/>
  <c r="CN5" i="2"/>
  <c r="AP106" i="14" s="1"/>
  <c r="CK5" i="2"/>
  <c r="AP58" i="14" s="1"/>
  <c r="CH5" i="2"/>
  <c r="CQ4" i="2"/>
  <c r="AP153" i="14" s="1"/>
  <c r="CN4" i="2"/>
  <c r="AP105" i="14" s="1"/>
  <c r="CK4" i="2"/>
  <c r="AP57" i="14" s="1"/>
  <c r="CH4" i="2"/>
  <c r="CE6" i="2"/>
  <c r="AG13" i="14" s="1"/>
  <c r="Y13" i="15" s="1"/>
  <c r="CE5" i="2"/>
  <c r="AG12" i="14" s="1"/>
  <c r="Y12" i="15" s="1"/>
  <c r="CE4" i="2"/>
  <c r="AG9" i="14" s="1"/>
  <c r="Y9" i="15" s="1"/>
  <c r="Z9" i="15" s="1"/>
  <c r="CB5" i="2"/>
  <c r="AA10" i="14" s="1"/>
  <c r="CB4" i="2"/>
  <c r="AA9" i="14" s="1"/>
  <c r="BV4" i="2"/>
  <c r="T9" i="14" s="1"/>
  <c r="BV5" i="2"/>
  <c r="T10" i="14" s="1"/>
  <c r="BV6" i="2"/>
  <c r="T11" i="14" s="1"/>
  <c r="BV7" i="2"/>
  <c r="T12" i="14" s="1"/>
  <c r="BV8" i="2"/>
  <c r="T13" i="14" s="1"/>
  <c r="BV10" i="2"/>
  <c r="T15" i="14" s="1"/>
  <c r="V38" i="14" s="1"/>
  <c r="BV12" i="2"/>
  <c r="T17" i="14" s="1"/>
  <c r="V40" i="14" s="1"/>
  <c r="BV13" i="2"/>
  <c r="T18" i="14" s="1"/>
  <c r="V41" i="14" s="1"/>
  <c r="BM5" i="2"/>
  <c r="AD10" i="13" s="1"/>
  <c r="BM6" i="2"/>
  <c r="AD11" i="13" s="1"/>
  <c r="BM7" i="2"/>
  <c r="AD12" i="13" s="1"/>
  <c r="BM8" i="2"/>
  <c r="AD13" i="13" s="1"/>
  <c r="BM9" i="2"/>
  <c r="AD14" i="13" s="1"/>
  <c r="BM10" i="2"/>
  <c r="AD15" i="13" s="1"/>
  <c r="BM11" i="2"/>
  <c r="AD16" i="13" s="1"/>
  <c r="BM12" i="2"/>
  <c r="AD17" i="13" s="1"/>
  <c r="BM13" i="2"/>
  <c r="AD18" i="13" s="1"/>
  <c r="BM4" i="2"/>
  <c r="AD9" i="13" s="1"/>
  <c r="BJ5" i="2"/>
  <c r="Y10" i="13" s="1"/>
  <c r="BJ6" i="2"/>
  <c r="Y11" i="13" s="1"/>
  <c r="BJ7" i="2"/>
  <c r="Y12" i="13" s="1"/>
  <c r="BJ8" i="2"/>
  <c r="Y13" i="13" s="1"/>
  <c r="BJ9" i="2"/>
  <c r="Y14" i="13" s="1"/>
  <c r="BJ10" i="2"/>
  <c r="Y15" i="13" s="1"/>
  <c r="BJ11" i="2"/>
  <c r="Y16" i="13" s="1"/>
  <c r="BJ12" i="2"/>
  <c r="Y17" i="13" s="1"/>
  <c r="BJ13" i="2"/>
  <c r="Y18" i="13" s="1"/>
  <c r="BJ4" i="2"/>
  <c r="Y9" i="13" s="1"/>
  <c r="BG5" i="2"/>
  <c r="T10" i="13" s="1"/>
  <c r="BG6" i="2"/>
  <c r="T11" i="13" s="1"/>
  <c r="BG7" i="2"/>
  <c r="T12" i="13" s="1"/>
  <c r="BG4" i="2"/>
  <c r="T9" i="13" s="1"/>
  <c r="BD5" i="2"/>
  <c r="O10" i="13" s="1"/>
  <c r="BD6" i="2"/>
  <c r="O11" i="13" s="1"/>
  <c r="BD7" i="2"/>
  <c r="O12" i="13" s="1"/>
  <c r="BD4" i="2"/>
  <c r="O9" i="13" s="1"/>
  <c r="BA6" i="2"/>
  <c r="F11" i="13" s="1"/>
  <c r="J11" i="13" s="1"/>
  <c r="BA5" i="2"/>
  <c r="F10" i="13" s="1"/>
  <c r="BA4" i="2"/>
  <c r="F9" i="13" s="1"/>
  <c r="AX13" i="2"/>
  <c r="AX12" i="2"/>
  <c r="AX10" i="2"/>
  <c r="BM17" i="12" s="1"/>
  <c r="AX8" i="2"/>
  <c r="AX7" i="2"/>
  <c r="AX6" i="2"/>
  <c r="AX5" i="2"/>
  <c r="AX4" i="2"/>
  <c r="AX14" i="2"/>
  <c r="BD13" i="15" l="1"/>
  <c r="V9" i="16"/>
  <c r="P11" i="13"/>
  <c r="U11" i="13"/>
  <c r="AM10" i="16"/>
  <c r="AM14" i="16"/>
  <c r="AM18" i="16"/>
  <c r="AZ11" i="16"/>
  <c r="BS22" i="11"/>
  <c r="BS32" i="11" s="1"/>
  <c r="V10" i="16"/>
  <c r="AO12" i="15"/>
  <c r="BH14" i="15"/>
  <c r="BH13" i="15" s="1"/>
  <c r="J10" i="13"/>
  <c r="AE9" i="13"/>
  <c r="AD20" i="13"/>
  <c r="AE19" i="13"/>
  <c r="AE11" i="13"/>
  <c r="AR81" i="14"/>
  <c r="AQ58" i="14"/>
  <c r="AS81" i="14" s="1"/>
  <c r="U10" i="13"/>
  <c r="AE18" i="13"/>
  <c r="AE10" i="13"/>
  <c r="V32" i="14"/>
  <c r="T14" i="14"/>
  <c r="U9" i="14"/>
  <c r="O13" i="13"/>
  <c r="P9" i="13"/>
  <c r="AE13" i="13"/>
  <c r="AC32" i="14"/>
  <c r="AA11" i="14"/>
  <c r="AB9" i="14"/>
  <c r="AP157" i="14"/>
  <c r="AQ156" i="14" s="1"/>
  <c r="AS175" i="14" s="1"/>
  <c r="AR172" i="14"/>
  <c r="AR173" i="14"/>
  <c r="I35" i="15"/>
  <c r="H10" i="15"/>
  <c r="J35" i="15" s="1"/>
  <c r="AO13" i="15"/>
  <c r="DC32" i="15"/>
  <c r="DA14" i="15"/>
  <c r="DB12" i="15" s="1"/>
  <c r="DD35" i="15" s="1"/>
  <c r="AM15" i="16"/>
  <c r="AZ12" i="16"/>
  <c r="DB31" i="16"/>
  <c r="DB36" i="16" s="1"/>
  <c r="CZ14" i="16"/>
  <c r="W9" i="16"/>
  <c r="W14" i="16"/>
  <c r="AN15" i="16"/>
  <c r="AN29" i="16"/>
  <c r="BA12" i="16"/>
  <c r="BA20" i="16"/>
  <c r="AP27" i="16"/>
  <c r="AP13" i="16"/>
  <c r="BC10" i="16"/>
  <c r="BC18" i="16"/>
  <c r="BS24" i="11"/>
  <c r="BS34" i="11" s="1"/>
  <c r="BH11" i="12"/>
  <c r="BH17" i="12"/>
  <c r="BL11" i="12"/>
  <c r="BL17" i="12"/>
  <c r="J9" i="13"/>
  <c r="F12" i="13"/>
  <c r="G11" i="13" s="1"/>
  <c r="P12" i="13"/>
  <c r="U12" i="13"/>
  <c r="AE16" i="13"/>
  <c r="AE12" i="13"/>
  <c r="V34" i="14"/>
  <c r="U11" i="14"/>
  <c r="W34" i="14" s="1"/>
  <c r="AC33" i="14"/>
  <c r="AB10" i="14"/>
  <c r="AD33" i="14" s="1"/>
  <c r="AQ60" i="14"/>
  <c r="AS83" i="14" s="1"/>
  <c r="AR83" i="14"/>
  <c r="G42" i="15"/>
  <c r="H11" i="15"/>
  <c r="J36" i="15" s="1"/>
  <c r="I36" i="15"/>
  <c r="AO10" i="15"/>
  <c r="BM13" i="15"/>
  <c r="BN11" i="15" s="1"/>
  <c r="AY19" i="15"/>
  <c r="AZ9" i="15" s="1"/>
  <c r="BD12" i="15"/>
  <c r="G16" i="16"/>
  <c r="AM12" i="16"/>
  <c r="AM16" i="16"/>
  <c r="AZ9" i="16"/>
  <c r="AZ13" i="16"/>
  <c r="CI14" i="16"/>
  <c r="CD11" i="16"/>
  <c r="O11" i="11"/>
  <c r="O9" i="11" s="1"/>
  <c r="W10" i="16"/>
  <c r="W15" i="16"/>
  <c r="AN12" i="16"/>
  <c r="AN26" i="16"/>
  <c r="AN16" i="16"/>
  <c r="AN30" i="16"/>
  <c r="BA9" i="16"/>
  <c r="BA17" i="16"/>
  <c r="BA13" i="16"/>
  <c r="BA21" i="16"/>
  <c r="AP10" i="16"/>
  <c r="AP24" i="16"/>
  <c r="AP28" i="16"/>
  <c r="AP14" i="16"/>
  <c r="AP18" i="16"/>
  <c r="AP32" i="16"/>
  <c r="BC11" i="16"/>
  <c r="BC19" i="16"/>
  <c r="BT31" i="11"/>
  <c r="BS9" i="11"/>
  <c r="BR16" i="11"/>
  <c r="BS26" i="11"/>
  <c r="BS36" i="11" s="1"/>
  <c r="Y35" i="15"/>
  <c r="Z12" i="15"/>
  <c r="AO11" i="15"/>
  <c r="BC14" i="15"/>
  <c r="BD9" i="15"/>
  <c r="BD10" i="15"/>
  <c r="BD11" i="15"/>
  <c r="AM9" i="16"/>
  <c r="AM13" i="16"/>
  <c r="AM17" i="16"/>
  <c r="AZ10" i="16"/>
  <c r="BG14" i="16"/>
  <c r="CP32" i="16"/>
  <c r="CP37" i="16" s="1"/>
  <c r="CN14" i="16"/>
  <c r="N12" i="11"/>
  <c r="AN9" i="16"/>
  <c r="AN23" i="16"/>
  <c r="AN13" i="16"/>
  <c r="AN27" i="16"/>
  <c r="AN17" i="16"/>
  <c r="AN31" i="16"/>
  <c r="BA10" i="16"/>
  <c r="BA18" i="16"/>
  <c r="Y9" i="16"/>
  <c r="Y14" i="16"/>
  <c r="AP11" i="16"/>
  <c r="AP25" i="16"/>
  <c r="AP29" i="16"/>
  <c r="AP15" i="16"/>
  <c r="AP19" i="16"/>
  <c r="AP33" i="16"/>
  <c r="BC20" i="16"/>
  <c r="BC12" i="16"/>
  <c r="BS21" i="11"/>
  <c r="BR28" i="11"/>
  <c r="BS15" i="11"/>
  <c r="BR37" i="11" s="1"/>
  <c r="BT32" i="11"/>
  <c r="BT35" i="11"/>
  <c r="BS13" i="11"/>
  <c r="BR35" i="11" s="1"/>
  <c r="BT37" i="11"/>
  <c r="AP107" i="14"/>
  <c r="AQ106" i="14" s="1"/>
  <c r="AR174" i="14"/>
  <c r="I34" i="15"/>
  <c r="G43" i="15"/>
  <c r="H43" i="15" s="1"/>
  <c r="H9" i="15"/>
  <c r="G12" i="15"/>
  <c r="Y36" i="15"/>
  <c r="Z13" i="15"/>
  <c r="BQ14" i="16"/>
  <c r="BQ23" i="16" s="1"/>
  <c r="BL11" i="16"/>
  <c r="DC34" i="15"/>
  <c r="DC36" i="15"/>
  <c r="DB13" i="15"/>
  <c r="DD36" i="15" s="1"/>
  <c r="AN10" i="16"/>
  <c r="AN24" i="16"/>
  <c r="AN14" i="16"/>
  <c r="AN28" i="16"/>
  <c r="AN18" i="16"/>
  <c r="AN32" i="16"/>
  <c r="BA11" i="16"/>
  <c r="BA19" i="16"/>
  <c r="Y10" i="16"/>
  <c r="Y15" i="16"/>
  <c r="AP12" i="16"/>
  <c r="AP26" i="16"/>
  <c r="AP16" i="16"/>
  <c r="AP30" i="16"/>
  <c r="BC9" i="16"/>
  <c r="BC17" i="16"/>
  <c r="BC13" i="16"/>
  <c r="BC21" i="16"/>
  <c r="BT33" i="11"/>
  <c r="BS11" i="11"/>
  <c r="BR33" i="11" s="1"/>
  <c r="BS10" i="11"/>
  <c r="BR32" i="11" s="1"/>
  <c r="BT34" i="11"/>
  <c r="BS12" i="11"/>
  <c r="BR34" i="11" s="1"/>
  <c r="BS25" i="11"/>
  <c r="BS35" i="11" s="1"/>
  <c r="BS27" i="11"/>
  <c r="BS37" i="11" s="1"/>
  <c r="BI11" i="12"/>
  <c r="BI17" i="12"/>
  <c r="AE15" i="13"/>
  <c r="V33" i="14"/>
  <c r="U10" i="14"/>
  <c r="W33" i="14" s="1"/>
  <c r="AR80" i="14"/>
  <c r="AP62" i="14"/>
  <c r="AQ57" i="14"/>
  <c r="AR82" i="14"/>
  <c r="AQ59" i="14"/>
  <c r="AS82" i="14" s="1"/>
  <c r="BJ11" i="12"/>
  <c r="BJ17" i="12"/>
  <c r="P10" i="13"/>
  <c r="AE14" i="13"/>
  <c r="V36" i="14"/>
  <c r="U13" i="14"/>
  <c r="W36" i="14" s="1"/>
  <c r="BK11" i="12"/>
  <c r="BK17" i="12"/>
  <c r="U9" i="13"/>
  <c r="T13" i="13"/>
  <c r="AE17" i="13"/>
  <c r="V35" i="14"/>
  <c r="U12" i="14"/>
  <c r="W35" i="14" s="1"/>
  <c r="AR84" i="14"/>
  <c r="AQ61" i="14"/>
  <c r="AS84" i="14" s="1"/>
  <c r="AO9" i="15"/>
  <c r="AM11" i="16"/>
  <c r="AM19" i="16"/>
  <c r="BY32" i="16"/>
  <c r="BY37" i="16" s="1"/>
  <c r="BW14" i="16"/>
  <c r="DC33" i="15"/>
  <c r="AN11" i="16"/>
  <c r="AN25" i="16"/>
  <c r="AN19" i="16"/>
  <c r="AN33" i="16"/>
  <c r="AP9" i="16"/>
  <c r="AP23" i="16"/>
  <c r="AP17" i="16"/>
  <c r="AP31" i="16"/>
  <c r="LR14" i="2"/>
  <c r="CZ18" i="16" s="1"/>
  <c r="DB40" i="16" s="1"/>
  <c r="CZ17" i="16"/>
  <c r="DB39" i="16" s="1"/>
  <c r="BS23" i="11"/>
  <c r="BS33" i="11" s="1"/>
  <c r="BS14" i="11"/>
  <c r="BR36" i="11" s="1"/>
  <c r="BT36" i="11"/>
  <c r="G78" i="15"/>
  <c r="H71" i="15" s="1"/>
  <c r="I54" i="15"/>
  <c r="G63" i="15"/>
  <c r="I63" i="15" s="1"/>
  <c r="I57" i="15"/>
  <c r="BX20" i="11"/>
  <c r="BW28" i="11" s="1"/>
  <c r="BX13" i="11"/>
  <c r="BW35" i="11" s="1"/>
  <c r="BX10" i="11"/>
  <c r="BW38" i="11" s="1"/>
  <c r="BX14" i="11"/>
  <c r="BW34" i="11" s="1"/>
  <c r="J63" i="13"/>
  <c r="J58" i="13"/>
  <c r="K57" i="13" s="1"/>
  <c r="I62" i="15"/>
  <c r="I56" i="15"/>
  <c r="BX15" i="11"/>
  <c r="BW33" i="11" s="1"/>
  <c r="BX22" i="11"/>
  <c r="BW26" i="11" s="1"/>
  <c r="BX19" i="11"/>
  <c r="BW29" i="11" s="1"/>
  <c r="BX16" i="11"/>
  <c r="BX21" i="11"/>
  <c r="BW27" i="11" s="1"/>
  <c r="BW61" i="11"/>
  <c r="BX47" i="11" s="1"/>
  <c r="BW77" i="11" s="1"/>
  <c r="J65" i="13"/>
  <c r="I55" i="15"/>
  <c r="I59" i="15"/>
  <c r="BX11" i="11"/>
  <c r="BW37" i="11" s="1"/>
  <c r="J64" i="13"/>
  <c r="I58" i="15"/>
  <c r="I60" i="15"/>
  <c r="I61" i="15"/>
  <c r="BX18" i="11"/>
  <c r="BW30" i="11" s="1"/>
  <c r="BW23" i="11"/>
  <c r="BX9" i="11"/>
  <c r="BW39" i="11" s="1"/>
  <c r="BX12" i="11"/>
  <c r="BW36" i="11" s="1"/>
  <c r="BV15" i="2"/>
  <c r="T20" i="14" s="1"/>
  <c r="OI12" i="2"/>
  <c r="OI7" i="2"/>
  <c r="OI4" i="2"/>
  <c r="OI17" i="2"/>
  <c r="OI8" i="2"/>
  <c r="OI14" i="2"/>
  <c r="OI13" i="2"/>
  <c r="OI15" i="2"/>
  <c r="OI10" i="2"/>
  <c r="OI9" i="2"/>
  <c r="OI16" i="2"/>
  <c r="OI11" i="2"/>
  <c r="OI6" i="2"/>
  <c r="OI5" i="2"/>
  <c r="LP4" i="2"/>
  <c r="CV9" i="16" s="1"/>
  <c r="MA9" i="2"/>
  <c r="N22" i="11" s="1"/>
  <c r="LL14" i="2"/>
  <c r="CN18" i="16" s="1"/>
  <c r="CP41" i="16" s="1"/>
  <c r="LL15" i="2"/>
  <c r="CN19" i="16" s="1"/>
  <c r="CP42" i="16" s="1"/>
  <c r="LR15" i="2"/>
  <c r="CZ19" i="16" s="1"/>
  <c r="DB41" i="16" s="1"/>
  <c r="LV5" i="2"/>
  <c r="LA7" i="2"/>
  <c r="BR12" i="16" s="1"/>
  <c r="BR21" i="16" s="1"/>
  <c r="LA5" i="2"/>
  <c r="BR10" i="16" s="1"/>
  <c r="BR19" i="16" s="1"/>
  <c r="LA4" i="2"/>
  <c r="BR9" i="16" s="1"/>
  <c r="BR18" i="16" s="1"/>
  <c r="LA6" i="2"/>
  <c r="BR11" i="16" s="1"/>
  <c r="BR20" i="16" s="1"/>
  <c r="LA8" i="2"/>
  <c r="BR13" i="16" s="1"/>
  <c r="BR22" i="16" s="1"/>
  <c r="LJ5" i="2"/>
  <c r="LC14" i="2"/>
  <c r="BW18" i="16" s="1"/>
  <c r="BY41" i="16" s="1"/>
  <c r="LC15" i="2"/>
  <c r="BW19" i="16" s="1"/>
  <c r="BY42" i="16" s="1"/>
  <c r="LG5" i="2"/>
  <c r="CE10" i="16" s="1"/>
  <c r="LJ6" i="2"/>
  <c r="LJ7" i="2"/>
  <c r="LJ8" i="2"/>
  <c r="LJ4" i="2"/>
  <c r="IR14" i="2"/>
  <c r="IR15" i="2"/>
  <c r="JG14" i="2"/>
  <c r="JG15" i="2"/>
  <c r="JS14" i="2"/>
  <c r="JS15" i="2"/>
  <c r="KE14" i="2"/>
  <c r="KE15" i="2"/>
  <c r="KQ14" i="2"/>
  <c r="KQ15" i="2"/>
  <c r="IG14" i="2"/>
  <c r="IF15" i="2"/>
  <c r="DM20" i="15" s="1"/>
  <c r="DN20" i="15" s="1"/>
  <c r="IV4" i="2"/>
  <c r="AD9" i="16" s="1"/>
  <c r="IX14" i="2"/>
  <c r="IX15" i="2"/>
  <c r="JJ14" i="2"/>
  <c r="JJ15" i="2"/>
  <c r="JV14" i="2"/>
  <c r="JV15" i="2"/>
  <c r="KH14" i="2"/>
  <c r="KH15" i="2"/>
  <c r="IM4" i="2"/>
  <c r="M9" i="16" s="1"/>
  <c r="JA14" i="2"/>
  <c r="JA15" i="2"/>
  <c r="JM14" i="2"/>
  <c r="JM15" i="2"/>
  <c r="JY14" i="2"/>
  <c r="JY15" i="2"/>
  <c r="KK14" i="2"/>
  <c r="KK15" i="2"/>
  <c r="KX4" i="2"/>
  <c r="BM9" i="16" s="1"/>
  <c r="IO15" i="2"/>
  <c r="JD15" i="2"/>
  <c r="JP15" i="2"/>
  <c r="KB15" i="2"/>
  <c r="KN15" i="2"/>
  <c r="CK14" i="2"/>
  <c r="AP67" i="14" s="1"/>
  <c r="AR90" i="14" s="1"/>
  <c r="DQ15" i="2"/>
  <c r="AS20" i="15" s="1"/>
  <c r="AS12" i="15" s="1"/>
  <c r="HE14" i="2"/>
  <c r="HE15" i="2"/>
  <c r="CX32" i="15" s="1"/>
  <c r="HQ14" i="2"/>
  <c r="HQ15" i="2"/>
  <c r="CX36" i="15" s="1"/>
  <c r="DH14" i="2"/>
  <c r="DH15" i="2"/>
  <c r="AS17" i="15" s="1"/>
  <c r="AS9" i="15" s="1"/>
  <c r="DT14" i="2"/>
  <c r="DT15" i="2"/>
  <c r="AS21" i="15" s="1"/>
  <c r="AS13" i="15" s="1"/>
  <c r="HH14" i="2"/>
  <c r="HH15" i="2"/>
  <c r="CX33" i="15" s="1"/>
  <c r="HT14" i="2"/>
  <c r="HT15" i="2"/>
  <c r="CX37" i="15" s="1"/>
  <c r="DK14" i="2"/>
  <c r="DK15" i="2"/>
  <c r="AS18" i="15" s="1"/>
  <c r="AS10" i="15" s="1"/>
  <c r="HK15" i="2"/>
  <c r="CX34" i="15" s="1"/>
  <c r="HW15" i="2"/>
  <c r="CX38" i="15" s="1"/>
  <c r="CH14" i="2"/>
  <c r="AP19" i="14" s="1"/>
  <c r="AR42" i="14" s="1"/>
  <c r="DN14" i="2"/>
  <c r="DN15" i="2"/>
  <c r="AS19" i="15" s="1"/>
  <c r="AS11" i="15" s="1"/>
  <c r="HB14" i="2"/>
  <c r="HB15" i="2"/>
  <c r="CX31" i="15" s="1"/>
  <c r="HN14" i="2"/>
  <c r="HN15" i="2"/>
  <c r="CX35" i="15" s="1"/>
  <c r="HZ14" i="2"/>
  <c r="DA18" i="15" s="1"/>
  <c r="DC41" i="15" s="1"/>
  <c r="HZ15" i="2"/>
  <c r="DA19" i="15" s="1"/>
  <c r="DC42" i="15" s="1"/>
  <c r="DE10" i="2"/>
  <c r="X15" i="15" s="1"/>
  <c r="CE8" i="2"/>
  <c r="AG15" i="14" s="1"/>
  <c r="Y15" i="15" s="1"/>
  <c r="BV14" i="2"/>
  <c r="T19" i="14" s="1"/>
  <c r="V42" i="14" s="1"/>
  <c r="BJ14" i="2"/>
  <c r="BK8" i="2" s="1"/>
  <c r="BN14" i="2"/>
  <c r="NL7" i="2"/>
  <c r="CC5" i="2"/>
  <c r="JB5" i="2"/>
  <c r="AI24" i="16" s="1"/>
  <c r="OB4" i="2"/>
  <c r="CI4" i="2"/>
  <c r="IS6" i="2"/>
  <c r="S15" i="16" s="1"/>
  <c r="LG4" i="2"/>
  <c r="CE9" i="16" s="1"/>
  <c r="HU6" i="2"/>
  <c r="CQ37" i="15" s="1"/>
  <c r="HU5" i="2"/>
  <c r="CP37" i="15" s="1"/>
  <c r="KL7" i="2"/>
  <c r="AX19" i="16" s="1"/>
  <c r="LS6" i="2"/>
  <c r="DA11" i="16" s="1"/>
  <c r="DC33" i="16" s="1"/>
  <c r="IM5" i="2"/>
  <c r="M10" i="16" s="1"/>
  <c r="LD4" i="2"/>
  <c r="BX9" i="16" s="1"/>
  <c r="MQ6" i="2"/>
  <c r="NC6" i="2"/>
  <c r="CX5" i="2"/>
  <c r="LR11" i="2"/>
  <c r="CZ16" i="16" s="1"/>
  <c r="DB38" i="16" s="1"/>
  <c r="HL6" i="2"/>
  <c r="CQ34" i="15" s="1"/>
  <c r="HX4" i="2"/>
  <c r="CO38" i="15" s="1"/>
  <c r="IJ4" i="2"/>
  <c r="H9" i="16" s="1"/>
  <c r="JT4" i="2"/>
  <c r="AH30" i="16" s="1"/>
  <c r="KF4" i="2"/>
  <c r="AU17" i="16" s="1"/>
  <c r="KR4" i="2"/>
  <c r="AU21" i="16" s="1"/>
  <c r="LS5" i="2"/>
  <c r="DA10" i="16" s="1"/>
  <c r="DC32" i="16" s="1"/>
  <c r="LS7" i="2"/>
  <c r="DA12" i="16" s="1"/>
  <c r="DC34" i="16" s="1"/>
  <c r="LS4" i="2"/>
  <c r="DA9" i="16" s="1"/>
  <c r="MT5" i="2"/>
  <c r="HF6" i="2"/>
  <c r="CQ32" i="15" s="1"/>
  <c r="HR8" i="2"/>
  <c r="CS36" i="15" s="1"/>
  <c r="JB7" i="2"/>
  <c r="AK24" i="16" s="1"/>
  <c r="JN7" i="2"/>
  <c r="AK28" i="16" s="1"/>
  <c r="JZ7" i="2"/>
  <c r="AK32" i="16" s="1"/>
  <c r="KL6" i="2"/>
  <c r="AW19" i="16" s="1"/>
  <c r="ER6" i="2"/>
  <c r="HF5" i="2"/>
  <c r="CP32" i="15" s="1"/>
  <c r="KX5" i="2"/>
  <c r="BM10" i="16" s="1"/>
  <c r="CL7" i="2"/>
  <c r="JZ6" i="2"/>
  <c r="AJ32" i="16" s="1"/>
  <c r="MW5" i="2"/>
  <c r="NI9" i="2"/>
  <c r="NU4" i="2"/>
  <c r="NF5" i="2"/>
  <c r="EG5" i="2"/>
  <c r="DO4" i="2"/>
  <c r="AJ19" i="15" s="1"/>
  <c r="EA6" i="2"/>
  <c r="ED5" i="2"/>
  <c r="HR5" i="2"/>
  <c r="CP36" i="15" s="1"/>
  <c r="JN5" i="2"/>
  <c r="AI28" i="16" s="1"/>
  <c r="JB6" i="2"/>
  <c r="AJ24" i="16" s="1"/>
  <c r="CX6" i="2"/>
  <c r="JN6" i="2"/>
  <c r="AJ28" i="16" s="1"/>
  <c r="HC5" i="2"/>
  <c r="CP31" i="15" s="1"/>
  <c r="HO7" i="2"/>
  <c r="CR35" i="15" s="1"/>
  <c r="IA6" i="2"/>
  <c r="IP5" i="2"/>
  <c r="R14" i="16" s="1"/>
  <c r="JQ5" i="2"/>
  <c r="AI29" i="16" s="1"/>
  <c r="KN11" i="2"/>
  <c r="HI5" i="2"/>
  <c r="CP33" i="15" s="1"/>
  <c r="HU7" i="2"/>
  <c r="CR37" i="15" s="1"/>
  <c r="IY6" i="2"/>
  <c r="AJ23" i="16" s="1"/>
  <c r="JK7" i="2"/>
  <c r="AK27" i="16" s="1"/>
  <c r="JW5" i="2"/>
  <c r="AI31" i="16" s="1"/>
  <c r="KI4" i="2"/>
  <c r="AU18" i="16" s="1"/>
  <c r="KU5" i="2"/>
  <c r="BH10" i="16" s="1"/>
  <c r="LL11" i="2"/>
  <c r="CN16" i="16" s="1"/>
  <c r="CP39" i="16" s="1"/>
  <c r="JE8" i="2"/>
  <c r="AL25" i="16" s="1"/>
  <c r="CO4" i="2"/>
  <c r="CR5" i="2"/>
  <c r="LY8" i="2"/>
  <c r="O17" i="11" s="1"/>
  <c r="BB5" i="2"/>
  <c r="CC4" i="2"/>
  <c r="CL8" i="2"/>
  <c r="DQ11" i="2"/>
  <c r="AQ20" i="15" s="1"/>
  <c r="AQ12" i="15" s="1"/>
  <c r="ED7" i="2"/>
  <c r="EU6" i="2"/>
  <c r="DU7" i="2"/>
  <c r="AM21" i="15" s="1"/>
  <c r="HU4" i="2"/>
  <c r="CO37" i="15" s="1"/>
  <c r="JZ5" i="2"/>
  <c r="AI32" i="16" s="1"/>
  <c r="NO6" i="2"/>
  <c r="OB5" i="2"/>
  <c r="MW4" i="2"/>
  <c r="NU10" i="2"/>
  <c r="NR5" i="2"/>
  <c r="CX4" i="2"/>
  <c r="CI5" i="2"/>
  <c r="CI6" i="2"/>
  <c r="CK11" i="2"/>
  <c r="AP64" i="14" s="1"/>
  <c r="AR87" i="14" s="1"/>
  <c r="DI4" i="2"/>
  <c r="AJ17" i="15" s="1"/>
  <c r="DL7" i="2"/>
  <c r="AM18" i="15" s="1"/>
  <c r="ER7" i="2"/>
  <c r="DO5" i="2"/>
  <c r="AK19" i="15" s="1"/>
  <c r="EA7" i="2"/>
  <c r="IS5" i="2"/>
  <c r="R15" i="16" s="1"/>
  <c r="KU6" i="2"/>
  <c r="BH11" i="16" s="1"/>
  <c r="KI7" i="2"/>
  <c r="AX18" i="16" s="1"/>
  <c r="MT4" i="2"/>
  <c r="NF4" i="2"/>
  <c r="JP11" i="2"/>
  <c r="KB11" i="2"/>
  <c r="KO5" i="2"/>
  <c r="AV20" i="16" s="1"/>
  <c r="LM5" i="2"/>
  <c r="CO10" i="16" s="1"/>
  <c r="CQ33" i="16" s="1"/>
  <c r="NI4" i="2"/>
  <c r="CL6" i="2"/>
  <c r="DN11" i="2"/>
  <c r="AQ19" i="15" s="1"/>
  <c r="AQ11" i="15" s="1"/>
  <c r="ER4" i="2"/>
  <c r="EA5" i="2"/>
  <c r="JK5" i="2"/>
  <c r="AI27" i="16" s="1"/>
  <c r="IJ6" i="2"/>
  <c r="H11" i="16" s="1"/>
  <c r="JW6" i="2"/>
  <c r="AJ31" i="16" s="1"/>
  <c r="IP7" i="2"/>
  <c r="T14" i="16" s="1"/>
  <c r="HC7" i="2"/>
  <c r="CR31" i="15" s="1"/>
  <c r="HO4" i="2"/>
  <c r="CO35" i="15" s="1"/>
  <c r="IA7" i="2"/>
  <c r="IY7" i="2"/>
  <c r="AK23" i="16" s="1"/>
  <c r="JK6" i="2"/>
  <c r="AJ27" i="16" s="1"/>
  <c r="JW7" i="2"/>
  <c r="AK31" i="16" s="1"/>
  <c r="KI6" i="2"/>
  <c r="AW18" i="16" s="1"/>
  <c r="KU7" i="2"/>
  <c r="BH12" i="16" s="1"/>
  <c r="HO5" i="2"/>
  <c r="CP35" i="15" s="1"/>
  <c r="IY5" i="2"/>
  <c r="AI23" i="16" s="1"/>
  <c r="MW6" i="2"/>
  <c r="NI8" i="2"/>
  <c r="NR4" i="2"/>
  <c r="MQ5" i="2"/>
  <c r="NC5" i="2"/>
  <c r="NO5" i="2"/>
  <c r="OE5" i="2"/>
  <c r="MZ6" i="2"/>
  <c r="NL6" i="2"/>
  <c r="NI7" i="2"/>
  <c r="NU7" i="2"/>
  <c r="NU8" i="2"/>
  <c r="NR10" i="2"/>
  <c r="EA4" i="2"/>
  <c r="HI7" i="2"/>
  <c r="CR33" i="15" s="1"/>
  <c r="LM7" i="2"/>
  <c r="CO12" i="16" s="1"/>
  <c r="CQ35" i="16" s="1"/>
  <c r="KL5" i="2"/>
  <c r="AV19" i="16" s="1"/>
  <c r="DI5" i="2"/>
  <c r="AK17" i="15" s="1"/>
  <c r="DX10" i="2"/>
  <c r="JH5" i="2"/>
  <c r="AI26" i="16" s="1"/>
  <c r="BV11" i="2"/>
  <c r="T16" i="14" s="1"/>
  <c r="V39" i="14" s="1"/>
  <c r="BB4" i="2"/>
  <c r="CO5" i="2"/>
  <c r="CI7" i="2"/>
  <c r="ER5" i="2"/>
  <c r="DR5" i="2"/>
  <c r="AK20" i="15" s="1"/>
  <c r="EU5" i="2"/>
  <c r="DI7" i="2"/>
  <c r="AM17" i="15" s="1"/>
  <c r="EJ7" i="2"/>
  <c r="DL8" i="2"/>
  <c r="AN18" i="15" s="1"/>
  <c r="DX7" i="2"/>
  <c r="DX12" i="2"/>
  <c r="HC6" i="2"/>
  <c r="CQ31" i="15" s="1"/>
  <c r="MZ4" i="2"/>
  <c r="NL8" i="2"/>
  <c r="NL4" i="2"/>
  <c r="NI5" i="2"/>
  <c r="NU5" i="2"/>
  <c r="MT6" i="2"/>
  <c r="NF6" i="2"/>
  <c r="NR6" i="2"/>
  <c r="NO7" i="2"/>
  <c r="NR9" i="2"/>
  <c r="NR11" i="2"/>
  <c r="MQ4" i="2"/>
  <c r="NO4" i="2"/>
  <c r="MZ5" i="2"/>
  <c r="NL5" i="2"/>
  <c r="NI6" i="2"/>
  <c r="NU6" i="2"/>
  <c r="NR7" i="2"/>
  <c r="NR8" i="2"/>
  <c r="NU11" i="2"/>
  <c r="NC4" i="2"/>
  <c r="OE4" i="2"/>
  <c r="NU9" i="2"/>
  <c r="HL4" i="2"/>
  <c r="CO34" i="15" s="1"/>
  <c r="HC4" i="2"/>
  <c r="CO31" i="15" s="1"/>
  <c r="HN11" i="2"/>
  <c r="CV35" i="15" s="1"/>
  <c r="IA4" i="2"/>
  <c r="IA5" i="2"/>
  <c r="KI5" i="2"/>
  <c r="AV18" i="16" s="1"/>
  <c r="JK4" i="2"/>
  <c r="AH27" i="16" s="1"/>
  <c r="JE5" i="2"/>
  <c r="AI25" i="16" s="1"/>
  <c r="KC5" i="2"/>
  <c r="AI33" i="16" s="1"/>
  <c r="HL7" i="2"/>
  <c r="CR34" i="15" s="1"/>
  <c r="IJ7" i="2"/>
  <c r="H12" i="16" s="1"/>
  <c r="JE7" i="2"/>
  <c r="AK25" i="16" s="1"/>
  <c r="KC7" i="2"/>
  <c r="AK33" i="16" s="1"/>
  <c r="LD7" i="2"/>
  <c r="BX12" i="16" s="1"/>
  <c r="BZ35" i="16" s="1"/>
  <c r="HI8" i="2"/>
  <c r="CS33" i="15" s="1"/>
  <c r="IS8" i="2"/>
  <c r="U15" i="16" s="1"/>
  <c r="JK8" i="2"/>
  <c r="AL27" i="16" s="1"/>
  <c r="JT8" i="2"/>
  <c r="AL30" i="16" s="1"/>
  <c r="KI8" i="2"/>
  <c r="AY18" i="16" s="1"/>
  <c r="KR8" i="2"/>
  <c r="AY21" i="16" s="1"/>
  <c r="LM8" i="2"/>
  <c r="CO13" i="16" s="1"/>
  <c r="CQ36" i="16" s="1"/>
  <c r="IJ9" i="2"/>
  <c r="H14" i="16" s="1"/>
  <c r="IJ10" i="2"/>
  <c r="H15" i="16" s="1"/>
  <c r="HT11" i="2"/>
  <c r="CV37" i="15" s="1"/>
  <c r="JJ11" i="2"/>
  <c r="KH11" i="2"/>
  <c r="HB11" i="2"/>
  <c r="CV31" i="15" s="1"/>
  <c r="HI4" i="2"/>
  <c r="CO33" i="15" s="1"/>
  <c r="HQ11" i="2"/>
  <c r="CV36" i="15" s="1"/>
  <c r="HR4" i="2"/>
  <c r="CO36" i="15" s="1"/>
  <c r="HZ11" i="2"/>
  <c r="DA16" i="15" s="1"/>
  <c r="DC39" i="15" s="1"/>
  <c r="IO11" i="2"/>
  <c r="IP4" i="2"/>
  <c r="Q14" i="16" s="1"/>
  <c r="JE4" i="2"/>
  <c r="AH25" i="16" s="1"/>
  <c r="JN4" i="2"/>
  <c r="AH28" i="16" s="1"/>
  <c r="JM11" i="2"/>
  <c r="KC4" i="2"/>
  <c r="AH33" i="16" s="1"/>
  <c r="KL4" i="2"/>
  <c r="AU19" i="16" s="1"/>
  <c r="KK11" i="2"/>
  <c r="LY4" i="2"/>
  <c r="O13" i="11" s="1"/>
  <c r="LP5" i="2"/>
  <c r="CV10" i="16" s="1"/>
  <c r="HO6" i="2"/>
  <c r="CQ35" i="15" s="1"/>
  <c r="IP6" i="2"/>
  <c r="S14" i="16" s="1"/>
  <c r="JH6" i="2"/>
  <c r="AJ26" i="16" s="1"/>
  <c r="JQ6" i="2"/>
  <c r="AJ29" i="16" s="1"/>
  <c r="KF6" i="2"/>
  <c r="AW17" i="16" s="1"/>
  <c r="KO6" i="2"/>
  <c r="AW20" i="16" s="1"/>
  <c r="LY6" i="2"/>
  <c r="O15" i="11" s="1"/>
  <c r="HF7" i="2"/>
  <c r="CR32" i="15" s="1"/>
  <c r="JH7" i="2"/>
  <c r="AK26" i="16" s="1"/>
  <c r="KF7" i="2"/>
  <c r="AX17" i="16" s="1"/>
  <c r="HC8" i="2"/>
  <c r="CS31" i="15" s="1"/>
  <c r="HL8" i="2"/>
  <c r="CS34" i="15" s="1"/>
  <c r="IA8" i="2"/>
  <c r="IJ8" i="2"/>
  <c r="H13" i="16" s="1"/>
  <c r="JN8" i="2"/>
  <c r="AL28" i="16" s="1"/>
  <c r="KC8" i="2"/>
  <c r="AL33" i="16" s="1"/>
  <c r="KL8" i="2"/>
  <c r="AY19" i="16" s="1"/>
  <c r="LD8" i="2"/>
  <c r="BX13" i="16" s="1"/>
  <c r="BZ36" i="16" s="1"/>
  <c r="LS8" i="2"/>
  <c r="DA13" i="16" s="1"/>
  <c r="DC35" i="16" s="1"/>
  <c r="HW11" i="2"/>
  <c r="CV38" i="15" s="1"/>
  <c r="IR11" i="2"/>
  <c r="JS11" i="2"/>
  <c r="JW4" i="2"/>
  <c r="AH31" i="16" s="1"/>
  <c r="KU4" i="2"/>
  <c r="BH9" i="16" s="1"/>
  <c r="HX5" i="2"/>
  <c r="CP38" i="15" s="1"/>
  <c r="IJ5" i="2"/>
  <c r="H10" i="16" s="1"/>
  <c r="JT5" i="2"/>
  <c r="AI30" i="16" s="1"/>
  <c r="KF5" i="2"/>
  <c r="AV17" i="16" s="1"/>
  <c r="LY5" i="2"/>
  <c r="O14" i="11" s="1"/>
  <c r="JQ7" i="2"/>
  <c r="AK29" i="16" s="1"/>
  <c r="KO7" i="2"/>
  <c r="AX20" i="16" s="1"/>
  <c r="LY7" i="2"/>
  <c r="O16" i="11" s="1"/>
  <c r="HF8" i="2"/>
  <c r="CS32" i="15" s="1"/>
  <c r="HU8" i="2"/>
  <c r="CS37" i="15" s="1"/>
  <c r="IY8" i="2"/>
  <c r="AL23" i="16" s="1"/>
  <c r="JH8" i="2"/>
  <c r="AL26" i="16" s="1"/>
  <c r="JW8" i="2"/>
  <c r="AL31" i="16" s="1"/>
  <c r="KF8" i="2"/>
  <c r="AY17" i="16" s="1"/>
  <c r="KU8" i="2"/>
  <c r="BH13" i="16" s="1"/>
  <c r="LY9" i="2"/>
  <c r="O18" i="11" s="1"/>
  <c r="HH11" i="2"/>
  <c r="CV33" i="15" s="1"/>
  <c r="IX11" i="2"/>
  <c r="JV11" i="2"/>
  <c r="LC11" i="2"/>
  <c r="BW16" i="16" s="1"/>
  <c r="BY39" i="16" s="1"/>
  <c r="IY4" i="2"/>
  <c r="AH23" i="16" s="1"/>
  <c r="JD11" i="2"/>
  <c r="JH4" i="2"/>
  <c r="AH26" i="16" s="1"/>
  <c r="HL5" i="2"/>
  <c r="CP34" i="15" s="1"/>
  <c r="IV5" i="2"/>
  <c r="AD10" i="16" s="1"/>
  <c r="KR5" i="2"/>
  <c r="AV21" i="16" s="1"/>
  <c r="LD5" i="2"/>
  <c r="BX10" i="16" s="1"/>
  <c r="BZ33" i="16" s="1"/>
  <c r="HI6" i="2"/>
  <c r="CQ33" i="15" s="1"/>
  <c r="HX6" i="2"/>
  <c r="CQ38" i="15" s="1"/>
  <c r="LM6" i="2"/>
  <c r="CO11" i="16" s="1"/>
  <c r="CQ34" i="16" s="1"/>
  <c r="HX7" i="2"/>
  <c r="CR38" i="15" s="1"/>
  <c r="HE11" i="2"/>
  <c r="CV32" i="15" s="1"/>
  <c r="HF4" i="2"/>
  <c r="CO32" i="15" s="1"/>
  <c r="IS4" i="2"/>
  <c r="Q15" i="16" s="1"/>
  <c r="JB4" i="2"/>
  <c r="AH24" i="16" s="1"/>
  <c r="JA11" i="2"/>
  <c r="JQ4" i="2"/>
  <c r="AH29" i="16" s="1"/>
  <c r="JZ4" i="2"/>
  <c r="AH32" i="16" s="1"/>
  <c r="JY11" i="2"/>
  <c r="KO4" i="2"/>
  <c r="AU20" i="16" s="1"/>
  <c r="LM4" i="2"/>
  <c r="CO9" i="16" s="1"/>
  <c r="LV4" i="2"/>
  <c r="HR6" i="2"/>
  <c r="CQ36" i="15" s="1"/>
  <c r="JE6" i="2"/>
  <c r="AJ25" i="16" s="1"/>
  <c r="JT6" i="2"/>
  <c r="AJ30" i="16" s="1"/>
  <c r="KC6" i="2"/>
  <c r="AJ33" i="16" s="1"/>
  <c r="KR6" i="2"/>
  <c r="AW21" i="16" s="1"/>
  <c r="LD6" i="2"/>
  <c r="BX11" i="16" s="1"/>
  <c r="BZ34" i="16" s="1"/>
  <c r="HR7" i="2"/>
  <c r="CR36" i="15" s="1"/>
  <c r="IS7" i="2"/>
  <c r="T15" i="16" s="1"/>
  <c r="JT7" i="2"/>
  <c r="AK30" i="16" s="1"/>
  <c r="KR7" i="2"/>
  <c r="AX21" i="16" s="1"/>
  <c r="HO8" i="2"/>
  <c r="CS35" i="15" s="1"/>
  <c r="HX8" i="2"/>
  <c r="CS38" i="15" s="1"/>
  <c r="IP8" i="2"/>
  <c r="U14" i="16" s="1"/>
  <c r="JB8" i="2"/>
  <c r="AL24" i="16" s="1"/>
  <c r="JQ8" i="2"/>
  <c r="AL29" i="16" s="1"/>
  <c r="JZ8" i="2"/>
  <c r="AL32" i="16" s="1"/>
  <c r="KO8" i="2"/>
  <c r="AY20" i="16" s="1"/>
  <c r="HK11" i="2"/>
  <c r="CV34" i="15" s="1"/>
  <c r="JG11" i="2"/>
  <c r="KE11" i="2"/>
  <c r="DU5" i="2"/>
  <c r="AK21" i="15" s="1"/>
  <c r="EJ6" i="2"/>
  <c r="DU6" i="2"/>
  <c r="AL21" i="15" s="1"/>
  <c r="DU4" i="2"/>
  <c r="AJ21" i="15" s="1"/>
  <c r="ED8" i="2"/>
  <c r="DL5" i="2"/>
  <c r="AK18" i="15" s="1"/>
  <c r="DX5" i="2"/>
  <c r="EJ5" i="2"/>
  <c r="DX9" i="2"/>
  <c r="DX14" i="2"/>
  <c r="DX11" i="2"/>
  <c r="DR7" i="2"/>
  <c r="AM20" i="15" s="1"/>
  <c r="EU4" i="2"/>
  <c r="EU7" i="2"/>
  <c r="DI8" i="2"/>
  <c r="AN17" i="15" s="1"/>
  <c r="DU8" i="2"/>
  <c r="AN21" i="15" s="1"/>
  <c r="EA8" i="2"/>
  <c r="DT11" i="2"/>
  <c r="AQ21" i="15" s="1"/>
  <c r="AQ13" i="15" s="1"/>
  <c r="DX13" i="2"/>
  <c r="DK11" i="2"/>
  <c r="AQ18" i="15" s="1"/>
  <c r="AQ10" i="15" s="1"/>
  <c r="DI6" i="2"/>
  <c r="AL17" i="15" s="1"/>
  <c r="DO6" i="2"/>
  <c r="AL19" i="15" s="1"/>
  <c r="DO8" i="2"/>
  <c r="AN19" i="15" s="1"/>
  <c r="DH11" i="2"/>
  <c r="AQ17" i="15" s="1"/>
  <c r="AQ9" i="15" s="1"/>
  <c r="DL4" i="2"/>
  <c r="AJ18" i="15" s="1"/>
  <c r="DR4" i="2"/>
  <c r="AJ20" i="15" s="1"/>
  <c r="DX4" i="2"/>
  <c r="ED4" i="2"/>
  <c r="EJ4" i="2"/>
  <c r="DL6" i="2"/>
  <c r="AL18" i="15" s="1"/>
  <c r="DR6" i="2"/>
  <c r="AL20" i="15" s="1"/>
  <c r="DX6" i="2"/>
  <c r="ED6" i="2"/>
  <c r="DO7" i="2"/>
  <c r="AM19" i="15" s="1"/>
  <c r="DR8" i="2"/>
  <c r="AN20" i="15" s="1"/>
  <c r="DX8" i="2"/>
  <c r="CL5" i="2"/>
  <c r="CR7" i="2"/>
  <c r="CR6" i="2"/>
  <c r="CI8" i="2"/>
  <c r="CR4" i="2"/>
  <c r="CH11" i="2"/>
  <c r="AP16" i="14" s="1"/>
  <c r="AR39" i="14" s="1"/>
  <c r="CL4" i="2"/>
  <c r="BZ4" i="2"/>
  <c r="BZ6" i="2"/>
  <c r="BZ7" i="2"/>
  <c r="BZ8" i="2"/>
  <c r="BZ5" i="2"/>
  <c r="BW5" i="2"/>
  <c r="BW6" i="2"/>
  <c r="BW7" i="2"/>
  <c r="BW4" i="2"/>
  <c r="BW8" i="2"/>
  <c r="BN10" i="2"/>
  <c r="BN12" i="2"/>
  <c r="BN11" i="2"/>
  <c r="BN5" i="2"/>
  <c r="BH7" i="2"/>
  <c r="BH4" i="2"/>
  <c r="BE5" i="2"/>
  <c r="BE6" i="2"/>
  <c r="BE7" i="2"/>
  <c r="BE4" i="2"/>
  <c r="BH5" i="2"/>
  <c r="BN4" i="2"/>
  <c r="BB6" i="2"/>
  <c r="BH6" i="2"/>
  <c r="BN6" i="2"/>
  <c r="BN7" i="2"/>
  <c r="BN8" i="2"/>
  <c r="BN9" i="2"/>
  <c r="BN13" i="2"/>
  <c r="AY4" i="2"/>
  <c r="AY6" i="2"/>
  <c r="AY7" i="2"/>
  <c r="AY8" i="2"/>
  <c r="AY5" i="2"/>
  <c r="AX11" i="2"/>
  <c r="H73" i="15" l="1"/>
  <c r="H55" i="15"/>
  <c r="H60" i="15"/>
  <c r="CE11" i="16"/>
  <c r="AQ155" i="14"/>
  <c r="AS174" i="14" s="1"/>
  <c r="AZ17" i="15"/>
  <c r="AZ14" i="15"/>
  <c r="AZ12" i="15"/>
  <c r="AZ13" i="15"/>
  <c r="U13" i="13"/>
  <c r="AZ18" i="15"/>
  <c r="K56" i="13"/>
  <c r="AC34" i="14"/>
  <c r="H69" i="15"/>
  <c r="AZ16" i="15"/>
  <c r="AM24" i="16"/>
  <c r="AM26" i="16"/>
  <c r="AM31" i="16"/>
  <c r="BN12" i="15"/>
  <c r="AZ10" i="15"/>
  <c r="AQ154" i="14"/>
  <c r="AS173" i="14" s="1"/>
  <c r="P13" i="13"/>
  <c r="DB11" i="15"/>
  <c r="DD34" i="15" s="1"/>
  <c r="DB10" i="15"/>
  <c r="DD33" i="15" s="1"/>
  <c r="BN9" i="15"/>
  <c r="AO20" i="15"/>
  <c r="BN10" i="15"/>
  <c r="AO18" i="15"/>
  <c r="AO12" i="16"/>
  <c r="AO26" i="16"/>
  <c r="CQ32" i="16"/>
  <c r="CQ37" i="16" s="1"/>
  <c r="CO14" i="16"/>
  <c r="AM29" i="16"/>
  <c r="CT32" i="15"/>
  <c r="AM23" i="16"/>
  <c r="X10" i="16"/>
  <c r="X15" i="16"/>
  <c r="AZ19" i="16"/>
  <c r="AM25" i="16"/>
  <c r="CT36" i="15"/>
  <c r="BB10" i="16"/>
  <c r="BB18" i="16"/>
  <c r="CT31" i="15"/>
  <c r="AO29" i="16"/>
  <c r="AO15" i="16"/>
  <c r="DC31" i="16"/>
  <c r="DC36" i="16" s="1"/>
  <c r="DA14" i="16"/>
  <c r="AZ17" i="16"/>
  <c r="AQ15" i="16"/>
  <c r="AQ29" i="16"/>
  <c r="BD11" i="16"/>
  <c r="BD19" i="16"/>
  <c r="AQ14" i="16"/>
  <c r="AQ28" i="16"/>
  <c r="M11" i="16"/>
  <c r="BD13" i="16"/>
  <c r="BD21" i="16"/>
  <c r="AQ16" i="16"/>
  <c r="AQ30" i="16"/>
  <c r="Z10" i="16"/>
  <c r="Z15" i="16"/>
  <c r="CV11" i="16"/>
  <c r="AS80" i="14"/>
  <c r="AS85" i="14" s="1"/>
  <c r="AQ62" i="14"/>
  <c r="AQ105" i="14"/>
  <c r="AQ107" i="14" s="1"/>
  <c r="BS28" i="11"/>
  <c r="BS31" i="11"/>
  <c r="AZ15" i="15"/>
  <c r="AR176" i="14"/>
  <c r="AE20" i="13"/>
  <c r="AZ20" i="16"/>
  <c r="AO10" i="16"/>
  <c r="AO24" i="16"/>
  <c r="BH14" i="16"/>
  <c r="AM33" i="16"/>
  <c r="V14" i="16"/>
  <c r="AO27" i="16"/>
  <c r="AO13" i="16"/>
  <c r="CT34" i="15"/>
  <c r="CT37" i="15"/>
  <c r="BB20" i="16"/>
  <c r="BB12" i="16"/>
  <c r="AM30" i="16"/>
  <c r="BZ32" i="16"/>
  <c r="BZ37" i="16" s="1"/>
  <c r="BX14" i="16"/>
  <c r="AQ11" i="16"/>
  <c r="AQ25" i="16"/>
  <c r="BD10" i="16"/>
  <c r="BD18" i="16"/>
  <c r="AQ27" i="16"/>
  <c r="AQ13" i="16"/>
  <c r="AD11" i="16"/>
  <c r="CI23" i="16"/>
  <c r="CJ11" i="16"/>
  <c r="CJ20" i="16" s="1"/>
  <c r="CJ9" i="16"/>
  <c r="CJ18" i="16" s="1"/>
  <c r="CJ12" i="16"/>
  <c r="CJ21" i="16" s="1"/>
  <c r="CJ10" i="16"/>
  <c r="CJ19" i="16" s="1"/>
  <c r="CJ13" i="16"/>
  <c r="CJ22" i="16" s="1"/>
  <c r="H42" i="15"/>
  <c r="G44" i="15"/>
  <c r="J12" i="13"/>
  <c r="K11" i="13" s="1"/>
  <c r="BM11" i="12"/>
  <c r="DB9" i="15"/>
  <c r="AZ11" i="15"/>
  <c r="V37" i="14"/>
  <c r="AO32" i="16"/>
  <c r="AO18" i="16"/>
  <c r="AO31" i="16"/>
  <c r="AO17" i="16"/>
  <c r="O12" i="11"/>
  <c r="AO28" i="16"/>
  <c r="AO14" i="16"/>
  <c r="X9" i="16"/>
  <c r="X14" i="16"/>
  <c r="CT33" i="15"/>
  <c r="CT35" i="15"/>
  <c r="AO17" i="15"/>
  <c r="AO19" i="15"/>
  <c r="H16" i="16"/>
  <c r="Y38" i="15"/>
  <c r="Z15" i="15"/>
  <c r="BD12" i="16"/>
  <c r="BD20" i="16"/>
  <c r="Z9" i="16"/>
  <c r="Z14" i="16"/>
  <c r="AQ18" i="16"/>
  <c r="AQ32" i="16"/>
  <c r="AQ10" i="16"/>
  <c r="AQ24" i="16"/>
  <c r="BD9" i="16"/>
  <c r="BD17" i="16"/>
  <c r="AQ12" i="16"/>
  <c r="AQ26" i="16"/>
  <c r="AR85" i="14"/>
  <c r="BR31" i="11"/>
  <c r="BS16" i="11"/>
  <c r="AD32" i="14"/>
  <c r="AD34" i="14" s="1"/>
  <c r="AB11" i="14"/>
  <c r="G10" i="13"/>
  <c r="AO21" i="15"/>
  <c r="BB9" i="16"/>
  <c r="BB17" i="16"/>
  <c r="AM32" i="16"/>
  <c r="V15" i="16"/>
  <c r="AO11" i="16"/>
  <c r="AO25" i="16"/>
  <c r="AO9" i="16"/>
  <c r="AO23" i="16"/>
  <c r="AO30" i="16"/>
  <c r="AO16" i="16"/>
  <c r="BB19" i="16"/>
  <c r="BB11" i="16"/>
  <c r="AM28" i="16"/>
  <c r="AM27" i="16"/>
  <c r="AO33" i="16"/>
  <c r="AO19" i="16"/>
  <c r="AZ18" i="16"/>
  <c r="AZ21" i="16"/>
  <c r="CT38" i="15"/>
  <c r="AQ19" i="16"/>
  <c r="AQ33" i="16"/>
  <c r="BM11" i="16"/>
  <c r="AQ17" i="16"/>
  <c r="AQ31" i="16"/>
  <c r="AQ9" i="16"/>
  <c r="AQ23" i="16"/>
  <c r="H68" i="15"/>
  <c r="H12" i="15"/>
  <c r="J34" i="15"/>
  <c r="J37" i="15" s="1"/>
  <c r="BD14" i="15"/>
  <c r="I37" i="15"/>
  <c r="G9" i="13"/>
  <c r="DC37" i="15"/>
  <c r="AQ153" i="14"/>
  <c r="U14" i="14"/>
  <c r="W32" i="14"/>
  <c r="W37" i="14" s="1"/>
  <c r="Y19" i="13"/>
  <c r="H72" i="15"/>
  <c r="H75" i="15"/>
  <c r="H76" i="15"/>
  <c r="BX59" i="11"/>
  <c r="BW65" i="11" s="1"/>
  <c r="BX52" i="11"/>
  <c r="BW72" i="11" s="1"/>
  <c r="BX58" i="11"/>
  <c r="BW66" i="11" s="1"/>
  <c r="BX60" i="11"/>
  <c r="BW64" i="11" s="1"/>
  <c r="BX64" i="11" s="1"/>
  <c r="H62" i="15"/>
  <c r="H57" i="15"/>
  <c r="BX56" i="11"/>
  <c r="BW68" i="11" s="1"/>
  <c r="BX55" i="11"/>
  <c r="BW69" i="11" s="1"/>
  <c r="BX51" i="11"/>
  <c r="BW73" i="11" s="1"/>
  <c r="H61" i="15"/>
  <c r="H58" i="15"/>
  <c r="BX54" i="11"/>
  <c r="BW70" i="11" s="1"/>
  <c r="H59" i="15"/>
  <c r="K55" i="13"/>
  <c r="BX48" i="11"/>
  <c r="BW76" i="11" s="1"/>
  <c r="H56" i="15"/>
  <c r="H54" i="15"/>
  <c r="BX26" i="11"/>
  <c r="BX27" i="11" s="1"/>
  <c r="BX28" i="11" s="1"/>
  <c r="BX29" i="11" s="1"/>
  <c r="BX30" i="11" s="1"/>
  <c r="BX31" i="11" s="1"/>
  <c r="J66" i="13"/>
  <c r="K63" i="13" s="1"/>
  <c r="BX57" i="11"/>
  <c r="BW67" i="11" s="1"/>
  <c r="H77" i="15"/>
  <c r="BX49" i="11"/>
  <c r="BW75" i="11" s="1"/>
  <c r="H70" i="15"/>
  <c r="BW32" i="11"/>
  <c r="BW40" i="11" s="1"/>
  <c r="BX23" i="11"/>
  <c r="BX53" i="11"/>
  <c r="BW71" i="11" s="1"/>
  <c r="BX50" i="11"/>
  <c r="BW74" i="11" s="1"/>
  <c r="H74" i="15"/>
  <c r="BK5" i="2"/>
  <c r="BK14" i="2"/>
  <c r="BK6" i="2"/>
  <c r="BK7" i="2"/>
  <c r="BK4" i="2"/>
  <c r="BK11" i="2"/>
  <c r="BK10" i="2"/>
  <c r="BK9" i="2"/>
  <c r="BK12" i="2"/>
  <c r="BK13" i="2"/>
  <c r="IG15" i="2"/>
  <c r="KQ11" i="2"/>
  <c r="E12" i="2"/>
  <c r="F12" i="11" s="1"/>
  <c r="K58" i="13" l="1"/>
  <c r="BN13" i="15"/>
  <c r="K10" i="13"/>
  <c r="AZ19" i="15"/>
  <c r="K9" i="13"/>
  <c r="BB21" i="16"/>
  <c r="BB13" i="16"/>
  <c r="G12" i="13"/>
  <c r="F28" i="11"/>
  <c r="F19" i="12"/>
  <c r="G19" i="12"/>
  <c r="H12" i="11"/>
  <c r="H44" i="15"/>
  <c r="G45" i="15"/>
  <c r="H45" i="15" s="1"/>
  <c r="AS172" i="14"/>
  <c r="AS176" i="14" s="1"/>
  <c r="AQ157" i="14"/>
  <c r="DB14" i="15"/>
  <c r="DD32" i="15"/>
  <c r="DD37" i="15" s="1"/>
  <c r="Z17" i="13"/>
  <c r="Z19" i="13"/>
  <c r="Y20" i="13"/>
  <c r="Z14" i="13"/>
  <c r="Z11" i="13"/>
  <c r="Z10" i="13"/>
  <c r="Z13" i="13"/>
  <c r="Z16" i="13"/>
  <c r="Z15" i="13"/>
  <c r="Z12" i="13"/>
  <c r="Z9" i="13"/>
  <c r="Z18" i="13"/>
  <c r="BX65" i="11"/>
  <c r="BX66" i="11" s="1"/>
  <c r="BX67" i="11" s="1"/>
  <c r="BX68" i="11" s="1"/>
  <c r="BX69" i="11" s="1"/>
  <c r="BX70" i="11" s="1"/>
  <c r="BX71" i="11" s="1"/>
  <c r="BX72" i="11" s="1"/>
  <c r="BX73" i="11" s="1"/>
  <c r="BX74" i="11" s="1"/>
  <c r="BX75" i="11" s="1"/>
  <c r="BX76" i="11" s="1"/>
  <c r="BX77" i="11" s="1"/>
  <c r="K65" i="13"/>
  <c r="H63" i="15"/>
  <c r="H78" i="15"/>
  <c r="BX32" i="11"/>
  <c r="BX33" i="11" s="1"/>
  <c r="BX34" i="11" s="1"/>
  <c r="BX35" i="11" s="1"/>
  <c r="BX36" i="11" s="1"/>
  <c r="BX37" i="11" s="1"/>
  <c r="BX38" i="11" s="1"/>
  <c r="BX39" i="11" s="1"/>
  <c r="K64" i="13"/>
  <c r="K66" i="13" s="1"/>
  <c r="BW78" i="11"/>
  <c r="BX61" i="11"/>
  <c r="E46" i="2"/>
  <c r="K12" i="13" l="1"/>
  <c r="Z20" i="13"/>
  <c r="H28" i="11"/>
  <c r="G34" i="12"/>
  <c r="F34" i="12"/>
  <c r="F42" i="2"/>
  <c r="AU13" i="2" l="1"/>
  <c r="AU14" i="2" s="1"/>
  <c r="AU12" i="2"/>
  <c r="AU10" i="2"/>
  <c r="BM16" i="12" s="1"/>
  <c r="AU8" i="2"/>
  <c r="AU7" i="2"/>
  <c r="AU6" i="2"/>
  <c r="AU5" i="2"/>
  <c r="AU4" i="2"/>
  <c r="BH10" i="12" l="1"/>
  <c r="BH16" i="12"/>
  <c r="BL10" i="12"/>
  <c r="BL16" i="12"/>
  <c r="BI10" i="12"/>
  <c r="BI16" i="12"/>
  <c r="BJ10" i="12"/>
  <c r="BJ16" i="12"/>
  <c r="BK10" i="12"/>
  <c r="BK16" i="12"/>
  <c r="AV4" i="2"/>
  <c r="AV8" i="2"/>
  <c r="AV6" i="2"/>
  <c r="AV7" i="2"/>
  <c r="AU11" i="2"/>
  <c r="AV5" i="2"/>
  <c r="BM10" i="12" l="1"/>
  <c r="E31" i="2"/>
  <c r="E5" i="2" l="1"/>
  <c r="F10" i="11" s="1"/>
  <c r="E6" i="2"/>
  <c r="F16" i="11" s="1"/>
  <c r="E7" i="2"/>
  <c r="F17" i="11" s="1"/>
  <c r="E8" i="2"/>
  <c r="F9" i="11" s="1"/>
  <c r="E9" i="2"/>
  <c r="F14" i="11" s="1"/>
  <c r="E10" i="2"/>
  <c r="F19" i="11" s="1"/>
  <c r="E11" i="2"/>
  <c r="F11" i="11" s="1"/>
  <c r="F27" i="2"/>
  <c r="E13" i="2"/>
  <c r="F18" i="11" s="1"/>
  <c r="E14" i="2"/>
  <c r="F20" i="11" s="1"/>
  <c r="E15" i="2"/>
  <c r="F13" i="11" s="1"/>
  <c r="F27" i="12" l="1"/>
  <c r="G27" i="12"/>
  <c r="H20" i="11"/>
  <c r="G25" i="12"/>
  <c r="F25" i="12"/>
  <c r="H18" i="11"/>
  <c r="F31" i="11"/>
  <c r="G9" i="12"/>
  <c r="F9" i="12"/>
  <c r="F16" i="12"/>
  <c r="G16" i="12"/>
  <c r="F46" i="11"/>
  <c r="F29" i="11"/>
  <c r="H9" i="11"/>
  <c r="F20" i="12"/>
  <c r="G20" i="12"/>
  <c r="H13" i="11"/>
  <c r="F30" i="11"/>
  <c r="F18" i="12"/>
  <c r="G18" i="12"/>
  <c r="F47" i="11"/>
  <c r="H11" i="11"/>
  <c r="F24" i="12"/>
  <c r="G24" i="12"/>
  <c r="H17" i="11"/>
  <c r="F23" i="12"/>
  <c r="G23" i="12"/>
  <c r="G38" i="11"/>
  <c r="F38" i="11"/>
  <c r="H16" i="11"/>
  <c r="G26" i="12"/>
  <c r="F26" i="12"/>
  <c r="H19" i="11"/>
  <c r="G21" i="12"/>
  <c r="F21" i="12"/>
  <c r="H14" i="11"/>
  <c r="DH42" i="15"/>
  <c r="DM43" i="15"/>
  <c r="G17" i="12"/>
  <c r="F17" i="12"/>
  <c r="H10" i="11"/>
  <c r="F23" i="2"/>
  <c r="F38" i="2"/>
  <c r="F30" i="2"/>
  <c r="F45" i="2"/>
  <c r="F26" i="2"/>
  <c r="F41" i="2"/>
  <c r="F22" i="2"/>
  <c r="F37" i="2"/>
  <c r="F29" i="2"/>
  <c r="F44" i="2"/>
  <c r="F25" i="2"/>
  <c r="F40" i="2"/>
  <c r="F21" i="2"/>
  <c r="F36" i="2"/>
  <c r="F28" i="2"/>
  <c r="F43" i="2"/>
  <c r="F24" i="2"/>
  <c r="F39" i="2"/>
  <c r="F20" i="2"/>
  <c r="F35" i="2"/>
  <c r="I46" i="11" l="1"/>
  <c r="G45" i="12"/>
  <c r="F45" i="12"/>
  <c r="DN35" i="15"/>
  <c r="DN39" i="15"/>
  <c r="DN42" i="15"/>
  <c r="DN32" i="15"/>
  <c r="DN33" i="15"/>
  <c r="DN40" i="15"/>
  <c r="DN38" i="15"/>
  <c r="DN34" i="15"/>
  <c r="DN36" i="15"/>
  <c r="DN37" i="15"/>
  <c r="DN41" i="15"/>
  <c r="H31" i="11"/>
  <c r="G37" i="12"/>
  <c r="F37" i="12"/>
  <c r="DI35" i="15"/>
  <c r="DI38" i="15"/>
  <c r="DI41" i="15"/>
  <c r="DI37" i="15"/>
  <c r="DI34" i="15"/>
  <c r="DI32" i="15"/>
  <c r="DI36" i="15"/>
  <c r="DI39" i="15"/>
  <c r="DI33" i="15"/>
  <c r="DI40" i="15"/>
  <c r="H30" i="11"/>
  <c r="G36" i="12"/>
  <c r="F36" i="12"/>
  <c r="I47" i="11"/>
  <c r="F46" i="12"/>
  <c r="G46" i="12"/>
  <c r="H29" i="11"/>
  <c r="G35" i="12"/>
  <c r="F35" i="12"/>
  <c r="GY13" i="2"/>
  <c r="GY12" i="2"/>
  <c r="CW30" i="15" s="1"/>
  <c r="GY10" i="2"/>
  <c r="CU30" i="15" s="1"/>
  <c r="GY5" i="2"/>
  <c r="GY6" i="2"/>
  <c r="GY7" i="2"/>
  <c r="GY8" i="2"/>
  <c r="GY4" i="2"/>
  <c r="GV13" i="2"/>
  <c r="GV12" i="2"/>
  <c r="CW29" i="15" s="1"/>
  <c r="GV10" i="2"/>
  <c r="CU29" i="15" s="1"/>
  <c r="GV5" i="2"/>
  <c r="GV6" i="2"/>
  <c r="GV7" i="2"/>
  <c r="GV8" i="2"/>
  <c r="GV4" i="2"/>
  <c r="GV14" i="2" l="1"/>
  <c r="GV15" i="2"/>
  <c r="CX29" i="15" s="1"/>
  <c r="GY14" i="2"/>
  <c r="GY15" i="2"/>
  <c r="CX30" i="15" s="1"/>
  <c r="GV11" i="2"/>
  <c r="CV29" i="15" s="1"/>
  <c r="GW6" i="2"/>
  <c r="CQ29" i="15" s="1"/>
  <c r="GW8" i="2"/>
  <c r="CS29" i="15" s="1"/>
  <c r="GZ5" i="2"/>
  <c r="CP30" i="15" s="1"/>
  <c r="GW7" i="2"/>
  <c r="CR29" i="15" s="1"/>
  <c r="GZ8" i="2"/>
  <c r="CS30" i="15" s="1"/>
  <c r="GZ7" i="2"/>
  <c r="CR30" i="15" s="1"/>
  <c r="GW5" i="2"/>
  <c r="CP29" i="15" s="1"/>
  <c r="GZ6" i="2"/>
  <c r="CQ30" i="15" s="1"/>
  <c r="GY11" i="2"/>
  <c r="CV30" i="15" s="1"/>
  <c r="GZ4" i="2"/>
  <c r="CO30" i="15" s="1"/>
  <c r="GW4" i="2"/>
  <c r="CO29" i="15" s="1"/>
  <c r="GS13" i="2"/>
  <c r="GS12" i="2"/>
  <c r="CW28" i="15" s="1"/>
  <c r="GS10" i="2"/>
  <c r="CU28" i="15" s="1"/>
  <c r="GS5" i="2"/>
  <c r="GS6" i="2"/>
  <c r="GS7" i="2"/>
  <c r="GS8" i="2"/>
  <c r="GS4" i="2"/>
  <c r="GP13" i="2"/>
  <c r="GP12" i="2"/>
  <c r="CW27" i="15" s="1"/>
  <c r="GP10" i="2"/>
  <c r="CU27" i="15" s="1"/>
  <c r="GP5" i="2"/>
  <c r="GP6" i="2"/>
  <c r="GP7" i="2"/>
  <c r="GP8" i="2"/>
  <c r="GP4" i="2"/>
  <c r="GM13" i="2"/>
  <c r="GM12" i="2"/>
  <c r="CW26" i="15" s="1"/>
  <c r="GM10" i="2"/>
  <c r="CU26" i="15" s="1"/>
  <c r="GM5" i="2"/>
  <c r="GM6" i="2"/>
  <c r="GM7" i="2"/>
  <c r="GM8" i="2"/>
  <c r="GM4" i="2"/>
  <c r="GJ13" i="2"/>
  <c r="GJ12" i="2"/>
  <c r="GJ10" i="2"/>
  <c r="GJ5" i="2"/>
  <c r="GJ6" i="2"/>
  <c r="GJ7" i="2"/>
  <c r="GJ8" i="2"/>
  <c r="GJ4" i="2"/>
  <c r="GG13" i="2"/>
  <c r="GG12" i="2"/>
  <c r="GG10" i="2"/>
  <c r="GG5" i="2"/>
  <c r="GG6" i="2"/>
  <c r="GG7" i="2"/>
  <c r="GG8" i="2"/>
  <c r="GG4" i="2"/>
  <c r="GD13" i="2"/>
  <c r="GD12" i="2"/>
  <c r="GD10" i="2"/>
  <c r="GD5" i="2"/>
  <c r="GD6" i="2"/>
  <c r="GD7" i="2"/>
  <c r="GD8" i="2"/>
  <c r="GD4" i="2"/>
  <c r="GA13" i="2"/>
  <c r="GA12" i="2"/>
  <c r="GA10" i="2"/>
  <c r="GA5" i="2"/>
  <c r="GA6" i="2"/>
  <c r="GA7" i="2"/>
  <c r="GA8" i="2"/>
  <c r="GA4" i="2"/>
  <c r="FX13" i="2"/>
  <c r="FX12" i="2"/>
  <c r="FX10" i="2"/>
  <c r="FX5" i="2"/>
  <c r="FX6" i="2"/>
  <c r="FX7" i="2"/>
  <c r="FX8" i="2"/>
  <c r="FX4" i="2"/>
  <c r="FU5" i="2"/>
  <c r="FU6" i="2"/>
  <c r="FU7" i="2"/>
  <c r="FU8" i="2"/>
  <c r="FU4" i="2"/>
  <c r="FU13" i="2"/>
  <c r="FU12" i="2"/>
  <c r="FU10" i="2"/>
  <c r="FR13" i="2"/>
  <c r="FR12" i="2"/>
  <c r="FR10" i="2"/>
  <c r="FR5" i="2"/>
  <c r="FR6" i="2"/>
  <c r="FR7" i="2"/>
  <c r="FR8" i="2"/>
  <c r="FR4" i="2"/>
  <c r="FO13" i="2"/>
  <c r="FO12" i="2"/>
  <c r="FO10" i="2"/>
  <c r="FO5" i="2"/>
  <c r="FO6" i="2"/>
  <c r="FO7" i="2"/>
  <c r="FO8" i="2"/>
  <c r="FO4" i="2"/>
  <c r="FL13" i="2"/>
  <c r="FL12" i="2"/>
  <c r="FL10" i="2"/>
  <c r="FL5" i="2"/>
  <c r="FL6" i="2"/>
  <c r="FL7" i="2"/>
  <c r="FL8" i="2"/>
  <c r="FL4" i="2"/>
  <c r="FI13" i="2"/>
  <c r="FI12" i="2"/>
  <c r="FI10" i="2"/>
  <c r="FI5" i="2"/>
  <c r="FI6" i="2"/>
  <c r="FI7" i="2"/>
  <c r="FI8" i="2"/>
  <c r="FI4" i="2"/>
  <c r="FF13" i="2"/>
  <c r="FF12" i="2"/>
  <c r="FF10" i="2"/>
  <c r="FF5" i="2"/>
  <c r="FF6" i="2"/>
  <c r="FF7" i="2"/>
  <c r="FF8" i="2"/>
  <c r="FF4" i="2"/>
  <c r="FC13" i="2"/>
  <c r="FC12" i="2"/>
  <c r="FC10" i="2"/>
  <c r="FC5" i="2"/>
  <c r="FC6" i="2"/>
  <c r="FC7" i="2"/>
  <c r="FC8" i="2"/>
  <c r="FC4" i="2"/>
  <c r="EZ4" i="2"/>
  <c r="EZ5" i="2"/>
  <c r="EZ6" i="2"/>
  <c r="EZ7" i="2"/>
  <c r="EZ8" i="2"/>
  <c r="EZ13" i="2"/>
  <c r="EZ12" i="2"/>
  <c r="EZ10" i="2"/>
  <c r="EW5" i="2"/>
  <c r="EW6" i="2"/>
  <c r="EW7" i="2"/>
  <c r="EW4" i="2"/>
  <c r="CW11" i="15" l="1"/>
  <c r="CJ11" i="15"/>
  <c r="CJ28" i="15"/>
  <c r="CR9" i="15"/>
  <c r="CE9" i="15"/>
  <c r="CP10" i="15"/>
  <c r="CC10" i="15"/>
  <c r="CO11" i="15"/>
  <c r="CB11" i="15"/>
  <c r="CO12" i="15"/>
  <c r="CB12" i="15"/>
  <c r="CB13" i="15"/>
  <c r="CO13" i="15"/>
  <c r="CC13" i="15"/>
  <c r="CP13" i="15"/>
  <c r="CO14" i="15"/>
  <c r="CB14" i="15"/>
  <c r="CP14" i="15"/>
  <c r="CC14" i="15"/>
  <c r="CO15" i="15"/>
  <c r="CB15" i="15"/>
  <c r="CC15" i="15"/>
  <c r="CP15" i="15"/>
  <c r="CH16" i="15"/>
  <c r="CU16" i="15"/>
  <c r="CH33" i="15"/>
  <c r="CS16" i="15"/>
  <c r="CF16" i="15"/>
  <c r="CO17" i="15"/>
  <c r="CB17" i="15"/>
  <c r="CC17" i="15"/>
  <c r="CP17" i="15"/>
  <c r="CO18" i="15"/>
  <c r="CB18" i="15"/>
  <c r="CP18" i="15"/>
  <c r="CC18" i="15"/>
  <c r="CO19" i="15"/>
  <c r="CB19" i="15"/>
  <c r="CC19" i="15"/>
  <c r="CP19" i="15"/>
  <c r="CO20" i="15"/>
  <c r="CB20" i="15"/>
  <c r="CC20" i="15"/>
  <c r="CP20" i="15"/>
  <c r="CB21" i="15"/>
  <c r="CO21" i="15"/>
  <c r="CC21" i="15"/>
  <c r="CP21" i="15"/>
  <c r="CT29" i="15"/>
  <c r="CC9" i="15"/>
  <c r="CP9" i="15"/>
  <c r="CE11" i="15"/>
  <c r="CR11" i="15"/>
  <c r="CU9" i="15"/>
  <c r="CH9" i="15"/>
  <c r="CH26" i="15"/>
  <c r="CO10" i="15"/>
  <c r="CB10" i="15"/>
  <c r="CC11" i="15"/>
  <c r="CP11" i="15"/>
  <c r="CP12" i="15"/>
  <c r="CC12" i="15"/>
  <c r="CW9" i="15"/>
  <c r="CJ9" i="15"/>
  <c r="CJ26" i="15"/>
  <c r="CD9" i="15"/>
  <c r="CQ9" i="15"/>
  <c r="CS10" i="15"/>
  <c r="CF10" i="15"/>
  <c r="CU10" i="15"/>
  <c r="CH10" i="15"/>
  <c r="CH27" i="15"/>
  <c r="CF11" i="15"/>
  <c r="CS11" i="15"/>
  <c r="CU11" i="15"/>
  <c r="CH11" i="15"/>
  <c r="CH28" i="15"/>
  <c r="CS12" i="15"/>
  <c r="CF12" i="15"/>
  <c r="CH12" i="15"/>
  <c r="CU12" i="15"/>
  <c r="CH29" i="15"/>
  <c r="CF13" i="15"/>
  <c r="CS13" i="15"/>
  <c r="CU13" i="15"/>
  <c r="CH13" i="15"/>
  <c r="CH30" i="15"/>
  <c r="CS14" i="15"/>
  <c r="CF14" i="15"/>
  <c r="CU14" i="15"/>
  <c r="CH14" i="15"/>
  <c r="CH31" i="15"/>
  <c r="CS15" i="15"/>
  <c r="CF15" i="15"/>
  <c r="CU15" i="15"/>
  <c r="CH15" i="15"/>
  <c r="CH32" i="15"/>
  <c r="CW16" i="15"/>
  <c r="CJ16" i="15"/>
  <c r="CJ33" i="15"/>
  <c r="CE16" i="15"/>
  <c r="CR16" i="15"/>
  <c r="CF17" i="15"/>
  <c r="CS17" i="15"/>
  <c r="CU17" i="15"/>
  <c r="CH17" i="15"/>
  <c r="CH34" i="15"/>
  <c r="CS18" i="15"/>
  <c r="CF18" i="15"/>
  <c r="CU18" i="15"/>
  <c r="CH18" i="15"/>
  <c r="CH35" i="15"/>
  <c r="CF19" i="15"/>
  <c r="CS19" i="15"/>
  <c r="CU19" i="15"/>
  <c r="CH19" i="15"/>
  <c r="CH36" i="15"/>
  <c r="CS20" i="15"/>
  <c r="CF20" i="15"/>
  <c r="CH20" i="15"/>
  <c r="CU20" i="15"/>
  <c r="CH37" i="15"/>
  <c r="CF21" i="15"/>
  <c r="CS21" i="15"/>
  <c r="CU21" i="15"/>
  <c r="CH21" i="15"/>
  <c r="CH38" i="15"/>
  <c r="CT30" i="15"/>
  <c r="CR10" i="15"/>
  <c r="CE10" i="15"/>
  <c r="CE12" i="15"/>
  <c r="CR12" i="15"/>
  <c r="CR13" i="15"/>
  <c r="CE13" i="15"/>
  <c r="CE14" i="15"/>
  <c r="CR14" i="15"/>
  <c r="CW14" i="15"/>
  <c r="CJ14" i="15"/>
  <c r="CJ31" i="15"/>
  <c r="CE15" i="15"/>
  <c r="CR15" i="15"/>
  <c r="CW15" i="15"/>
  <c r="CJ15" i="15"/>
  <c r="CJ32" i="15"/>
  <c r="CQ16" i="15"/>
  <c r="CD16" i="15"/>
  <c r="CE17" i="15"/>
  <c r="CR17" i="15"/>
  <c r="CW17" i="15"/>
  <c r="CJ17" i="15"/>
  <c r="CJ34" i="15"/>
  <c r="CR18" i="15"/>
  <c r="CE18" i="15"/>
  <c r="CJ18" i="15"/>
  <c r="CW18" i="15"/>
  <c r="CJ35" i="15"/>
  <c r="CE19" i="15"/>
  <c r="CR19" i="15"/>
  <c r="CW19" i="15"/>
  <c r="CJ19" i="15"/>
  <c r="CJ36" i="15"/>
  <c r="CE20" i="15"/>
  <c r="CR20" i="15"/>
  <c r="CW20" i="15"/>
  <c r="CJ20" i="15"/>
  <c r="CJ37" i="15"/>
  <c r="CR21" i="15"/>
  <c r="CE21" i="15"/>
  <c r="CJ21" i="15"/>
  <c r="CW21" i="15"/>
  <c r="CJ38" i="15"/>
  <c r="CW10" i="15"/>
  <c r="CJ10" i="15"/>
  <c r="CJ27" i="15"/>
  <c r="CW12" i="15"/>
  <c r="CJ12" i="15"/>
  <c r="CJ29" i="15"/>
  <c r="CJ13" i="15"/>
  <c r="CW13" i="15"/>
  <c r="CJ30" i="15"/>
  <c r="CF9" i="15"/>
  <c r="CS9" i="15"/>
  <c r="CB9" i="15"/>
  <c r="CO9" i="15"/>
  <c r="CQ10" i="15"/>
  <c r="CD10" i="15"/>
  <c r="CD11" i="15"/>
  <c r="CQ11" i="15"/>
  <c r="CQ12" i="15"/>
  <c r="CD12" i="15"/>
  <c r="CD13" i="15"/>
  <c r="CQ13" i="15"/>
  <c r="CQ14" i="15"/>
  <c r="CD14" i="15"/>
  <c r="CD15" i="15"/>
  <c r="CQ15" i="15"/>
  <c r="CB16" i="15"/>
  <c r="CO16" i="15"/>
  <c r="CP16" i="15"/>
  <c r="CC16" i="15"/>
  <c r="CQ17" i="15"/>
  <c r="CD17" i="15"/>
  <c r="CQ18" i="15"/>
  <c r="CD18" i="15"/>
  <c r="CD19" i="15"/>
  <c r="CQ19" i="15"/>
  <c r="CQ20" i="15"/>
  <c r="CD20" i="15"/>
  <c r="CD21" i="15"/>
  <c r="CQ21" i="15"/>
  <c r="EZ14" i="2"/>
  <c r="EZ15" i="2"/>
  <c r="FU14" i="2"/>
  <c r="FU15" i="2"/>
  <c r="FC14" i="2"/>
  <c r="FC15" i="2"/>
  <c r="FF14" i="2"/>
  <c r="FF15" i="2"/>
  <c r="FI14" i="2"/>
  <c r="FI15" i="2"/>
  <c r="FL14" i="2"/>
  <c r="FL15" i="2"/>
  <c r="FO14" i="2"/>
  <c r="FO15" i="2"/>
  <c r="FR14" i="2"/>
  <c r="FR15" i="2"/>
  <c r="FX14" i="2"/>
  <c r="FX15" i="2"/>
  <c r="GA14" i="2"/>
  <c r="GA15" i="2"/>
  <c r="GD14" i="2"/>
  <c r="GD15" i="2"/>
  <c r="GG14" i="2"/>
  <c r="GG15" i="2"/>
  <c r="GJ14" i="2"/>
  <c r="GJ15" i="2"/>
  <c r="GM14" i="2"/>
  <c r="GM15" i="2"/>
  <c r="CX26" i="15" s="1"/>
  <c r="GP14" i="2"/>
  <c r="GP15" i="2"/>
  <c r="CX27" i="15" s="1"/>
  <c r="GS14" i="2"/>
  <c r="GS15" i="2"/>
  <c r="CX28" i="15" s="1"/>
  <c r="GH7" i="2"/>
  <c r="CE37" i="15" s="1"/>
  <c r="GK7" i="2"/>
  <c r="CE38" i="15" s="1"/>
  <c r="GM11" i="2"/>
  <c r="CV26" i="15" s="1"/>
  <c r="GQ7" i="2"/>
  <c r="CR27" i="15" s="1"/>
  <c r="GT7" i="2"/>
  <c r="CR28" i="15" s="1"/>
  <c r="FP7" i="2"/>
  <c r="CE31" i="15" s="1"/>
  <c r="FS8" i="2"/>
  <c r="CF32" i="15" s="1"/>
  <c r="EX7" i="2"/>
  <c r="FA7" i="2"/>
  <c r="CE26" i="15" s="1"/>
  <c r="FF11" i="2"/>
  <c r="FJ6" i="2"/>
  <c r="CD29" i="15" s="1"/>
  <c r="FM6" i="2"/>
  <c r="CD30" i="15" s="1"/>
  <c r="GB6" i="2"/>
  <c r="CD35" i="15" s="1"/>
  <c r="GE6" i="2"/>
  <c r="CD36" i="15" s="1"/>
  <c r="FG5" i="2"/>
  <c r="CC28" i="15" s="1"/>
  <c r="FY5" i="2"/>
  <c r="CC34" i="15" s="1"/>
  <c r="EX6" i="2"/>
  <c r="FA6" i="2"/>
  <c r="CD26" i="15" s="1"/>
  <c r="FI11" i="2"/>
  <c r="FJ5" i="2"/>
  <c r="CC29" i="15" s="1"/>
  <c r="FL11" i="2"/>
  <c r="FM5" i="2"/>
  <c r="CC30" i="15" s="1"/>
  <c r="FP6" i="2"/>
  <c r="CD31" i="15" s="1"/>
  <c r="FU11" i="2"/>
  <c r="FY8" i="2"/>
  <c r="CF34" i="15" s="1"/>
  <c r="GA11" i="2"/>
  <c r="GB5" i="2"/>
  <c r="CC35" i="15" s="1"/>
  <c r="GD11" i="2"/>
  <c r="GH6" i="2"/>
  <c r="CD37" i="15" s="1"/>
  <c r="GK6" i="2"/>
  <c r="CD38" i="15" s="1"/>
  <c r="GN6" i="2"/>
  <c r="CQ26" i="15" s="1"/>
  <c r="GQ6" i="2"/>
  <c r="CQ27" i="15" s="1"/>
  <c r="GT6" i="2"/>
  <c r="CQ28" i="15" s="1"/>
  <c r="EX5" i="2"/>
  <c r="FA5" i="2"/>
  <c r="CC26" i="15" s="1"/>
  <c r="FJ8" i="2"/>
  <c r="CF29" i="15" s="1"/>
  <c r="FM4" i="2"/>
  <c r="CB30" i="15" s="1"/>
  <c r="FO11" i="2"/>
  <c r="FP5" i="2"/>
  <c r="CC31" i="15" s="1"/>
  <c r="FS6" i="2"/>
  <c r="CD32" i="15" s="1"/>
  <c r="FY7" i="2"/>
  <c r="CE34" i="15" s="1"/>
  <c r="GB8" i="2"/>
  <c r="CF35" i="15" s="1"/>
  <c r="GE8" i="2"/>
  <c r="CF36" i="15" s="1"/>
  <c r="GG11" i="2"/>
  <c r="GH5" i="2"/>
  <c r="CC37" i="15" s="1"/>
  <c r="GJ11" i="2"/>
  <c r="GK5" i="2"/>
  <c r="CC38" i="15" s="1"/>
  <c r="GN5" i="2"/>
  <c r="CP26" i="15" s="1"/>
  <c r="GP11" i="2"/>
  <c r="CV27" i="15" s="1"/>
  <c r="GQ5" i="2"/>
  <c r="CP27" i="15" s="1"/>
  <c r="GS11" i="2"/>
  <c r="CV28" i="15" s="1"/>
  <c r="GT5" i="2"/>
  <c r="CP28" i="15" s="1"/>
  <c r="EX4" i="2"/>
  <c r="FA8" i="2"/>
  <c r="CF26" i="15" s="1"/>
  <c r="FA4" i="2"/>
  <c r="CB26" i="15" s="1"/>
  <c r="FG6" i="2"/>
  <c r="CD28" i="15" s="1"/>
  <c r="FJ7" i="2"/>
  <c r="CE29" i="15" s="1"/>
  <c r="FM7" i="2"/>
  <c r="CE30" i="15" s="1"/>
  <c r="FP8" i="2"/>
  <c r="CF31" i="15" s="1"/>
  <c r="FR11" i="2"/>
  <c r="FS5" i="2"/>
  <c r="CC32" i="15" s="1"/>
  <c r="FY6" i="2"/>
  <c r="CD34" i="15" s="1"/>
  <c r="GE7" i="2"/>
  <c r="CE36" i="15" s="1"/>
  <c r="GH8" i="2"/>
  <c r="CF37" i="15" s="1"/>
  <c r="GK8" i="2"/>
  <c r="CF38" i="15" s="1"/>
  <c r="GN8" i="2"/>
  <c r="CS26" i="15" s="1"/>
  <c r="GQ8" i="2"/>
  <c r="CS27" i="15" s="1"/>
  <c r="GT8" i="2"/>
  <c r="CS28" i="15" s="1"/>
  <c r="FG8" i="2"/>
  <c r="CF28" i="15" s="1"/>
  <c r="FY4" i="2"/>
  <c r="CB34" i="15" s="1"/>
  <c r="GB4" i="2"/>
  <c r="CB35" i="15" s="1"/>
  <c r="GB7" i="2"/>
  <c r="CE35" i="15" s="1"/>
  <c r="GE4" i="2"/>
  <c r="CB36" i="15" s="1"/>
  <c r="GE5" i="2"/>
  <c r="CC36" i="15" s="1"/>
  <c r="GK4" i="2"/>
  <c r="CB38" i="15" s="1"/>
  <c r="FM8" i="2"/>
  <c r="CF30" i="15" s="1"/>
  <c r="GN7" i="2"/>
  <c r="CR26" i="15" s="1"/>
  <c r="FG4" i="2"/>
  <c r="CB28" i="15" s="1"/>
  <c r="FS4" i="2"/>
  <c r="CB32" i="15" s="1"/>
  <c r="FS7" i="2"/>
  <c r="CE32" i="15" s="1"/>
  <c r="FV6" i="2"/>
  <c r="CD33" i="15" s="1"/>
  <c r="FX11" i="2"/>
  <c r="FG7" i="2"/>
  <c r="CE28" i="15" s="1"/>
  <c r="GT4" i="2"/>
  <c r="CO28" i="15" s="1"/>
  <c r="GQ4" i="2"/>
  <c r="CO27" i="15" s="1"/>
  <c r="GN4" i="2"/>
  <c r="CO26" i="15" s="1"/>
  <c r="GH4" i="2"/>
  <c r="CB37" i="15" s="1"/>
  <c r="FV7" i="2"/>
  <c r="CE33" i="15" s="1"/>
  <c r="FV8" i="2"/>
  <c r="CF33" i="15" s="1"/>
  <c r="FV5" i="2"/>
  <c r="CC33" i="15" s="1"/>
  <c r="FV4" i="2"/>
  <c r="CB33" i="15" s="1"/>
  <c r="FP4" i="2"/>
  <c r="CB31" i="15" s="1"/>
  <c r="FJ4" i="2"/>
  <c r="CB29" i="15" s="1"/>
  <c r="FD8" i="2"/>
  <c r="CF27" i="15" s="1"/>
  <c r="FD7" i="2"/>
  <c r="CE27" i="15" s="1"/>
  <c r="FC11" i="2"/>
  <c r="FD5" i="2"/>
  <c r="CC27" i="15" s="1"/>
  <c r="FD4" i="2"/>
  <c r="CB27" i="15" s="1"/>
  <c r="FD6" i="2"/>
  <c r="CD27" i="15" s="1"/>
  <c r="EZ11" i="2"/>
  <c r="AR13" i="2"/>
  <c r="CT28" i="15" l="1"/>
  <c r="CG31" i="15"/>
  <c r="CT16" i="15"/>
  <c r="CG38" i="15"/>
  <c r="CG26" i="15"/>
  <c r="CT18" i="15"/>
  <c r="CV9" i="15"/>
  <c r="CI9" i="15"/>
  <c r="CI26" i="15"/>
  <c r="CV15" i="15"/>
  <c r="CI15" i="15"/>
  <c r="CI32" i="15"/>
  <c r="CV20" i="15"/>
  <c r="CI20" i="15"/>
  <c r="CI37" i="15"/>
  <c r="CX15" i="15"/>
  <c r="CK15" i="15"/>
  <c r="CK32" i="15"/>
  <c r="CX16" i="15"/>
  <c r="CK16" i="15"/>
  <c r="CK33" i="15"/>
  <c r="CG33" i="15"/>
  <c r="CG35" i="15"/>
  <c r="CG27" i="15"/>
  <c r="CT26" i="15"/>
  <c r="CV17" i="15"/>
  <c r="CI17" i="15"/>
  <c r="CI34" i="15"/>
  <c r="CG28" i="15"/>
  <c r="CG34" i="15"/>
  <c r="CV21" i="15"/>
  <c r="CI21" i="15"/>
  <c r="CI38" i="15"/>
  <c r="CV14" i="15"/>
  <c r="CI14" i="15"/>
  <c r="CI31" i="15"/>
  <c r="CV18" i="15"/>
  <c r="CI18" i="15"/>
  <c r="CI35" i="15"/>
  <c r="CI11" i="15"/>
  <c r="CV11" i="15"/>
  <c r="CI28" i="15"/>
  <c r="CK21" i="15"/>
  <c r="CX21" i="15"/>
  <c r="CK38" i="15"/>
  <c r="CX19" i="15"/>
  <c r="CK19" i="15"/>
  <c r="CK36" i="15"/>
  <c r="CK17" i="15"/>
  <c r="CX17" i="15"/>
  <c r="CK34" i="15"/>
  <c r="CK14" i="15"/>
  <c r="CX14" i="15"/>
  <c r="CK31" i="15"/>
  <c r="CK12" i="15"/>
  <c r="CX12" i="15"/>
  <c r="CK29" i="15"/>
  <c r="CX10" i="15"/>
  <c r="CK10" i="15"/>
  <c r="CK27" i="15"/>
  <c r="CK9" i="15"/>
  <c r="CX9" i="15"/>
  <c r="CK26" i="15"/>
  <c r="CT9" i="15"/>
  <c r="CT15" i="15"/>
  <c r="CT14" i="15"/>
  <c r="CG13" i="15"/>
  <c r="CT11" i="15"/>
  <c r="CI16" i="15"/>
  <c r="CV16" i="15"/>
  <c r="CI33" i="15"/>
  <c r="CK20" i="15"/>
  <c r="CX20" i="15"/>
  <c r="CK37" i="15"/>
  <c r="CG37" i="15"/>
  <c r="CG29" i="15"/>
  <c r="CT27" i="15"/>
  <c r="CG36" i="15"/>
  <c r="CG30" i="15"/>
  <c r="CV13" i="15"/>
  <c r="CI13" i="15"/>
  <c r="CI30" i="15"/>
  <c r="CG9" i="15"/>
  <c r="CG12" i="15"/>
  <c r="CI19" i="15"/>
  <c r="CV19" i="15"/>
  <c r="CI36" i="15"/>
  <c r="CK13" i="15"/>
  <c r="CX13" i="15"/>
  <c r="CK30" i="15"/>
  <c r="CG10" i="15"/>
  <c r="CT21" i="15"/>
  <c r="CG20" i="15"/>
  <c r="CG19" i="15"/>
  <c r="CG18" i="15"/>
  <c r="CG17" i="15"/>
  <c r="CT12" i="15"/>
  <c r="CV10" i="15"/>
  <c r="CI10" i="15"/>
  <c r="CI27" i="15"/>
  <c r="CX18" i="15"/>
  <c r="CK18" i="15"/>
  <c r="CK35" i="15"/>
  <c r="CX11" i="15"/>
  <c r="CK11" i="15"/>
  <c r="CK28" i="15"/>
  <c r="CG32" i="15"/>
  <c r="CV12" i="15"/>
  <c r="CI12" i="15"/>
  <c r="CI29" i="15"/>
  <c r="CG16" i="15"/>
  <c r="CT10" i="15"/>
  <c r="CG21" i="15"/>
  <c r="CT20" i="15"/>
  <c r="CT19" i="15"/>
  <c r="CT17" i="15"/>
  <c r="CG15" i="15"/>
  <c r="CG14" i="15"/>
  <c r="CT13" i="15"/>
  <c r="CG11" i="15"/>
  <c r="AR14" i="2"/>
  <c r="AR12" i="2"/>
  <c r="AR10" i="2"/>
  <c r="BM15" i="12" s="1"/>
  <c r="AR5" i="2"/>
  <c r="AR6" i="2"/>
  <c r="AR7" i="2"/>
  <c r="AR8" i="2"/>
  <c r="AR4" i="2"/>
  <c r="AO5" i="2"/>
  <c r="BD10" i="12" s="1"/>
  <c r="AO6" i="2"/>
  <c r="BD11" i="12" s="1"/>
  <c r="AO7" i="2"/>
  <c r="BD12" i="12" s="1"/>
  <c r="AO4" i="2"/>
  <c r="BD9" i="12" s="1"/>
  <c r="AL5" i="2"/>
  <c r="AZ10" i="12" s="1"/>
  <c r="AL4" i="2"/>
  <c r="AZ9" i="12" s="1"/>
  <c r="AF5" i="2"/>
  <c r="AJ10" i="12" s="1"/>
  <c r="AF6" i="2"/>
  <c r="AJ11" i="12" s="1"/>
  <c r="AF4" i="2"/>
  <c r="AJ9" i="12" s="1"/>
  <c r="AC5" i="2"/>
  <c r="AE10" i="12" s="1"/>
  <c r="AC4" i="2"/>
  <c r="AD10" i="12" s="1"/>
  <c r="Z5" i="2"/>
  <c r="AE9" i="12" s="1"/>
  <c r="Z4" i="2"/>
  <c r="AD9" i="12" s="1"/>
  <c r="W5" i="2"/>
  <c r="Z10" i="12" s="1"/>
  <c r="W4" i="2"/>
  <c r="Y10" i="12" s="1"/>
  <c r="T5" i="2"/>
  <c r="Z9" i="12" s="1"/>
  <c r="T4" i="2"/>
  <c r="Y9" i="12" s="1"/>
  <c r="Q5" i="2"/>
  <c r="Q6" i="2"/>
  <c r="Q7" i="2"/>
  <c r="Q8" i="2"/>
  <c r="Q4" i="2"/>
  <c r="E4" i="2"/>
  <c r="F15" i="11" s="1"/>
  <c r="AF10" i="12" l="1"/>
  <c r="AD16" i="12" s="1"/>
  <c r="AF9" i="12"/>
  <c r="AE15" i="12" s="1"/>
  <c r="AK9" i="12"/>
  <c r="AA10" i="12"/>
  <c r="Y16" i="12" s="1"/>
  <c r="F22" i="12"/>
  <c r="G22" i="12"/>
  <c r="H15" i="11"/>
  <c r="F27" i="11"/>
  <c r="F45" i="11"/>
  <c r="Z16" i="12"/>
  <c r="AA16" i="12" s="1"/>
  <c r="AZ11" i="12"/>
  <c r="BA10" i="12" s="1"/>
  <c r="BK9" i="12"/>
  <c r="BK15" i="12"/>
  <c r="AA9" i="12"/>
  <c r="Z15" i="12" s="1"/>
  <c r="BJ9" i="12"/>
  <c r="BJ15" i="12"/>
  <c r="AK11" i="12"/>
  <c r="BH9" i="12"/>
  <c r="BH15" i="12"/>
  <c r="BI9" i="12"/>
  <c r="BI15" i="12"/>
  <c r="AK10" i="12"/>
  <c r="BL9" i="12"/>
  <c r="BL15" i="12"/>
  <c r="AM4" i="2"/>
  <c r="F15" i="2"/>
  <c r="F19" i="2"/>
  <c r="E16" i="2"/>
  <c r="F21" i="11" s="1"/>
  <c r="F34" i="2"/>
  <c r="U4" i="2"/>
  <c r="AA4" i="2"/>
  <c r="AD4" i="2"/>
  <c r="AG5" i="2"/>
  <c r="F9" i="2"/>
  <c r="X5" i="2"/>
  <c r="AD5" i="2"/>
  <c r="F13" i="2"/>
  <c r="F6" i="2"/>
  <c r="F12" i="2"/>
  <c r="F8" i="2"/>
  <c r="F7" i="2"/>
  <c r="AG4" i="2"/>
  <c r="AM5" i="2"/>
  <c r="AA5" i="2"/>
  <c r="AG6" i="2"/>
  <c r="F5" i="2"/>
  <c r="Q9" i="2"/>
  <c r="R9" i="2" s="1"/>
  <c r="X4" i="2"/>
  <c r="AO8" i="2"/>
  <c r="BD13" i="12" s="1"/>
  <c r="BD14" i="12" s="1"/>
  <c r="BE9" i="12" s="1"/>
  <c r="F14" i="2"/>
  <c r="F10" i="2"/>
  <c r="F4" i="2"/>
  <c r="U5" i="2"/>
  <c r="F11" i="2"/>
  <c r="AR11" i="2"/>
  <c r="AS8" i="2"/>
  <c r="AS7" i="2"/>
  <c r="AS5" i="2"/>
  <c r="AS6" i="2"/>
  <c r="AS4" i="2"/>
  <c r="H5" i="2"/>
  <c r="H4" i="2"/>
  <c r="AE16" i="12" l="1"/>
  <c r="AF16" i="12" s="1"/>
  <c r="AD15" i="12"/>
  <c r="AF15" i="12" s="1"/>
  <c r="Y15" i="12"/>
  <c r="AA15" i="12" s="1"/>
  <c r="BA9" i="12"/>
  <c r="BA11" i="12" s="1"/>
  <c r="P12" i="12"/>
  <c r="P11" i="12"/>
  <c r="P10" i="12"/>
  <c r="P9" i="12"/>
  <c r="P13" i="12"/>
  <c r="BE12" i="12"/>
  <c r="H27" i="11"/>
  <c r="F32" i="11"/>
  <c r="H32" i="11" s="1"/>
  <c r="F33" i="12"/>
  <c r="G33" i="12"/>
  <c r="BE13" i="12"/>
  <c r="BM9" i="12"/>
  <c r="F10" i="12"/>
  <c r="G10" i="12"/>
  <c r="F39" i="11"/>
  <c r="G39" i="11"/>
  <c r="H21" i="11"/>
  <c r="BE10" i="12"/>
  <c r="BE14" i="12" s="1"/>
  <c r="BE11" i="12"/>
  <c r="I45" i="11"/>
  <c r="G45" i="11"/>
  <c r="G44" i="12"/>
  <c r="F44" i="12"/>
  <c r="F48" i="11"/>
  <c r="AP8" i="2"/>
  <c r="O4" i="2"/>
  <c r="O5" i="2"/>
  <c r="O7" i="2"/>
  <c r="O6" i="2"/>
  <c r="O8" i="2"/>
  <c r="L8" i="2"/>
  <c r="L5" i="2"/>
  <c r="L9" i="2"/>
  <c r="L7" i="2"/>
  <c r="L4" i="2"/>
  <c r="L6" i="2"/>
  <c r="F46" i="2"/>
  <c r="F16" i="2"/>
  <c r="I5" i="2"/>
  <c r="AP5" i="2"/>
  <c r="AP4" i="2"/>
  <c r="R8" i="2"/>
  <c r="AP6" i="2"/>
  <c r="AP7" i="2"/>
  <c r="R5" i="2"/>
  <c r="I4" i="2"/>
  <c r="R7" i="2"/>
  <c r="R6" i="2"/>
  <c r="R4" i="2"/>
  <c r="BI10" i="15"/>
  <c r="BI12" i="15"/>
  <c r="BI13" i="15"/>
  <c r="BI11" i="15"/>
  <c r="BI9" i="15"/>
  <c r="BI28" i="15"/>
  <c r="BI27" i="15"/>
  <c r="BI29" i="15"/>
  <c r="BI26" i="15"/>
  <c r="F47" i="12" l="1"/>
  <c r="F28" i="12"/>
  <c r="F38" i="12"/>
  <c r="G47" i="11"/>
  <c r="I48" i="11"/>
  <c r="G46" i="11"/>
  <c r="BI14" i="15"/>
  <c r="G38" i="12"/>
  <c r="G47" i="12"/>
  <c r="G28" i="12"/>
  <c r="BI30" i="15"/>
  <c r="G48" i="11" l="1"/>
</calcChain>
</file>

<file path=xl/comments1.xml><?xml version="1.0" encoding="utf-8"?>
<comments xmlns="http://schemas.openxmlformats.org/spreadsheetml/2006/main">
  <authors>
    <author>Wesley Oliveira Santos</author>
  </authors>
  <commentList>
    <comment ref="AG4" authorId="0" shapeId="0">
      <text>
        <r>
          <rPr>
            <b/>
            <sz val="9"/>
            <color indexed="81"/>
            <rFont val="Segoe UI"/>
            <charset val="1"/>
          </rPr>
          <t>Wesley Oliveira Santos:</t>
        </r>
        <r>
          <rPr>
            <sz val="9"/>
            <color indexed="81"/>
            <rFont val="Segoe UI"/>
            <charset val="1"/>
          </rPr>
          <t xml:space="preserve">
Correlacionar essas questões à inserção no Mercado de Trabalho</t>
        </r>
      </text>
    </comment>
  </commentList>
</comments>
</file>

<file path=xl/sharedStrings.xml><?xml version="1.0" encoding="utf-8"?>
<sst xmlns="http://schemas.openxmlformats.org/spreadsheetml/2006/main" count="19001" uniqueCount="1366">
  <si>
    <t>Carimbo de data/hora</t>
  </si>
  <si>
    <t>Por favor, informe seu CPF:</t>
  </si>
  <si>
    <t>Qual o curso de graduação você concluiu no IFS?</t>
  </si>
  <si>
    <t>Após a conclusão da graduação, você cursou alguma pós-graduação?</t>
  </si>
  <si>
    <t>Qual (is) tipo (s) de pós-graduação você cursou?</t>
  </si>
  <si>
    <t>O que te motivou a cursar a pós-graduação?</t>
  </si>
  <si>
    <t>Qual era sua maior qualificação ANTES de iniciar a graduação no IFS?</t>
  </si>
  <si>
    <t>Você teve alguma experiência de trabalho relacionada à sua área de graduação [Antes da graduação?]</t>
  </si>
  <si>
    <t>Você teve alguma experiência de trabalho relacionada à sua área de graduação [Durante a graduação?]</t>
  </si>
  <si>
    <t>Você teve alguma experiência de trabalho NÃO relacionada à sua área de graduação no IFS [Antes da graduação?]</t>
  </si>
  <si>
    <t>Você teve alguma experiência de trabalho NÃO relacionada à sua área de graduação no IFS [Durante a graduação?]</t>
  </si>
  <si>
    <t>APÓS concluir a graduação no IFS, você cursou outra graduação?</t>
  </si>
  <si>
    <t>Qual o nome dessa outra graduação que você cursou (ou está cursando)?</t>
  </si>
  <si>
    <t>Qual a modalidade do curso?</t>
  </si>
  <si>
    <t>Onde você cursou (ou está cursando) essa outra graduação?</t>
  </si>
  <si>
    <t>A graduação que fiz no IFS não me trouxe o retorno esperado no mercado de trabalho</t>
  </si>
  <si>
    <t>Não me adaptei à área do curso que fiz no IFS</t>
  </si>
  <si>
    <t>Quis aprimorar os conhecimentos que eu adquiri na graduação do IFS</t>
  </si>
  <si>
    <t>Você já teve algum emprego remunerado desde que se formou?</t>
  </si>
  <si>
    <t>Aproximadamente, após quanto tempo depois de formado (a) você começou a trabalhar?</t>
  </si>
  <si>
    <t>Quando você começou a procurar por um emprego?</t>
  </si>
  <si>
    <t>Como você teve acesso a essa vaga?</t>
  </si>
  <si>
    <t xml:space="preserve">Em seu primeiro emprego após formado, qual era o nome do cargo ocupado? </t>
  </si>
  <si>
    <t>Em que medida as atividades do seu primeiro emprego após formado eram relacionadas à sua graduação no IFS?</t>
  </si>
  <si>
    <t>Em seu primeiro emprego após formado, em que setor econômico você trabalhou?</t>
  </si>
  <si>
    <t>Você era um profissional autônomo?</t>
  </si>
  <si>
    <t>Em seu primeiro emprego após formado, qual era o seu salário inicial bruto? (em R$ por mês)</t>
  </si>
  <si>
    <t>Em que medida os conhecimentos adquiridos no IFS foram utilizados por você nesse emprego?</t>
  </si>
  <si>
    <t>Em que medida esse emprego demandou mais conhecimentos e habilidades do que você poderia realmente oferecer?</t>
  </si>
  <si>
    <t>Você ainda está em seu primeiro emprego?</t>
  </si>
  <si>
    <t>Aproximadamente, durante quanto tempo você permaneceu no seu primeiro emprego?</t>
  </si>
  <si>
    <t xml:space="preserve">No total, quantos empregadores você teve desde a conclusão da graduação? </t>
  </si>
  <si>
    <t>Atualmente você está em um emprego remunerado?</t>
  </si>
  <si>
    <t xml:space="preserve">Qual o nome do cargo ocupado por você ATUALMENTE? </t>
  </si>
  <si>
    <t>Aproximadamente, qual é o seu salário bruto mensal? (em R$)</t>
  </si>
  <si>
    <t>Em que medida você está satisfeito com a remuneração do seu emprego atual?</t>
  </si>
  <si>
    <t>Em que medida os conhecimentos adquiridos no IFS são úteis para você desempenhar suas atividades em seu emprego atual?</t>
  </si>
  <si>
    <t>Em que medida seu emprego atual demanda por conhecimentos e habilidades além do que você pode oferecer?</t>
  </si>
  <si>
    <t>No geral, quão satisfeito você está com seu emprego atual?</t>
  </si>
  <si>
    <t>Na sua opinião, em que medida o seu emprego está apropriado ao seu nível de educação?</t>
  </si>
  <si>
    <t>Se você considerar o seu emprego como pouco apropriado e sem ligação com o seu diploma, por que o escolheu?</t>
  </si>
  <si>
    <t>Quantas horas por semana você trabalha?</t>
  </si>
  <si>
    <t>Em seu emprego atual, qual é o tipo de contrato funcional?</t>
  </si>
  <si>
    <t>Você buscou algum curso ou treinamento relacionado ao seu trabalho nos últimos 12 meses?</t>
  </si>
  <si>
    <t>Há quanto tempo você está no seu emprego atual?</t>
  </si>
  <si>
    <t>Em que cidade você trabalha atualmente?</t>
  </si>
  <si>
    <t>Em que setor econômico você trabalha atualmente?</t>
  </si>
  <si>
    <t>Qual o porte da empresa que você trabalha?</t>
  </si>
  <si>
    <t>Domínio em sua área ou disciplina</t>
  </si>
  <si>
    <t>Conhecimento em outras áreas ou disciplinas</t>
  </si>
  <si>
    <t>Pensamento analítico</t>
  </si>
  <si>
    <t>Habilidade para negociar</t>
  </si>
  <si>
    <t>Habilidade de coordenar atividades</t>
  </si>
  <si>
    <t>Habilidade de trabalhar produtivamente em grupo</t>
  </si>
  <si>
    <t>Habilidade de expressar uma ideia de maneira clara</t>
  </si>
  <si>
    <t>Habilidade de usar computadores e internet</t>
  </si>
  <si>
    <t>Habilidade de encontrar ideias e soluções inovadoras</t>
  </si>
  <si>
    <t>Disposição para questionar suas próprias ideias e as dos outros</t>
  </si>
  <si>
    <t>Habilidade de apresentar produtos, ideias ou relatórios em público</t>
  </si>
  <si>
    <t>Habilidade de escrever relatórios, memorandos ou documentos</t>
  </si>
  <si>
    <t>Habilidade de falar e escrever em uma língua estrangeira</t>
  </si>
  <si>
    <t>Como foi sua experiência em relação à aceitação do mercado de trabalho?</t>
  </si>
  <si>
    <t>Quais foram os pontos que mais dificultaram sua entrada no mercado trabalho?</t>
  </si>
  <si>
    <t>Quais foram os pontos que mais aumentaram suas chances de entrar no mercado de trabalho?</t>
  </si>
  <si>
    <t>De que forma você ingressou na instituição?</t>
  </si>
  <si>
    <t>Você ingressou via política de cotas?</t>
  </si>
  <si>
    <t>Eu estudava apenas o suficiente para passar nas provas</t>
  </si>
  <si>
    <t>Eu me esforcei para obter as notas máximas</t>
  </si>
  <si>
    <t>Como você descreveria sua situação no último ano da graduação?</t>
  </si>
  <si>
    <t>Palestras</t>
  </si>
  <si>
    <t>Grupos de estudo</t>
  </si>
  <si>
    <t>Participação em grupos de pesquisa</t>
  </si>
  <si>
    <t>Estágios</t>
  </si>
  <si>
    <t>Trabalhos práticos</t>
  </si>
  <si>
    <t>Trabalhos teóricos</t>
  </si>
  <si>
    <t>Apresentações orais</t>
  </si>
  <si>
    <t>Professor como principal fonte de informação</t>
  </si>
  <si>
    <t>Aplicativos ou informações da internet durante as aulas</t>
  </si>
  <si>
    <t>Confecção de artigos científicos</t>
  </si>
  <si>
    <t>Provas de múltipla escolha</t>
  </si>
  <si>
    <t>Iniciar no mundo do trabalho?</t>
  </si>
  <si>
    <t xml:space="preserve">Desenvolver suas atividades atuais? </t>
  </si>
  <si>
    <t xml:space="preserve">Obter um futuro melhor na carreira? </t>
  </si>
  <si>
    <t>Obter desenvolvimento pessoal?</t>
  </si>
  <si>
    <t>Desenvolver habilidades empreendedoras?</t>
  </si>
  <si>
    <t>Olhando para trás, se pudesse escolher novamente, você escolheria o mesmo curso na mesma instituição?</t>
  </si>
  <si>
    <t>Você participou de alguma atividade relacionada à PESQUISA durante a graduação?</t>
  </si>
  <si>
    <t>De qual (is) atividade (s) de PESQUISA você participou?</t>
  </si>
  <si>
    <t>Qual o grau de relevância dessas atividades de PESQUISA durante a graduação para sua atuação profissional atualmente?</t>
  </si>
  <si>
    <t>Você participou de alguma atividade relacionada à EXTENSÃO durante a graduação?</t>
  </si>
  <si>
    <t>De qual (is) atividade (s) de EXTENSÃO você participou?</t>
  </si>
  <si>
    <t>Qual o grau de relevância dessas atividades de EXTENSÃO durante a graduação para sua atuação profissional atualmente?</t>
  </si>
  <si>
    <t>Você recebeu recursos de Assistência Estudantil durante a graduação?</t>
  </si>
  <si>
    <t>O quanto esses recursos assistenciais foram importantes para que você conseguisse concluir a graduação no IFS?</t>
  </si>
  <si>
    <t>Sexo de nascimento</t>
  </si>
  <si>
    <t>Cor</t>
  </si>
  <si>
    <t>Qual é a sua idade?</t>
  </si>
  <si>
    <t>Em que cidade você morava ANTES de iniciar a graduação?</t>
  </si>
  <si>
    <t>Em que cidade você morou DURANTE a graduação?</t>
  </si>
  <si>
    <t>Em que cidade você mora ATUALMENTE?</t>
  </si>
  <si>
    <t>Você passou algum tempo no exterior DURANTE a graduação para estudo e/ou trabalho? [Para estudo]</t>
  </si>
  <si>
    <t>Você passou algum tempo no exterior DURANTE a graduação para estudo e/ou trabalho? [Para trabalho]</t>
  </si>
  <si>
    <t>Você passou algum tempo no exterior DURANTE a graduação para estudo e/ou trabalho? [Para estudo e trabalho]</t>
  </si>
  <si>
    <t>Você passou algum tempo no exterior APÓS o término da graduação para estudo e/ou trabalho? [Para estudo]</t>
  </si>
  <si>
    <t>Você passou algum tempo no exterior APÓS o término da graduação para estudo e/ou trabalho? [Para trabalho]</t>
  </si>
  <si>
    <t>Você passou algum tempo no exterior APÓS o término da graduação para estudo e/ou trabalho? [Para estudo e trabalho]</t>
  </si>
  <si>
    <t>Como você morava durante seu último ano de graduação?</t>
  </si>
  <si>
    <t>Como você mora atualmente?</t>
  </si>
  <si>
    <t>Você tem filhos?</t>
  </si>
  <si>
    <t>Qual é o grau de instrução dos seus pais? [Pai]</t>
  </si>
  <si>
    <t>Qual é o grau de instrução dos seus pais? [Mãe]</t>
  </si>
  <si>
    <t>Caso queira, informe um e-mail que você usa atualmente.</t>
  </si>
  <si>
    <t>Caso queira, informe o número de seu celular.</t>
  </si>
  <si>
    <t>Caso queira, informe seu Instagram.</t>
  </si>
  <si>
    <t>Caso queira, informe a URL de seu Facebook.</t>
  </si>
  <si>
    <t>Você deseja receber os resultados dessa pesquisa por e-mail?</t>
  </si>
  <si>
    <t>Caso convidado, você aceitaria relatar suas experiências de formação profissional para os estudantes do IFS?</t>
  </si>
  <si>
    <t>Caso queira, adicione comentários e sugestões sobre o questionário que você acabou de responder. Sinta-se livre para opinar, sugerir, reclamar e expressar como foi a experiência enquanto colaborador desta pesquisa.</t>
  </si>
  <si>
    <t>Total de egressos participantes</t>
  </si>
  <si>
    <t>Bacharelado em Engenharia Civil</t>
  </si>
  <si>
    <t>Bacharelado em Sistemas de Informação</t>
  </si>
  <si>
    <t>Licenciatura em Química</t>
  </si>
  <si>
    <t>Licenciatura em Matemática</t>
  </si>
  <si>
    <t>Licenciatura em Física</t>
  </si>
  <si>
    <t>Tecnologia em Saneamento Ambiental</t>
  </si>
  <si>
    <t>Tecnologia em Gestão de Turismo</t>
  </si>
  <si>
    <t>Tecnologia em Automação Industrial</t>
  </si>
  <si>
    <t>Tecnologia em Logística</t>
  </si>
  <si>
    <t>Tecnologia em Laticínios</t>
  </si>
  <si>
    <t>Tecnologia em Alimentos</t>
  </si>
  <si>
    <t>Tecnologia em Agroecologia</t>
  </si>
  <si>
    <t>f</t>
  </si>
  <si>
    <t>%</t>
  </si>
  <si>
    <t>Sim</t>
  </si>
  <si>
    <t>Não</t>
  </si>
  <si>
    <t>Especialização</t>
  </si>
  <si>
    <t>MBA</t>
  </si>
  <si>
    <t>Mestrado profissional</t>
  </si>
  <si>
    <t>Mestrado acadêmico</t>
  </si>
  <si>
    <t>Doutorado</t>
  </si>
  <si>
    <t>Pós doutorado</t>
  </si>
  <si>
    <t>Aumentar o salário</t>
  </si>
  <si>
    <t>Desenvolver habilidades e conhecimentos</t>
  </si>
  <si>
    <t>Obter maior status social</t>
  </si>
  <si>
    <t>Ampliar as oportunidades de emprego</t>
  </si>
  <si>
    <t>Outros</t>
  </si>
  <si>
    <t>Ensino médio</t>
  </si>
  <si>
    <t>Ensino técnico</t>
  </si>
  <si>
    <t>Graduação incompleta</t>
  </si>
  <si>
    <t>Graduação completa</t>
  </si>
  <si>
    <t>Pós graduação</t>
  </si>
  <si>
    <t>Não cursei outra graduação.</t>
  </si>
  <si>
    <t>Sim, cursei (ou estou cursando) outra graduação na MESMA ÁREA.</t>
  </si>
  <si>
    <t>Sim, cursei (ou estou cursando) outra graduação em OUTRA ÁREA.</t>
  </si>
  <si>
    <t>Presencial</t>
  </si>
  <si>
    <t>Semipresencial ou EaD</t>
  </si>
  <si>
    <t>IFS</t>
  </si>
  <si>
    <t>UFS</t>
  </si>
  <si>
    <t>Outra Instituição de Ensino Superior Pública</t>
  </si>
  <si>
    <t>Instituição de Ensino Superior Privada</t>
  </si>
  <si>
    <t>Média</t>
  </si>
  <si>
    <t>Moda</t>
  </si>
  <si>
    <t>Mediana</t>
  </si>
  <si>
    <t>Desvio Padrão</t>
  </si>
  <si>
    <t>Variância</t>
  </si>
  <si>
    <t>Sim, iniciei em um novo emprego após concluir a graduação</t>
  </si>
  <si>
    <t>Sim, continuei no emprego em que eu já estava durante a graduação</t>
  </si>
  <si>
    <t>Até 6 meses</t>
  </si>
  <si>
    <t>De 6 meses a 1 ano</t>
  </si>
  <si>
    <t>De 1 a 2 anos</t>
  </si>
  <si>
    <t>Mais de 2 anos</t>
  </si>
  <si>
    <t>Mais de um ano antes de concluir a graduação</t>
  </si>
  <si>
    <t>No último ano da graduação</t>
  </si>
  <si>
    <t>Após concluir a graduação</t>
  </si>
  <si>
    <t>Comecei a trabalhar sem estar procurando na época</t>
  </si>
  <si>
    <t>Através de anúncios em jornais</t>
  </si>
  <si>
    <t>Através de agência de emprego</t>
  </si>
  <si>
    <t>Através de redes sociais</t>
  </si>
  <si>
    <t>Tomei a iniciativa de entrar em contato com o empregador</t>
  </si>
  <si>
    <t>Fui procurado pelo empregador</t>
  </si>
  <si>
    <t>Através de estágio durante a graduação</t>
  </si>
  <si>
    <t>Através de familiares, amigos ou conhecidos</t>
  </si>
  <si>
    <t>Através da ajuda do Instituto Federal de Sergipe</t>
  </si>
  <si>
    <t>Criei meu próprio negócio</t>
  </si>
  <si>
    <t>Prestei concurso</t>
  </si>
  <si>
    <t>Através de estágio durante graduação</t>
  </si>
  <si>
    <t>Prestei concurso público</t>
  </si>
  <si>
    <t>Indústria</t>
  </si>
  <si>
    <t>Comércio</t>
  </si>
  <si>
    <t>Serviços</t>
  </si>
  <si>
    <t>Setor Público</t>
  </si>
  <si>
    <t>Sim, em mais de um.</t>
  </si>
  <si>
    <t>Não se aplica</t>
  </si>
  <si>
    <t>Não pude encontrar um emprego mais apropriado</t>
  </si>
  <si>
    <t>Tenho melhores oportunidades de carreira ocupando este emprego</t>
  </si>
  <si>
    <t>Prefiro um emprego que não esteja intimamente relacionado com os meus estudos</t>
  </si>
  <si>
    <t>Fui promovido a uma posição menos ligada aos meus estudos do que a anterior</t>
  </si>
  <si>
    <t>Eu posso ter um salário mais alto no meu emprego atual</t>
  </si>
  <si>
    <t>Meu emprego atual oferece mais segurança</t>
  </si>
  <si>
    <t>Meu emprego atual é mais interessante</t>
  </si>
  <si>
    <t>O meu emprego atual oferece possibilidades de trabalhar meio período</t>
  </si>
  <si>
    <t>Meu emprego atual permite que eu trabalhe em um lugar que eu prefiro</t>
  </si>
  <si>
    <t>No início da carreira que pretendo seguir, eu devo aceitar um emprego pouco relacionado com os meus estudos</t>
  </si>
  <si>
    <t>Até 20 horas</t>
  </si>
  <si>
    <t>De 21 a 30 horas</t>
  </si>
  <si>
    <t>De 31 a 39 horas</t>
  </si>
  <si>
    <t>De 40 a 44 horas</t>
  </si>
  <si>
    <t>Acima de 44 horas</t>
  </si>
  <si>
    <t>Regime estatutário</t>
  </si>
  <si>
    <t>Contrato temporário</t>
  </si>
  <si>
    <t>Contrato CLT por tempo indeterminado</t>
  </si>
  <si>
    <t>Sou Autônomo</t>
  </si>
  <si>
    <t>Entre 6 meses e 1 ano</t>
  </si>
  <si>
    <t>Entre 1 e 2 anos</t>
  </si>
  <si>
    <t>Micro (1-19 funcionários)</t>
  </si>
  <si>
    <t>Pequena (20-99 funcionários)</t>
  </si>
  <si>
    <t>Média (100-499 funcionários)</t>
  </si>
  <si>
    <t>Grande (500 ou mais funcionários)</t>
  </si>
  <si>
    <t>Micro (1-9 funcionários)</t>
  </si>
  <si>
    <t>Pequena (10-49 funcionários)</t>
  </si>
  <si>
    <t>Média (50-99 funcionários)</t>
  </si>
  <si>
    <t>Grande (100 ou mais)</t>
  </si>
  <si>
    <t>Baixa demanda do mercado para minha área de atuação</t>
  </si>
  <si>
    <t>Má reputação do IFS</t>
  </si>
  <si>
    <t>Concorrentes mais preparados</t>
  </si>
  <si>
    <t>Situação econômica do país/estado</t>
  </si>
  <si>
    <t>Falta de contatos que pudessem me indicar a vagas de emprego</t>
  </si>
  <si>
    <t>Falta de conhecimento em inglês</t>
  </si>
  <si>
    <t>Falta de conhecimento em espanhol</t>
  </si>
  <si>
    <t>Pouca experiência profissional</t>
  </si>
  <si>
    <t>Falta de cursos de aperfeiçoamento</t>
  </si>
  <si>
    <t>Discriminação (racial, cor, gênero, social, etc.)</t>
  </si>
  <si>
    <t>Alta demanda do mercado para minha área de atuação</t>
  </si>
  <si>
    <t>Boa reputação do IFS</t>
  </si>
  <si>
    <t>Concorrentes menos preparados</t>
  </si>
  <si>
    <t>Existência de contatos que pudessem me indicar a vagas de emprego</t>
  </si>
  <si>
    <t>Conhecimento em inglês</t>
  </si>
  <si>
    <t>Conhecimento em espanhol</t>
  </si>
  <si>
    <t>Experiências internacionais</t>
  </si>
  <si>
    <t>Experiência profissional</t>
  </si>
  <si>
    <t>Cursos de aperfeiçoamento</t>
  </si>
  <si>
    <t>SISU</t>
  </si>
  <si>
    <t>Vestibular do próprio IFS</t>
  </si>
  <si>
    <t>Processo seletivo via análise de currículo</t>
  </si>
  <si>
    <t>Reintegração</t>
  </si>
  <si>
    <t>Transferência interna</t>
  </si>
  <si>
    <t>Transferência externa</t>
  </si>
  <si>
    <t>Portador de Diploma</t>
  </si>
  <si>
    <t>Estudar era minha principal atividade</t>
  </si>
  <si>
    <t>Estudar não era minha principal atividade</t>
  </si>
  <si>
    <t>Não, eu faria um CURSO DIFERENTE na MESMA INSTITUIÇÃO</t>
  </si>
  <si>
    <t>Não, eu faria o MESMO CURSO mas em OUTRA INSTITUIÇÃO</t>
  </si>
  <si>
    <t>Não, eu faria um CURSO DIFERENTE em OUTRA INSTITUIÇÃO</t>
  </si>
  <si>
    <t>Eu decidiria não cursar uma graduação</t>
  </si>
  <si>
    <t>Grupos de pesquisa</t>
  </si>
  <si>
    <t>Projetos de pesquisa (PIBIC, PIVIT, PIBITI, PPTAE, etc.)</t>
  </si>
  <si>
    <t>Publicações científicas</t>
  </si>
  <si>
    <t>Eventos científicos</t>
  </si>
  <si>
    <t>Monitoria</t>
  </si>
  <si>
    <t>Programas de Extensão (PBIEX, PIBEX, IFSTEC, IFS SUSTENTÁVEL, PIBID, CULTURARTE IFS, ESPORTIFS, PROEXT IFS, etc.)</t>
  </si>
  <si>
    <t>Visitas Técnicas</t>
  </si>
  <si>
    <t>Eventos de extensão (SEMEXT - Semana de Extensão Tecnológica)</t>
  </si>
  <si>
    <t>Masculino</t>
  </si>
  <si>
    <t>Feminino</t>
  </si>
  <si>
    <t>Branca</t>
  </si>
  <si>
    <t>Preta</t>
  </si>
  <si>
    <t>Amarela</t>
  </si>
  <si>
    <t>Parda</t>
  </si>
  <si>
    <t>Indígena</t>
  </si>
  <si>
    <t>Outras</t>
  </si>
  <si>
    <t>Sim, até 6 meses</t>
  </si>
  <si>
    <t>Sim, mais de 6 meses</t>
  </si>
  <si>
    <t>Morava sozinho</t>
  </si>
  <si>
    <t>Dividia residência com outras pessoas</t>
  </si>
  <si>
    <t>Com um(a) parceiro(a)</t>
  </si>
  <si>
    <t>Com os pais</t>
  </si>
  <si>
    <t>Alojamento no IFS</t>
  </si>
  <si>
    <t>Sozinho</t>
  </si>
  <si>
    <t>Divido residência com outras pessoas</t>
  </si>
  <si>
    <t>Sim, 1 filho</t>
  </si>
  <si>
    <t>Sim, 2 filhos</t>
  </si>
  <si>
    <t>Sim, 3 filhos ou mais</t>
  </si>
  <si>
    <t>Ensino fundamental incompleto</t>
  </si>
  <si>
    <t>Ensino fundamental completo</t>
  </si>
  <si>
    <t>Ensino médio incompleto</t>
  </si>
  <si>
    <t>Ensino médio completo</t>
  </si>
  <si>
    <t>Ensino superior incompleto</t>
  </si>
  <si>
    <t>Ensino superior completo</t>
  </si>
  <si>
    <t>Pós-graduação</t>
  </si>
  <si>
    <t>Técnico de Tecnologia da Informação</t>
  </si>
  <si>
    <t>Aracaju/Se</t>
  </si>
  <si>
    <t>Lagarto</t>
  </si>
  <si>
    <t>Aracaju</t>
  </si>
  <si>
    <t>Muito extenso o questionário, o que pode fazer com que muitos desistam de preenchê-lo</t>
  </si>
  <si>
    <t>Achei muito importante esse questionario ele pode contribuir para melhorias curso. Amei fazer agroecologia mas infelizmente aqui ñ tem campo se pudesse faria outro curso.</t>
  </si>
  <si>
    <t>Um parceiro e dois filhos.</t>
  </si>
  <si>
    <t>Com o esposo e dois filhos</t>
  </si>
  <si>
    <t>Assistente de Sistemas</t>
  </si>
  <si>
    <t>Analista de Sistemas</t>
  </si>
  <si>
    <t>Itaporanga - SE</t>
  </si>
  <si>
    <t>Simão Dias - SE</t>
  </si>
  <si>
    <t>Inspetor de segurança</t>
  </si>
  <si>
    <t>Carmópolis</t>
  </si>
  <si>
    <t>Achei super interessante essa pesquisa, parabéns.</t>
  </si>
  <si>
    <t>ARACAJU</t>
  </si>
  <si>
    <t xml:space="preserve">Casado com 02 filhos </t>
  </si>
  <si>
    <t>Casado com 2 filhos</t>
  </si>
  <si>
    <t>Pis graduação livre oara alunos egressos do IFS</t>
  </si>
  <si>
    <t>Gerente</t>
  </si>
  <si>
    <t>gerente</t>
  </si>
  <si>
    <t>Feira de Santana - BA</t>
  </si>
  <si>
    <t>Ciências Contábeis</t>
  </si>
  <si>
    <t>Diretor administrativo</t>
  </si>
  <si>
    <t>Gerente de vendas</t>
  </si>
  <si>
    <t>Não pude encontrar um emprego mais apropriado, Meu emprego atual oferece mais segurança</t>
  </si>
  <si>
    <t>Barra do Rio grande</t>
  </si>
  <si>
    <t>Irecê</t>
  </si>
  <si>
    <t xml:space="preserve">ATENDENTE DE HOSPEDAGEM </t>
  </si>
  <si>
    <t>HOTELARIA</t>
  </si>
  <si>
    <t xml:space="preserve">RECEPÇÃO </t>
  </si>
  <si>
    <t xml:space="preserve">TIA </t>
  </si>
  <si>
    <t xml:space="preserve">O IFS PODERIA PREPARAR MAIS O ALUNO AO MERCADO DE TRABALHO, E NO CASO DE GESTÃO DE TURISMO, NÃO SOMENTE INSERIR O DISCENTE AO RAMO HOTELEIRO, MAS MOSTRAR O VASTO LEQUE QUE ESSE SETOR OFERECE. </t>
  </si>
  <si>
    <t>Itabaiana</t>
  </si>
  <si>
    <t>Entrevistador</t>
  </si>
  <si>
    <t>entrevistador</t>
  </si>
  <si>
    <t>Estância</t>
  </si>
  <si>
    <t>Auxiliar Administrativo</t>
  </si>
  <si>
    <t>Estância-SE</t>
  </si>
  <si>
    <t>Nossa Senhora da Glória</t>
  </si>
  <si>
    <t>ESTÂNCIA</t>
  </si>
  <si>
    <t>AUXILIAR ADMINISTRATIVO</t>
  </si>
  <si>
    <t>ORÇAMENTISTA</t>
  </si>
  <si>
    <t>ARACAJU-SE</t>
  </si>
  <si>
    <t>muito bom</t>
  </si>
  <si>
    <t>Porteiro</t>
  </si>
  <si>
    <t>Porteira</t>
  </si>
  <si>
    <t>Aracaju-Se</t>
  </si>
  <si>
    <t>Cedro de sao joao</t>
  </si>
  <si>
    <t>Casa de parente</t>
  </si>
  <si>
    <t>Atuar na area academica</t>
  </si>
  <si>
    <t>Programador de Sistemas</t>
  </si>
  <si>
    <t>Salgado</t>
  </si>
  <si>
    <t>São Cristovão</t>
  </si>
  <si>
    <t>Ainda não estou trabalhando na área.</t>
  </si>
  <si>
    <t>Riachão do Dantas</t>
  </si>
  <si>
    <t>Com minha tia</t>
  </si>
  <si>
    <t>Em relação as perguntas sobre o mercado de trabalho, quero destacar aqui que ainda não estou atuando na área, pois, assim que terminei a minha graduação no IFS, ingressei no Mestrado acadêmico pela UFS e estou cursando o último semestre durante essa pesquisa, pretendo futuramente entrar no Doutorado e também começar a fazer concursos na minha área. Minha experiência como aluno no IFS foi muito boa, o convívio diário nessa instituição foi bastante positivo e posso afirmar que tive professores excelentes, o que me motivou a ingressar na pós-graduação.</t>
  </si>
  <si>
    <t xml:space="preserve">Nossa Senhora do Socorro </t>
  </si>
  <si>
    <t>MOITA BONITA</t>
  </si>
  <si>
    <t>Com meus padrinhos</t>
  </si>
  <si>
    <t>Técnico de TI</t>
  </si>
  <si>
    <t>Técnico de TI/Analista de Dados</t>
  </si>
  <si>
    <t>Motorista</t>
  </si>
  <si>
    <t>Poço Redondo</t>
  </si>
  <si>
    <t>Porto da Folha</t>
  </si>
  <si>
    <t xml:space="preserve">Nossa Senhora da Glória </t>
  </si>
  <si>
    <t>Balneário Camboriú santa catarina</t>
  </si>
  <si>
    <t xml:space="preserve">Balneário Camboriú </t>
  </si>
  <si>
    <t>Nossa Senhora do Socorro</t>
  </si>
  <si>
    <t>Nossa Senhora do Socorro e Aracaju</t>
  </si>
  <si>
    <t>Com meus tios</t>
  </si>
  <si>
    <t xml:space="preserve">Seria ótimo que fossem contratados mais professores, pois o que mais incomodava era a carência de opção de turmas. Outro ponto muito importante é a carência em equipamentos para execução de pesquisas aplicadas, pois, enquanto instituição de promoção de ciência e tecnologia, o IFS fica muito atrás de outras universidades, principalmente no tocante á publicação de artigos qualificados e depósitos de patentes rentáveis. Outro ponto bastante pertinente é a presença de uma equipe de psicólogos que atendam a demanda do IFS. Fazer uma graduação não é fácil, é estressante e muitas vezes sufocante. Por tanto, faz-se necessário que seja disponibilizado um acompanhamento psicológico para os estudantes que se encontram nessa situação de risco. Pois o principal fator destes problemas, geralmente, é a instituição.  </t>
  </si>
  <si>
    <t>itabaiana</t>
  </si>
  <si>
    <t>Engenheira Civil</t>
  </si>
  <si>
    <t>Engenheira civil</t>
  </si>
  <si>
    <t>Condutor de Ambulancia</t>
  </si>
  <si>
    <t>condutor de Ambulancia</t>
  </si>
  <si>
    <t>Aracaju/SE</t>
  </si>
  <si>
    <t>eletricista de manutenção</t>
  </si>
  <si>
    <t>Servidor público</t>
  </si>
  <si>
    <t>Discriminação com o curso superior de tecnologia</t>
  </si>
  <si>
    <t>Fazer um curso técnico na área</t>
  </si>
  <si>
    <t>aracaju</t>
  </si>
  <si>
    <t>casado</t>
  </si>
  <si>
    <t>esposa</t>
  </si>
  <si>
    <t>Muito longo e com perguntas indiretas</t>
  </si>
  <si>
    <t xml:space="preserve">Agente Tecnico de Fiscalização de Obras </t>
  </si>
  <si>
    <t>Agente Técnico de Fiscalização de Obras</t>
  </si>
  <si>
    <t>Funcionários Publico Municipal</t>
  </si>
  <si>
    <t>Eletricista</t>
  </si>
  <si>
    <t>LAGARTO</t>
  </si>
  <si>
    <t xml:space="preserve">LAGARTO </t>
  </si>
  <si>
    <t>Recepcionista</t>
  </si>
  <si>
    <t>Socorro</t>
  </si>
  <si>
    <t xml:space="preserve">Professor substituto </t>
  </si>
  <si>
    <t xml:space="preserve">Acajutiba </t>
  </si>
  <si>
    <t xml:space="preserve">Família </t>
  </si>
  <si>
    <t xml:space="preserve">Familia </t>
  </si>
  <si>
    <t>Professor</t>
  </si>
  <si>
    <t>Nossa Senhora do Socorro-SE</t>
  </si>
  <si>
    <t>Administração</t>
  </si>
  <si>
    <t>Assistente em Administração</t>
  </si>
  <si>
    <t>Nossa senhora da Glória, Sergipe</t>
  </si>
  <si>
    <t>Nossa senhora do Socorro, Sergipe</t>
  </si>
  <si>
    <t>Nossa Senhora da Glória, Sergipe</t>
  </si>
  <si>
    <t>auxiliar de escritório</t>
  </si>
  <si>
    <t>Pedra mole</t>
  </si>
  <si>
    <t>ótimo questionário. um feedback de opinião da graduação.</t>
  </si>
  <si>
    <t>É de fundamental importância,  usar de ferramentas  como essa, para saber os pontos fracos e fortes existentes logísticamente dentro de todo o processo decisivo. Para um melhor funcionamento e satisfação dos públicos alvos: profissional, mercado e  de todas as equipes gestora e educacional dos campi do IFS. Como objetivo de ser a cada dia um melhor diferencial à sociedade   Sergipana.</t>
  </si>
  <si>
    <t>São Cristóvão</t>
  </si>
  <si>
    <t xml:space="preserve">Professor </t>
  </si>
  <si>
    <t>Estância SE</t>
  </si>
  <si>
    <t>Cristinápolis SE</t>
  </si>
  <si>
    <t>Aracaju  SE</t>
  </si>
  <si>
    <t>Nunca fui preocupado em tirar 10, fui sempre preocupado em entender o conteúdo e saber onde buscar. 
Durante a graduação fui um reclamante ativo, mas só hoje que fui professor da rede privada que entendi as decisões que a coordenação do meu curso tomava. Agora sou professor efetivo da rede pública.</t>
  </si>
  <si>
    <t>Consultor de vendas e bercarista</t>
  </si>
  <si>
    <t>Pré escola e berçário</t>
  </si>
  <si>
    <t>Monitora de transporte escolar</t>
  </si>
  <si>
    <t>São Cristóvão Sergipe</t>
  </si>
  <si>
    <t>Policial Militar</t>
  </si>
  <si>
    <t>Aracaju - Sergipe</t>
  </si>
  <si>
    <t xml:space="preserve">Desenvolvedor Full stack </t>
  </si>
  <si>
    <t>Desenvolvedor Full stack</t>
  </si>
  <si>
    <t>Belo Horizonte</t>
  </si>
  <si>
    <t>Assistente de Gestão Operacional</t>
  </si>
  <si>
    <t>Assitente de gestão Operacional</t>
  </si>
  <si>
    <t>Aracau</t>
  </si>
  <si>
    <t>Plataformista de recepção de leite</t>
  </si>
  <si>
    <t>Encarregado de Produção</t>
  </si>
  <si>
    <t>Eu posso ter um salário mais alto no meu emprego atual, Meu emprego atual oferece mais segurança, Meu emprego atual é mais interessante</t>
  </si>
  <si>
    <t>Nossa Senhora da Glória - SERGIPE</t>
  </si>
  <si>
    <t>Poço Redondo - SERGIPE</t>
  </si>
  <si>
    <t>Química</t>
  </si>
  <si>
    <t>Monte Alegre de Sergipe</t>
  </si>
  <si>
    <t>Engenheiro Civil</t>
  </si>
  <si>
    <t xml:space="preserve">Professor dos Curso profissionalizantes em turismo </t>
  </si>
  <si>
    <t>Professor dos Cursos de Turismo do Senac e Ifs, guia de turismo e Proprietário de Agencia de Viagens</t>
  </si>
  <si>
    <t xml:space="preserve">Muito proveitosa a proposta, mostra que a instituição tem interesse em saber como estão os egressos </t>
  </si>
  <si>
    <t xml:space="preserve">Professora </t>
  </si>
  <si>
    <t xml:space="preserve">Concorrência no concurso. </t>
  </si>
  <si>
    <t>Piranhas-AL</t>
  </si>
  <si>
    <t>Administrador de datacenter</t>
  </si>
  <si>
    <t>Administrador de data center</t>
  </si>
  <si>
    <t>Requisitado</t>
  </si>
  <si>
    <t>tobias barreto</t>
  </si>
  <si>
    <t>Nossa sr. Do Socorro-SE</t>
  </si>
  <si>
    <t>Com avó</t>
  </si>
  <si>
    <t>Estância-se</t>
  </si>
  <si>
    <t>O núcleo de estágio do Ifs é muito ineficiente. Eles deveriam procurar fazer parcerias com empresas, para arranjar estágio para os alunos</t>
  </si>
  <si>
    <t>Carteiro</t>
  </si>
  <si>
    <t>Concurso</t>
  </si>
  <si>
    <t>Vitoria da Conquista</t>
  </si>
  <si>
    <t xml:space="preserve">Apoio básico  na Educação </t>
  </si>
  <si>
    <t>Boquim/Sergipe</t>
  </si>
  <si>
    <t>Primeiramente desculpa, caso não tenha chegado  ao objetivo de vocês  e em segundo lugar parabéns pela iniciativa desse questionário, muito bom...</t>
  </si>
  <si>
    <t>Assistente de  laboratório de  construção civil</t>
  </si>
  <si>
    <t>Professor EBTT Área  administracao</t>
  </si>
  <si>
    <t xml:space="preserve">Teixeira de  Freitas Bahia </t>
  </si>
  <si>
    <t xml:space="preserve">Santos SP </t>
  </si>
  <si>
    <t xml:space="preserve">Lagarto Se </t>
  </si>
  <si>
    <t xml:space="preserve">Provisóriamente  em  Teixeira de  Freitas BA </t>
  </si>
  <si>
    <t>Há perguntas  mau  formuladas sobre  primeiro emprego. Minha  turma possuía muitas  pessoas que  trabalhavam na  informalidade. O questionamento sobre  primeiro  emprego  após a  formatura não ficou  adequado.  Faltou  também falar  das  dificuldades em  concluir  o  curso  como  transporte para  quem  vem  do  interior. Falta de  dinheiro  para  livros e  apostilas. Asantos  pessoais  como  maternidade etc. ESTRUTURA de laboratório etc.</t>
  </si>
  <si>
    <t>Gerente de Fábrica</t>
  </si>
  <si>
    <t>N. Sra. do Socorro-SE</t>
  </si>
  <si>
    <t>Com familiares</t>
  </si>
  <si>
    <t>Processo seletivo</t>
  </si>
  <si>
    <t>Auxiliat administrativo.</t>
  </si>
  <si>
    <t xml:space="preserve">Itabaianinha </t>
  </si>
  <si>
    <t xml:space="preserve">Aracaju </t>
  </si>
  <si>
    <t xml:space="preserve">São Cristóvão </t>
  </si>
  <si>
    <t>É de grande importância este tipo de pesquisa, pois através dela, a instituição pode analisar pontos a serem melhorados.</t>
  </si>
  <si>
    <t xml:space="preserve">Assistente em agência de turismo </t>
  </si>
  <si>
    <t>Assistente em agência de turismo</t>
  </si>
  <si>
    <t>Sem contratos. Apenas um acordo entre dono e empregado.</t>
  </si>
  <si>
    <t xml:space="preserve">Auxiliar de laboratório </t>
  </si>
  <si>
    <t>Lagarto/se</t>
  </si>
  <si>
    <t xml:space="preserve">Lagarto </t>
  </si>
  <si>
    <t>Ainda me encontro fora do mercado de trabalho.</t>
  </si>
  <si>
    <t>Belém</t>
  </si>
  <si>
    <t>Campo do Brito(SE)</t>
  </si>
  <si>
    <t>familiares</t>
  </si>
  <si>
    <t>Ciência da Computação</t>
  </si>
  <si>
    <t>professor</t>
  </si>
  <si>
    <t>atendente</t>
  </si>
  <si>
    <t>NOSSA SENHORA DO SOCORRO</t>
  </si>
  <si>
    <t>Falta de oportunidade no mercado de trabalho. Visto que e grau de tecnólogo não é aceito pelo mesmo.</t>
  </si>
  <si>
    <t>Grau de tecnólogo</t>
  </si>
  <si>
    <t>Nenhuma das afirmações acima.</t>
  </si>
  <si>
    <t>Lagarto/Se</t>
  </si>
  <si>
    <t>salvador/BA</t>
  </si>
  <si>
    <t>Diretor</t>
  </si>
  <si>
    <t>Não houve</t>
  </si>
  <si>
    <t>Esposa e filhos</t>
  </si>
  <si>
    <t>Não tive dificuldades! Estava no último período quando fui aprovada no concurso público e convocada. Foi saindo do IFS e já indo trabalhar!</t>
  </si>
  <si>
    <t>Excelente pesquisa!!!</t>
  </si>
  <si>
    <t>Nossa Senhora do Socorro/SE</t>
  </si>
  <si>
    <t>curso de derivados do leite a escola que trabalho</t>
  </si>
  <si>
    <t>nossa senhora da gloria/SE</t>
  </si>
  <si>
    <t xml:space="preserve">nenhuma </t>
  </si>
  <si>
    <t>aqui mesmo nossa senhora da gloria</t>
  </si>
  <si>
    <t>nossa senhora da gloria</t>
  </si>
  <si>
    <t>idem</t>
  </si>
  <si>
    <t>a pesquisa foi otina , como ex-aluno melhorar o relacionamento entre alunos e funcionários técnicos e ex-aluno e o instituto , convida para eventos e dar palestras, continuar com os e-mail de publicações do instituto .</t>
  </si>
  <si>
    <t>Automação de Marketing</t>
  </si>
  <si>
    <t>CHEFE DE PATRIMONIO</t>
  </si>
  <si>
    <t>FREI PAULO</t>
  </si>
  <si>
    <t>FREI PAULO E ITABAIANA</t>
  </si>
  <si>
    <t>Nutrição</t>
  </si>
  <si>
    <t>Técnico em química</t>
  </si>
  <si>
    <t>Educação</t>
  </si>
  <si>
    <t>Não pude encontrar um emprego mais apropriado, Fui promovido a uma posição menos ligada aos meus estudos do que a anterior</t>
  </si>
  <si>
    <t>Aracaju Sergipe</t>
  </si>
  <si>
    <t>nenhuma</t>
  </si>
  <si>
    <t>RIBEIRÓPOLIS</t>
  </si>
  <si>
    <t>Saneamento Ambiental</t>
  </si>
  <si>
    <t>Auxiliar de Loja</t>
  </si>
  <si>
    <t>Vendedor</t>
  </si>
  <si>
    <t>BARRA DOS COQUEIROS</t>
  </si>
  <si>
    <t>Geografia</t>
  </si>
  <si>
    <t>Professora</t>
  </si>
  <si>
    <t>Rosário do Catete</t>
  </si>
  <si>
    <t xml:space="preserve">O curso de Saneamento ambiental, apesar da curta duração para vasta gama de conteúdo que deveria ser trabalhado, aparenta não ter relevância significativa para o mercado de trabalho em Sergipe, a maioria dos colegas (que hoje formam um grande grupo de ex-alunos no grupo privado do Facebook) sempre relatam as dificuldades de concorrer as disputas de vaga de trabalho com os engenheiros ambientais, os quais tem preferencia nas vagas, ou até mesmo engenheiros civil pós graduados em saneamento ambiental e áreas afim. O curso ofertado pela instituição foi ótimo apesar de algumas disciplinas fundamentais como as que necessitavam de prática no laboratório só terem sido ofertadas de forma teórica, por questões estruturais de administrativas do próprio instituto.  </t>
  </si>
  <si>
    <t>Sócio Proprietário</t>
  </si>
  <si>
    <t>ARACAJU/BARRA DOS COQUEIROS SERGIPE</t>
  </si>
  <si>
    <t>VERDEJANTE - PE</t>
  </si>
  <si>
    <t>Com meu irmão</t>
  </si>
  <si>
    <t>Salvador</t>
  </si>
  <si>
    <t>Recursos Humanos</t>
  </si>
  <si>
    <t>Agente de Reservas</t>
  </si>
  <si>
    <t xml:space="preserve">Hotelaria </t>
  </si>
  <si>
    <t xml:space="preserve">Agente de Reservas </t>
  </si>
  <si>
    <t>Contínuo</t>
  </si>
  <si>
    <t>Aracaju SE</t>
  </si>
  <si>
    <t>Alagoinhas BA</t>
  </si>
  <si>
    <t>São Cristóvão SE</t>
  </si>
  <si>
    <t>Válida.</t>
  </si>
  <si>
    <t>Coordenador</t>
  </si>
  <si>
    <t>Pedra Mole - SE</t>
  </si>
  <si>
    <t>Pedra Mole</t>
  </si>
  <si>
    <t>Gostei, espero poder participar de outras.</t>
  </si>
  <si>
    <t>Analista Ambiental</t>
  </si>
  <si>
    <t>Professora Assistente</t>
  </si>
  <si>
    <t>João Pessia</t>
  </si>
  <si>
    <t>Discriminação com o curso de tecnólogo</t>
  </si>
  <si>
    <t>João Pessoa</t>
  </si>
  <si>
    <t>Muito rico e importante para tabulação de indicadores e acompanhanento egressos. Parabéns.</t>
  </si>
  <si>
    <t>Analista ambiental</t>
  </si>
  <si>
    <t>Nossa senhira do socorro</t>
  </si>
  <si>
    <t>Nossa senhora do socorro</t>
  </si>
  <si>
    <t>Familia</t>
  </si>
  <si>
    <t>Tecnologa em Saneamento Ambiental</t>
  </si>
  <si>
    <t>Assistente Administrativo</t>
  </si>
  <si>
    <t>Técnico em Química</t>
  </si>
  <si>
    <t>Laranjeiras</t>
  </si>
  <si>
    <t>Ciências Biológicas</t>
  </si>
  <si>
    <t>Agente de Segurança Socioeducativo</t>
  </si>
  <si>
    <t>Não há relação direta.</t>
  </si>
  <si>
    <t>Não se aplica, Não pude encontrar um emprego mais apropriado</t>
  </si>
  <si>
    <t>Não entrei ainda.</t>
  </si>
  <si>
    <t>Obrigado pela iniciativa. Minha graduação tecnológica em Saneamento Ambiental pelo IFS foi mágica. Gostei do que aprendi e da sequência na Pós-Graduação. Infelizmente, minha atividade atual ainda não está relacionada com a formação acadêmica. Conclui o doutorado faz 1 ano e tenho produção científica, contudo, ainda os concursos quando aparecem não admitem como requisito mínimo a formação Tecnológica em Saneamento Ambiental. Normalmente, temos de entrar com pedido e quando deferido, participo. Fiz duas provas (UFSB, IFBA e tentarei próximo mês o IFMA). Ainda não consegui aprovação. Continuarei tentando e aguardarei o Instituto Federal de Sergipe ainda não disponibilizou vagas para concurso voltado às disciplinas da Coordenação de Meio Ambiente. Eudes.</t>
  </si>
  <si>
    <t xml:space="preserve">Corrosão </t>
  </si>
  <si>
    <t xml:space="preserve">Itaberaba </t>
  </si>
  <si>
    <t xml:space="preserve">Salvador </t>
  </si>
  <si>
    <t>Necessário para acompanhamento dos egressos.</t>
  </si>
  <si>
    <t>Auxiliar engenharia</t>
  </si>
  <si>
    <t>Auxiliar engenharia civil</t>
  </si>
  <si>
    <t>Belem para</t>
  </si>
  <si>
    <t xml:space="preserve">Belém </t>
  </si>
  <si>
    <t>Rio Real</t>
  </si>
  <si>
    <t>Coordenador em Meio Ambiente na PMA</t>
  </si>
  <si>
    <t xml:space="preserve">Achei muito providencial a pesquisa pois nos dá a possibilidade de avaliar o nosso desempenho e o desempenho do Curso, acho que o IFS Falhou em não fazer a divulgação desse curso nas instituições que elaboram os concursos públicos, ainda nos concursos públicos não tem cargos para quem é formado em Saneamento Ambiental, não reconhecem como profissão, e o nosso Diploma que está enganchado até hoje. </t>
  </si>
  <si>
    <t>Analista de Geoprocessamento</t>
  </si>
  <si>
    <t>SÃO CRISTÓVÃO</t>
  </si>
  <si>
    <t>Programador</t>
  </si>
  <si>
    <t>PROFESSOR/COREÓGRAFO</t>
  </si>
  <si>
    <t>COREÓGRAFO/DANÇARINO</t>
  </si>
  <si>
    <t>Meu emprego atual é mais interessante, O meu emprego atual oferece possibilidades de trabalhar meio período, Meu emprego atual permite que eu trabalhe em um lugar que eu prefiro</t>
  </si>
  <si>
    <t>ALAGOINHAS/BA</t>
  </si>
  <si>
    <t>ARACAJU/SE</t>
  </si>
  <si>
    <t>SÃO CRISTÓVÃO/SE</t>
  </si>
  <si>
    <t>ÓTIMA INICIATIVA! PARABÉNS</t>
  </si>
  <si>
    <t>O 1º emprego após formada veio depois de 1 ano e  8 meses depois e foi em uma área fora da área de formação, foi de telefonista em um banco.</t>
  </si>
  <si>
    <t>Supervisor técnico administrativo</t>
  </si>
  <si>
    <t>Relatório de estágio e TCC</t>
  </si>
  <si>
    <t>O questionário é bem objetivo, trata de questões práticas de que todo estudante precisa saber, mas preciso informar que infelizmente o IFS vem deixando a desejar, nas questões de interface com relação aos estágios e com relação à divulgação das suas formações para o mercado de trabalho; se faz necessário essa Interface para que se conheça quais são os produtos do IFS, as outras faculdades não todas, mais algumas tem esse trabalho, o IFS precisa desenvolver e melhorar muito esse aspecto.</t>
  </si>
  <si>
    <t>Consultor de Viagens</t>
  </si>
  <si>
    <t>Consultora de Viagens de Intercâmbio</t>
  </si>
  <si>
    <t>Cursei a graduação de Gestão de Turismo e o curso Técnico de Guia de Turismo no IFS, eu amo esta instituição por tudo que aprendi através dos meus grandes mestres, minha graduação abriu portas no mercado de trabalho pois o IFS é uma instituição de peso! Já trabalhei em algumas agências de viagens do estado e atualmente trabalho uma filial de uma grande agência de intercâmbio brasileira... estou cursando Ciências Contábeis na UFS para agregar conhecimento e ter uma segunda opção caso o mercado do turismo venha a estagnar , mas se tivesse este curso no IFS sem dúvidas minha preferência seria cursar novamente IFS... Creio que esta na horá no IFS expandir seu leque de cursos.... Amei o IFS com meus 19 anos quando iniciei a graduação e atualmente com 28 continuo a ama-lo, infelizmente não tem mais opções de cursos... Trago comigo amizades dos meus amados mestres como Prof. Nara, Prof. Artemis, Prof. Carlos Cunha, Prof. Braghini, Prof. Amâncio, Prof. Gilberto, Prof. Celia, Profa. Picanço ...sem dúvidas os melhores mestres do IFS, bons tempos !!!!!!</t>
  </si>
  <si>
    <t>Atendente</t>
  </si>
  <si>
    <t>Engenharia Ambiental</t>
  </si>
  <si>
    <t>Era cargo comissionado, então não havia um um nome especifico para o cargo</t>
  </si>
  <si>
    <t>Gerente de projetos</t>
  </si>
  <si>
    <t>Achei bastante interessante e espero que essa pesquisa traga melhorias para os cursos dessa Instituição tão importante!</t>
  </si>
  <si>
    <t>Assistente tecnico de eng. Civil</t>
  </si>
  <si>
    <t>Engenheiro civil</t>
  </si>
  <si>
    <t>Barbalha</t>
  </si>
  <si>
    <t>Propriá</t>
  </si>
  <si>
    <t>Curitiba</t>
  </si>
  <si>
    <t xml:space="preserve"> Assim que me graduei, eu ingressei na pós-graduação. No questionário senti falta de perguntas relacionadas a isso. Outra coisa é ter a opção de pular as perguntas para que a pesquisa seja representativa da realidade vivenciada pelo egresso. As perguntas sobre o mercado de trabalho eu tive que responder, pois não há a opção pular a pergunta. </t>
  </si>
  <si>
    <t xml:space="preserve">Tecnico ambiental </t>
  </si>
  <si>
    <t>Obras</t>
  </si>
  <si>
    <t>MicroEmpresario/Desenvolvedor</t>
  </si>
  <si>
    <t>Socio</t>
  </si>
  <si>
    <t>Lagarto/SE</t>
  </si>
  <si>
    <t>Simao Dias</t>
  </si>
  <si>
    <t>Lagarto/Simao DIas</t>
  </si>
  <si>
    <t>Não houveram oportunidades</t>
  </si>
  <si>
    <t>O sentimento enquanto colaboradora dessa pesquisa, assim como, graduada em um curso ofertado pela instituição é de total falta de perspectiva para um futuro de carreira na área escolhida, bem como, total falta de auxilio da instituição para ingresso, dos seus alunos e graduados, no mercado de trabalho.</t>
  </si>
  <si>
    <t>Direito</t>
  </si>
  <si>
    <t>Tecnico de Suporte</t>
  </si>
  <si>
    <t>Suporte Tecnico Junior</t>
  </si>
  <si>
    <t>Meu emprego atual oferece mais segurança, O meu emprego atual oferece possibilidades de trabalhar meio período</t>
  </si>
  <si>
    <t>Casado</t>
  </si>
  <si>
    <t>Respondendo ao questionário pude perceber algumas situações em que necessito voltar ao mundo acadêmico e aperfeiçoar meus conhecimentos na minha área Professional.</t>
  </si>
  <si>
    <t>Design de Interiores</t>
  </si>
  <si>
    <t>Assistente</t>
  </si>
  <si>
    <t>Tecnologo em Saneamento Ambiental</t>
  </si>
  <si>
    <t>Propriá Sergipe</t>
  </si>
  <si>
    <t>Achei extenso</t>
  </si>
  <si>
    <t>SIMÃO DIAS</t>
  </si>
  <si>
    <t>Com minha avó</t>
  </si>
  <si>
    <t>Não trabalho ainda.</t>
  </si>
  <si>
    <t>Não trabalho</t>
  </si>
  <si>
    <t>Muito bom saber que existe uma preocupação sobre os egressos da instituição, importante para saber como se pode melhorar a qualidade ou a assistência aos alunos. Parabéns!!</t>
  </si>
  <si>
    <t xml:space="preserve">Assistente administrativo </t>
  </si>
  <si>
    <t>Acredito eu que o ifs é uma boa instituição de ensino,sugiro cursos de pos-graduação, para que os formandos tenham mais oportunidades em crescer no mercado</t>
  </si>
  <si>
    <t>Areia Branca</t>
  </si>
  <si>
    <t>Fórum de Logística Reversa</t>
  </si>
  <si>
    <t>O questionário poderia abordar se o egresso abriu algum negócio ou desenvolve alguma atividade empreendedora, como criação de uma ONG ou participação em outro coletivo de impacto socioambiental.</t>
  </si>
  <si>
    <t>NSRA DO SOCORRO</t>
  </si>
  <si>
    <t>Curso</t>
  </si>
  <si>
    <t>Total</t>
  </si>
  <si>
    <t>Consultor de negócios</t>
  </si>
  <si>
    <t>Autônomo</t>
  </si>
  <si>
    <t>PMSB de Aracaju - UFS/IFS</t>
  </si>
  <si>
    <t>Engenheiro trainee</t>
  </si>
  <si>
    <t xml:space="preserve">Já atuar no mercado antes da formação </t>
  </si>
  <si>
    <t>Boquim</t>
  </si>
  <si>
    <t>Familiares</t>
  </si>
  <si>
    <t>Aulas particulares</t>
  </si>
  <si>
    <t>Foi gratificante, pois é bom poder de alguma forma ser grata por tudo que passei nessa instituição, e também colaborar para que o mesmo possa vir a acontecer com outras pessoas. Relato também a minha gratidão ao PIBID e ao PIBEX que participei e que foram de grande importância para minha formação. Estou apenas aguardando ser nomeada para professora no estado de Alagoas e é graças ao meu esforço e a essas oportunidades que tive no IFS.</t>
  </si>
  <si>
    <t>Construtora</t>
  </si>
  <si>
    <t xml:space="preserve">Riachão do Jacuípe </t>
  </si>
  <si>
    <t>Paulo afonso</t>
  </si>
  <si>
    <t>Escola</t>
  </si>
  <si>
    <t>Aracaju/Sergipe</t>
  </si>
  <si>
    <t>Não se aplica, Não pude encontrar um emprego mais apropriado, Meu emprego atual permite que eu trabalhe em um lugar que eu prefiro</t>
  </si>
  <si>
    <t>Em que ano você concluiu seu curso no IFS?</t>
  </si>
  <si>
    <t>Recife</t>
  </si>
  <si>
    <t>cristinapolis</t>
  </si>
  <si>
    <t>aracajuara</t>
  </si>
  <si>
    <t>Análise e Desenvolvimento de Sistemas</t>
  </si>
  <si>
    <t>Empregado Público</t>
  </si>
  <si>
    <t>Não pude encontrar um emprego mais apropriado, Meu emprego atual oferece mais segurança, O meu emprego atual oferece possibilidades de trabalhar meio período</t>
  </si>
  <si>
    <t>Cumbe/SE</t>
  </si>
  <si>
    <t>Nossa Senhora das Dores</t>
  </si>
  <si>
    <t>Rescenseador</t>
  </si>
  <si>
    <t>O curso de agroecologia é muito bom. Tem muitas práticas que auxilia bastante no aprendizado, porém o estado de Sergipe tem uma carência muito grande de mercado de trabalho. Ainda vale ressaltar os concursos na área agrária que esquece da área agroecológica. Isso é uma tristeza para os profissionais.</t>
  </si>
  <si>
    <t>Cristinápolis</t>
  </si>
  <si>
    <t>Auxiliar de controle da qualidade</t>
  </si>
  <si>
    <t>Garantia da Qualidade</t>
  </si>
  <si>
    <t>Auxiliar administrativo</t>
  </si>
  <si>
    <t>Nossa senhora da Glória SE</t>
  </si>
  <si>
    <t>.</t>
  </si>
  <si>
    <t>Nossa Senhora da Glória SE</t>
  </si>
  <si>
    <t>Brasília</t>
  </si>
  <si>
    <t>A pesquisa é importante porque serve como um feedback dos egressos para a instituição, seja esse retorno positivo ou não, é relevante para sempre implementar melhoras contínuas e corrigir possíveis problemas.</t>
  </si>
  <si>
    <t>Assistente de Engenharia</t>
  </si>
  <si>
    <t>Paripiranga</t>
  </si>
  <si>
    <t>Simão Dias</t>
  </si>
  <si>
    <t>nao estou trabalhando</t>
  </si>
  <si>
    <t>O curso tem um abismo com a realidade necessária requerida pelo mercado de trabalho.</t>
  </si>
  <si>
    <t>Auxiliar de controle de qualidade</t>
  </si>
  <si>
    <t>Tecnólogo em laticinio</t>
  </si>
  <si>
    <t>Nossa senhora da Glória Sergipe</t>
  </si>
  <si>
    <t>Nossa senhora da Glória</t>
  </si>
  <si>
    <t>Analista de qualidade</t>
  </si>
  <si>
    <t>Auxiliar de laboratório</t>
  </si>
  <si>
    <t>Nossa Senhora da Glória - Sergipe</t>
  </si>
  <si>
    <t>Não enfrentei nenhuma dificuldade</t>
  </si>
  <si>
    <t>Carira</t>
  </si>
  <si>
    <t>Nossa Senhora da glória</t>
  </si>
  <si>
    <t xml:space="preserve">Assistente de agricultura </t>
  </si>
  <si>
    <t>Ribeirópolis/SE</t>
  </si>
  <si>
    <t>Rio Real- BA</t>
  </si>
  <si>
    <t>Sensação de missão cumprida porque de alguma forma contribuir para copiosas possíveis melhorias.Sugeriria rever a parte que fala sobre mercado de trabalho, porque para quem por algum motivo, não teve experiência profissional, não precisa ficar preenchendo opções do tipo" contribuições, o que dificultou ou facilitou no mercado de trabalho". Talvez fosse o caso de colocar uma opção a mais de sim ou não apenas! No geral achei o questionário bem coerente,  e desde já parabenizo a todos os envolvidos pela iniciativa!</t>
  </si>
  <si>
    <t>Educador Profissional</t>
  </si>
  <si>
    <t xml:space="preserve">Agropecuária </t>
  </si>
  <si>
    <t>Simão Dias-SE</t>
  </si>
  <si>
    <t xml:space="preserve">Simão Dias </t>
  </si>
  <si>
    <t>Instrutor</t>
  </si>
  <si>
    <t>Tenho melhores oportunidades de carreira ocupando este emprego, Eu posso ter um salário mais alto no meu emprego atual, O meu emprego atual oferece possibilidades de trabalhar meio período</t>
  </si>
  <si>
    <t>recepcionista de hotel</t>
  </si>
  <si>
    <t>chefe de recepção de hotel</t>
  </si>
  <si>
    <t>ARACAJU SE</t>
  </si>
  <si>
    <t xml:space="preserve">Analista de Desenvolvimento de TI </t>
  </si>
  <si>
    <t>Analista de Desenvolvimento de TI III</t>
  </si>
  <si>
    <t>Blumenau - SC</t>
  </si>
  <si>
    <t>Nao se aplica</t>
  </si>
  <si>
    <t>Blumenau</t>
  </si>
  <si>
    <t>Nossa senhora da glória</t>
  </si>
  <si>
    <t>Pedagogia</t>
  </si>
  <si>
    <t>Cargo comissionado</t>
  </si>
  <si>
    <t>Macapá AP</t>
  </si>
  <si>
    <t>Macapá</t>
  </si>
  <si>
    <t>Estancia sergipe</t>
  </si>
  <si>
    <t xml:space="preserve">Estancia </t>
  </si>
  <si>
    <t>Engenharia Elétrica</t>
  </si>
  <si>
    <t>Técnico em Eletrônica.</t>
  </si>
  <si>
    <t>Técnico em Eletrônica</t>
  </si>
  <si>
    <t>Não pude encontrar um emprego mais apropriado, No início da carreira que pretendo seguir, eu devo aceitar um emprego pouco relacionado com os meus estudos</t>
  </si>
  <si>
    <t>Aracaju - SE</t>
  </si>
  <si>
    <t>Alagoinhas</t>
  </si>
  <si>
    <t>Questionário satisfatório. Se possível continuem com ele.</t>
  </si>
  <si>
    <t>Acredito que algumas disciplinas importantes foram negligenciadas por alguns professores. Disciplinas optativas que hoje vejo que são de suma importância e poderiam ser o diferencial não foram conduzidas de forma a permitir o máximo de desenvolvimento do aluno. Desta forma, deve existir uma cobrança maior da qualidade de ensino de algumas disciplinas tais como as relacionadas a escrita científica, línguas, conhecimento histórico da química. Estou citando essas disciplinas pois os professores fizeram parte do quadro que eu tive acesso.</t>
  </si>
  <si>
    <t>Itaberaba-BA</t>
  </si>
  <si>
    <t>Coordenador Ambiental</t>
  </si>
  <si>
    <t>Entre Rios-BA</t>
  </si>
  <si>
    <t>Niteroi-RJ</t>
  </si>
  <si>
    <t>Assistente administrativo com atribuições de coordenação de meio ambiente</t>
  </si>
  <si>
    <t>07</t>
  </si>
  <si>
    <t>Professor universitário</t>
  </si>
  <si>
    <t>Palmas</t>
  </si>
  <si>
    <t>Ainda estou fora da Agoecologia</t>
  </si>
  <si>
    <t>Campo do Brito e Aracaju, Sergipe</t>
  </si>
  <si>
    <t>Gerente de Infraestrutura Tecnológica</t>
  </si>
  <si>
    <t>Cargo de Comissão</t>
  </si>
  <si>
    <t>não se aplica</t>
  </si>
  <si>
    <t>Muitas perguntas e algumas bem parecidas</t>
  </si>
  <si>
    <t>Bercarista</t>
  </si>
  <si>
    <t>Pré escola</t>
  </si>
  <si>
    <t>Monitora educadora de transporte escolar</t>
  </si>
  <si>
    <t>Marido e filhos</t>
  </si>
  <si>
    <t>Esposo e filhos</t>
  </si>
  <si>
    <t>Aracaju. SE</t>
  </si>
  <si>
    <t>Engenharia Civil</t>
  </si>
  <si>
    <t>Nossa Sra das Dores</t>
  </si>
  <si>
    <t>ASSISTENTE DE LABORATÓRIO</t>
  </si>
  <si>
    <t>Assistente de laboratório</t>
  </si>
  <si>
    <t>Nossa senhora do Socorro</t>
  </si>
  <si>
    <t>Professor de Matemática</t>
  </si>
  <si>
    <t>Instituição de ensino</t>
  </si>
  <si>
    <t xml:space="preserve">Professor de Matemática </t>
  </si>
  <si>
    <t>Fonoaudiologia</t>
  </si>
  <si>
    <t>Administrativo</t>
  </si>
  <si>
    <t>Acho muito importante a instituição se preocupar com o aluno pós curso, saber se ingressou na sua área de trabalho.</t>
  </si>
  <si>
    <t>Setor de serviço empresa privada</t>
  </si>
  <si>
    <t>ANALISTA AMBIENTAL</t>
  </si>
  <si>
    <t>NÃO TIVE FALTA DE ACEITAÇÃO</t>
  </si>
  <si>
    <t>Representante de Atendimento</t>
  </si>
  <si>
    <t xml:space="preserve">Indiaroba </t>
  </si>
  <si>
    <t xml:space="preserve">Nossa Senhora de Socorro </t>
  </si>
  <si>
    <t>Gostei muito de estudar no ifs e estudaria outra vez, porém a infra estrutura deixa alguns pontos a desejar, principalmente no quesito laboratório, que na época não estava completo. Isso dificulta o acesso as aulas práticas. Melhorar nas parcerias para estágios, o meu único estágio conseguir por conta própria, nunca participei de nenhuma seleção intermediada pelo ifs, apesar de ter o cadastro atualizado.</t>
  </si>
  <si>
    <t>Supervisao</t>
  </si>
  <si>
    <t>Jandaira Estado da Bahia</t>
  </si>
  <si>
    <t xml:space="preserve">Professor de Química </t>
  </si>
  <si>
    <t>Escola particular</t>
  </si>
  <si>
    <t xml:space="preserve">Professor de Química  </t>
  </si>
  <si>
    <t>Não houve dificuldade</t>
  </si>
  <si>
    <t>Simplesmente acho muito importante essa percepção de instituição por ex-alunos. Super aceito convites...</t>
  </si>
  <si>
    <t>projetista 1</t>
  </si>
  <si>
    <t>engenheiro civil</t>
  </si>
  <si>
    <t>São Miguel do Aleixo</t>
  </si>
  <si>
    <t>Recife, Pernambuco</t>
  </si>
  <si>
    <t>Recife - PE</t>
  </si>
  <si>
    <t>supervisor</t>
  </si>
  <si>
    <t>nao tive dificuldade</t>
  </si>
  <si>
    <t>O IFS Campus Aracaju, deveria se integrar mais na Sociedade Aracajuana. Como assim? Poderia promover junto com as coordenadorias dos cursos e seus respectivos alunos e ex-alunos, ações para melhoria ou auxiliar a comunidade. Isso de acordo com à área de cada aluno em formação ou formado. Por exemplo: Os alunos de informática e administração, poderiam promover aplicativos e/ ou estratégias fundamentais para ajudar aos empreendedores MEI a melhorar os processos de gestão e controle de estoque além da demanda  de solicitações de produtos ou serviços por meio de aplicativos e "planilhas inteligentes". Fundamentadas para alavancar a empresa. Outro exemplo: Alunos do curso de Alimentos poderia ajudar a ensinar como a população e os feirantes poderia reaproveitar muitos alimentos que ficam  machucados. Criando assim, novas alternativas para o consumo humano. Os alunos de Saneamento poderiam contribuir em todas as áreas que estejam relacionadas com a ementa do curso ( Saneamento não trabalha só com educação ambiental, resíduos sólidos) , ou seja, o curso é multidisciplinar e,  é um curso que pode ajudar muitíssimo à nossa capital. Existem tantas coisas que podem alavancar não só o curso mais o nome da instituição. SERIA INTERESSANTE SE OFERECESSE PARA OS ALUNOS QUE JÁ CONCLUÍRAM OS CURSOS SUPERIORES MESTRADO E ESPECIALIZAÇÕES. DO MESMO MODO PARA OS ALUNOS DO TÉCNICO COM PÓS-TÉCNICO. Existem muitas soluções para melhoria de todos e mesmo com a crise. Esse, seria um momento ideal para poder ajudar a todos de forma simples, prática e eficiente.  
Não conseguir passar muito bem as ideias propostas, mas mesmo assim, espero ter contribuído de forma gradativa  para o melhoramento da minha casa "IFS".</t>
  </si>
  <si>
    <t xml:space="preserve">Escola particular </t>
  </si>
  <si>
    <t xml:space="preserve">Penedo, alagoas </t>
  </si>
  <si>
    <t xml:space="preserve">Penedo </t>
  </si>
  <si>
    <t>Aquidabã</t>
  </si>
  <si>
    <t>ITABAIANA-SE</t>
  </si>
  <si>
    <t>Primeiramente, Obrigado por dar oportunidade para essa participação onde o IFS ao longo de sua história, desempenha um papel importante na vida de seus discentes, sejam eles egressos ou não. É a primeira vez que vejo algo semelhante na instituição, desde o ano que iniciei meus estudos e minha formação na graduação, acho importante essa abordagem, pois a formação hoje requer critérios que muitas vezes podem abrirem ou fecharem portas. A experiencia  em participar de um processo seletivo do IFS, veio na vontade de querer mudar minha vida pessoal e profissional, depois de 10 anos fora de sala de aula, onde tinha que escolher entre: trabalho e estudo, da força de vontade veio junto a oportunidade. Trabalhei com atividades logística e nem sabia que se tratava de um setor de cunho logístico. Planejar, produzir, distribuir e entregar serviços, eram algumas de minhas funções antes de sair do trabalho e entrar no curso de  tecnólogo em Logística, ao ingressar no curso depois de ler a ementa pelo site, me deparei com abordagens mais técnicas daquilo que desempenhava em minhas funções de trabalho antes de entrar no curso, incentivos esses que me levaram ao interesse em atividades acadêmicas e de campo, produzindo trabalhos além da sala de aula que me renderam apresentações e participações em eventos nacionais e internacionais, onde esses destaques me levaram até onde estou hoje, enriquecendo meu LATTES. Através da disciplina Logística Reversa, estou cursando uma Pós Graduação na UFS, em Desenvolvimento e Meio Ambiente - PRODEMA,  nível de Mestrado, um processo bastante criterioso que entre esse processo era um pré projeto, este pré projeto foi uma continuação de meu TCC, no qual foi o meu passaporte trazido do IFS, toda essa bagagem agradeço ao IFS-CAMPUS ITABAIANA, ao docentes que me incentivaram quando pensava em desistir, pois pela idade precisava trabalhar, e não conseguia conciliar os horários. Hoje estou terminando meu primeiro ano de Mestrado na UFS, e na certeza de que vou ter um grande caminho de oportunidades nesta área.
Um grande PONTO NEGATIVO, ao qual busquei diversas vezes tanto pelo IFS, como por mim mesmo, foi a ausência de ESTÁGIO NA ÁREA, um estágio em LOGÍSTICA é imprescindível para a vida acadêmica e profissional do discente, pois essa ausência de estágio, me deixou fora de muitos processos seletivos de trabalho na área, tanto aqui em Sergipe como fora do estado também onde procurei trabalhar e não obtive sucesso com a experiência no estágio.</t>
  </si>
  <si>
    <t>Campus</t>
  </si>
  <si>
    <t>BASE</t>
  </si>
  <si>
    <t>SERVIÇO BASICO</t>
  </si>
  <si>
    <t>EXECUTOR DE SERVIÇO BASICO</t>
  </si>
  <si>
    <t>SAO CRISTOVAO</t>
  </si>
  <si>
    <t>Almoxarife</t>
  </si>
  <si>
    <t xml:space="preserve">Itabaiana </t>
  </si>
  <si>
    <t>diretor de projetos</t>
  </si>
  <si>
    <t>IRECÊ</t>
  </si>
  <si>
    <t>BARRA DO RIO GRANDE</t>
  </si>
  <si>
    <t>SERIA BOM VER O ENGAJAMENTO DOS PROFESSORES REALMENTE PELO CURSO MINISTRADO, VERIFICAR O APADRINHAMENTO DE PROFESSORES A ALUNOS FACILITANDO ASSIM SUA VIDA ACADÊMICA</t>
  </si>
  <si>
    <t>Assessora da Diretoria</t>
  </si>
  <si>
    <t>Privado</t>
  </si>
  <si>
    <t>Concursos</t>
  </si>
  <si>
    <t>Barra dos Coqueiros</t>
  </si>
  <si>
    <t xml:space="preserve">Professor autônomo </t>
  </si>
  <si>
    <t xml:space="preserve">São Gonçalo </t>
  </si>
  <si>
    <t xml:space="preserve">Estância </t>
  </si>
  <si>
    <t>Construção Civil</t>
  </si>
  <si>
    <t xml:space="preserve"> Engenheiro civil</t>
  </si>
  <si>
    <t>Jeremoabo</t>
  </si>
  <si>
    <t>Aracajú</t>
  </si>
  <si>
    <t>não</t>
  </si>
  <si>
    <t>Func. Público Estadual</t>
  </si>
  <si>
    <t>Aracaju sergipe</t>
  </si>
  <si>
    <t>Auxiliar de Reservas</t>
  </si>
  <si>
    <t>Hotelaria</t>
  </si>
  <si>
    <t>Supervisor</t>
  </si>
  <si>
    <t>A minha maior dificuldade, e da maioria dos meus colegas de curso foi conseguir um estágio em nossa área para conseguir a carga horária exigida para formação no curso, além de também o estágio ajudar financeiramente. A sugestão é que o IFS firme parcerias com as empresas da área de Turismo (no meu caso) para que os formandos possam ter experiências nas áreas que poderão atuar posteriormente à formação. Meu estágio foi dentro do próprio IFS, pois eu participava de um projeto, quando procurei emprego nas Agências de Turismo e Hotelaria (área na qual atuo ), minha experiência na área era 0% e isso dificultou bastante. No mais aprendi muito no IFS e tive outras experiências de muito aprendizado.</t>
  </si>
  <si>
    <t>Programador Web I</t>
  </si>
  <si>
    <t>Analista de Sistema</t>
  </si>
  <si>
    <t>Aracaju, Sergipe</t>
  </si>
  <si>
    <t>Tobias Barreto</t>
  </si>
  <si>
    <t>Assistente administrativo</t>
  </si>
  <si>
    <t>Assistente administrativa</t>
  </si>
  <si>
    <t>Oportunidade</t>
  </si>
  <si>
    <t>Graccho Cardoso</t>
  </si>
  <si>
    <t>Esposa e filha</t>
  </si>
  <si>
    <t>Relevante depois de quase 4 anos de formado chegou uma pesquisa sobre a vida depois da graduação no curso que parecia engenharia sendo que era Laticínios.</t>
  </si>
  <si>
    <t xml:space="preserve">Secretário </t>
  </si>
  <si>
    <t>Campo do Brito/SE</t>
  </si>
  <si>
    <t xml:space="preserve">Campo do Brito </t>
  </si>
  <si>
    <t>Engenharia de Materiais</t>
  </si>
  <si>
    <t xml:space="preserve">Coordenador </t>
  </si>
  <si>
    <t>Recife/PE</t>
  </si>
  <si>
    <t xml:space="preserve">ARACAJU </t>
  </si>
  <si>
    <t>Plataformista</t>
  </si>
  <si>
    <t>Nossa Senhora da Glória, SERGIPE.</t>
  </si>
  <si>
    <t>Poço Redondo, Sergipe.</t>
  </si>
  <si>
    <t>SIGAA (Total de Egressos)</t>
  </si>
  <si>
    <t>Areia branca</t>
  </si>
  <si>
    <t>Foi uma experiência muito boa, pois foi através dele que obtive novos conhecimentos tanto na área profissional e pessoal.</t>
  </si>
  <si>
    <t>Tecnico em Eletroeletronica</t>
  </si>
  <si>
    <t>ESTANCIA</t>
  </si>
  <si>
    <t>São Domingos/SE</t>
  </si>
  <si>
    <t xml:space="preserve">Riachão do Dantas </t>
  </si>
  <si>
    <t xml:space="preserve">Técnico Ambiental </t>
  </si>
  <si>
    <t>Técnica Ambiental</t>
  </si>
  <si>
    <t>Técnico em Telecomunicações</t>
  </si>
  <si>
    <t>Empresa júnior</t>
  </si>
  <si>
    <t>Malhador</t>
  </si>
  <si>
    <t>Casa da tia</t>
  </si>
  <si>
    <t>Me senti satisfeita por ser ouvida.</t>
  </si>
  <si>
    <t>Santo amaro das Brotas</t>
  </si>
  <si>
    <t>Santo Amaro das Brotas</t>
  </si>
  <si>
    <t>Programador de sistemas</t>
  </si>
  <si>
    <t>Atual</t>
  </si>
  <si>
    <t xml:space="preserve">Lagarto Sergipe </t>
  </si>
  <si>
    <t>Itabaiana, Sergipe</t>
  </si>
  <si>
    <t xml:space="preserve">Boquim </t>
  </si>
  <si>
    <t>Assistente Operacional</t>
  </si>
  <si>
    <t xml:space="preserve">Assitente Operacionl </t>
  </si>
  <si>
    <t xml:space="preserve">Malhador </t>
  </si>
  <si>
    <t>Policial</t>
  </si>
  <si>
    <t xml:space="preserve">Argente de segurança publica </t>
  </si>
  <si>
    <t xml:space="preserve">Estudos </t>
  </si>
  <si>
    <t>Nenhum</t>
  </si>
  <si>
    <t xml:space="preserve">Nossa senhora do socorro </t>
  </si>
  <si>
    <t xml:space="preserve">Mas iniciativa para o mercado de trabalho e incentivo para publicações </t>
  </si>
  <si>
    <t>Itaporanga D'Ajuda</t>
  </si>
  <si>
    <t>Não tem a opção de quem participou do PIBID</t>
  </si>
  <si>
    <t xml:space="preserve">Administrativo </t>
  </si>
  <si>
    <t xml:space="preserve">Poço Verde </t>
  </si>
  <si>
    <t>Não pude encontrar um emprego mais apropriado, O meu emprego atual oferece possibilidades de trabalhar meio período</t>
  </si>
  <si>
    <t>Moita Bonita</t>
  </si>
  <si>
    <t xml:space="preserve">
Foi muito importante poder lembrar mais do meu curso e poder ajudar um pouco da minha  experiência ,mas como profissional na área de trabalho  não funcionou para mim ,estoou formada com diploma na mão mais cadê as empresas para buscar um profissional para trabalhar não tem ,vamos vê se abre concursos da área porque está difícil emprego na área de logística </t>
  </si>
  <si>
    <t xml:space="preserve">Barra dos Coqueiros </t>
  </si>
  <si>
    <t>Técnico em Agropecuária</t>
  </si>
  <si>
    <t>Pinhão/SE</t>
  </si>
  <si>
    <t>Pinhão</t>
  </si>
  <si>
    <t>Continuo no mesmo emprego que ja estava</t>
  </si>
  <si>
    <t>Continuo no que ja estava</t>
  </si>
  <si>
    <t>Segurança publica</t>
  </si>
  <si>
    <t xml:space="preserve">Arcaju/Estância </t>
  </si>
  <si>
    <t>Minha esposa</t>
  </si>
  <si>
    <t xml:space="preserve">Minha família </t>
  </si>
  <si>
    <t>Auxiliar em Administração</t>
  </si>
  <si>
    <t>Estudar para concurso</t>
  </si>
  <si>
    <t>Umbaúba</t>
  </si>
  <si>
    <t>turismóloga</t>
  </si>
  <si>
    <t xml:space="preserve">turismóloga </t>
  </si>
  <si>
    <t>ótimas relatos</t>
  </si>
  <si>
    <t>Araci</t>
  </si>
  <si>
    <t>Nunca imaginei que o IFS estaria interessado em discussão a respeito dos egressos. Ótima avaliação</t>
  </si>
  <si>
    <t>Analista de sistemas</t>
  </si>
  <si>
    <t xml:space="preserve">Desenvolvedor </t>
  </si>
  <si>
    <t>CAIXA</t>
  </si>
  <si>
    <t xml:space="preserve">PESQUISA DE CAMPO </t>
  </si>
  <si>
    <t>A MESMA</t>
  </si>
  <si>
    <t>SOU CASADO , COM A FAMÍLIA</t>
  </si>
  <si>
    <t xml:space="preserve"> COM FAMÍLIA</t>
  </si>
  <si>
    <t>acho importante fazer parte desta avaliação desde que ajude a melhorar algo</t>
  </si>
  <si>
    <t>Técnico operador de painel central votorantim cimentos</t>
  </si>
  <si>
    <t>Gerente administrativo</t>
  </si>
  <si>
    <t>Capela e Aracaju/se</t>
  </si>
  <si>
    <t>Capela</t>
  </si>
  <si>
    <t>Ainda não entrei</t>
  </si>
  <si>
    <t>Com filha. Pago aluguel.</t>
  </si>
  <si>
    <t>Filha.</t>
  </si>
  <si>
    <t>A experiência em cursar no IRS foi maravilhosa, professores muito bem preparados e que deram base excelente para conhecimento e experiência de vida.</t>
  </si>
  <si>
    <t>Pacatuba-se</t>
  </si>
  <si>
    <t>Aracaju-se</t>
  </si>
  <si>
    <t>Parentes</t>
  </si>
  <si>
    <t xml:space="preserve">São Domingos </t>
  </si>
  <si>
    <t>SAO DOMINGOS</t>
  </si>
  <si>
    <t>Floriano-Piauí</t>
  </si>
  <si>
    <t>Aracaju-Sergipe</t>
  </si>
  <si>
    <t xml:space="preserve">Diretor </t>
  </si>
  <si>
    <t xml:space="preserve">Engenheiro civil </t>
  </si>
  <si>
    <t xml:space="preserve">Empreendedor </t>
  </si>
  <si>
    <t xml:space="preserve">Aracaju, Salvador e região </t>
  </si>
  <si>
    <t>Teixeira de Freitas</t>
  </si>
  <si>
    <t>A oportunidade me dada dentro da instituicao foi ímpar e sou grato, apesar das dificuldade ocorridas</t>
  </si>
  <si>
    <t>Recepcionista na época da graduação e depois da graduação.</t>
  </si>
  <si>
    <t>Os organizadores desta pesquisa estão de parabéns, é de suma importância verificar a vida do graduado depois que ele se formou na instituição, é o quanto a mesma foi importante para a sua vida profissional.</t>
  </si>
  <si>
    <t>Tecnólogo Ambiental</t>
  </si>
  <si>
    <t>Ficou confuso o questionamento sobre emprego. Não me recordo de perguntarem se após a graduação encontrei ocupação na área de formação. O questionamento estava um pouco generalizado.</t>
  </si>
  <si>
    <t>Zelador</t>
  </si>
  <si>
    <t>Setor - Privado</t>
  </si>
  <si>
    <t>Secretário</t>
  </si>
  <si>
    <t>Não se aplica, O meu emprego atual oferece possibilidades de trabalhar meio período, Meu emprego atual permite que eu trabalhe em um lugar que eu prefiro</t>
  </si>
  <si>
    <t>Experiência muito gratificante poder fazer com que o IFS seja cada vez mais procurado pela comunidade para que possam se aperfeiçoar cada dia mais e se preparar para o mercado de trabalho e para o futuro.</t>
  </si>
  <si>
    <t xml:space="preserve">Atendente </t>
  </si>
  <si>
    <t>Assistente comercial</t>
  </si>
  <si>
    <t>Aracaju- SE</t>
  </si>
  <si>
    <t>Aracaju-SE</t>
  </si>
  <si>
    <t>Trabalhei com pesquisa científica de um docente do IFS.</t>
  </si>
  <si>
    <t>Com parentes.</t>
  </si>
  <si>
    <t>meu afilhado</t>
  </si>
  <si>
    <t>Não estou trabalhando.</t>
  </si>
  <si>
    <t>Nossa Senhora da Glória/SE</t>
  </si>
  <si>
    <t>Tecnico em operações</t>
  </si>
  <si>
    <t>Sergipe</t>
  </si>
  <si>
    <t>Nao tive esta dificuldade</t>
  </si>
  <si>
    <t>auxiliar administrativo</t>
  </si>
  <si>
    <t>oficial administrativo</t>
  </si>
  <si>
    <t>aracaju sergipe</t>
  </si>
  <si>
    <t>minha preparação</t>
  </si>
  <si>
    <t>Caixa/Administrativo</t>
  </si>
  <si>
    <t xml:space="preserve">AuxiliarAdministrativo obs integrando caixa </t>
  </si>
  <si>
    <t>Programador de software</t>
  </si>
  <si>
    <t>Programador de Software</t>
  </si>
  <si>
    <t>Não se aplica, Tenho melhores oportunidades de carreira ocupando este emprego, Eu posso ter um salário mais alto no meu emprego atual</t>
  </si>
  <si>
    <t>Técnico em eletrica</t>
  </si>
  <si>
    <t xml:space="preserve">Eletricista industrial </t>
  </si>
  <si>
    <t>Rio real</t>
  </si>
  <si>
    <t>salvador</t>
  </si>
  <si>
    <t>Ordem</t>
  </si>
  <si>
    <t>IRA</t>
  </si>
  <si>
    <t>-</t>
  </si>
  <si>
    <t>Engenharia Agrícola</t>
  </si>
  <si>
    <t>História</t>
  </si>
  <si>
    <t>Estética e Cosmética</t>
  </si>
  <si>
    <t>Matemática</t>
  </si>
  <si>
    <t>Física</t>
  </si>
  <si>
    <t>Sistemas de Informação</t>
  </si>
  <si>
    <t>Arqueologia</t>
  </si>
  <si>
    <t>Engenharia de Produção</t>
  </si>
  <si>
    <t>Enfermagem</t>
  </si>
  <si>
    <t>Ciências Econômicas</t>
  </si>
  <si>
    <t>Estatística</t>
  </si>
  <si>
    <t>EstatÍstica</t>
  </si>
  <si>
    <t>Letras Português - Espanhol</t>
  </si>
  <si>
    <t>Engenharia da Computação</t>
  </si>
  <si>
    <t>Técnico em Hospedagem</t>
  </si>
  <si>
    <t>Egressos Participantes</t>
  </si>
  <si>
    <t>Cursaram alguma pós-graduação após a conclusão da graduação?</t>
  </si>
  <si>
    <t>5.2</t>
  </si>
  <si>
    <t>5.3</t>
  </si>
  <si>
    <t>Tipos de pós-graduação procuradas após a conclusão da graduação</t>
  </si>
  <si>
    <t>Qual (is) tipo (s) de pós-graduação você cursou? - por curso</t>
  </si>
  <si>
    <t>6.2</t>
  </si>
  <si>
    <t>6.3</t>
  </si>
  <si>
    <t>6.4</t>
  </si>
  <si>
    <t>Continuar estudando e atualizando</t>
  </si>
  <si>
    <t>6.5</t>
  </si>
  <si>
    <t>Motivação de professores que serviram  como modelo  para  mim</t>
  </si>
  <si>
    <t>Ampliar as chances em mestrados e concursos na área</t>
  </si>
  <si>
    <t>Motivações para cursar a pós-graduação</t>
  </si>
  <si>
    <t>O que te motivou a cursar a pós-graduação? - por curso</t>
  </si>
  <si>
    <t>Já teve algum emprego remunerado desde que se formou?</t>
  </si>
  <si>
    <t>Tempo de formado até entrar no Mercado de Trabalho</t>
  </si>
  <si>
    <t>Tempo em que começaram a procurar por um emprego</t>
  </si>
  <si>
    <t>Canais de acesso à vaga no mercado de trabalho</t>
  </si>
  <si>
    <t>Se &lt; q 19 &gt; "Sim, iniciei em um novo emprego após concluir a graduação"</t>
  </si>
  <si>
    <t>Se &lt; q 19 &gt; "Sim, continuei no emprego em que eu já estava durante a graduação"</t>
  </si>
  <si>
    <t>Nível de associação entre as atividades do primeiro emprego e a graduação</t>
  </si>
  <si>
    <t>Profissional Autônomo?</t>
  </si>
  <si>
    <t>Salário inicial</t>
  </si>
  <si>
    <t>Primeiro emprego após formado</t>
  </si>
  <si>
    <t>Primeiro emprego após formado - Salário inicial</t>
  </si>
  <si>
    <t>Máximo</t>
  </si>
  <si>
    <t>Mínimo</t>
  </si>
  <si>
    <t>DP</t>
  </si>
  <si>
    <t>Var</t>
  </si>
  <si>
    <t>n</t>
  </si>
  <si>
    <t>Você já teve algum emprego remunerado desde que se formou? - por curso</t>
  </si>
  <si>
    <t>Aproximadamente, após quanto tempo depois de formado (a) você começou a trabalhar? - por curso</t>
  </si>
  <si>
    <t>Como você teve acesso a essa vaga? - por curso</t>
  </si>
  <si>
    <t>Em que medida as atividades do seu primeiro emprego após formado eram relacionadas à sua graduação no IFS? - por curso</t>
  </si>
  <si>
    <t>Em seu primeiro emprego após formado, qual era o seu salário inicial bruto? (em R$ por mês) - por curso</t>
  </si>
  <si>
    <t>Nível de utilização dos conhecimentos adquiridos no IFS (1º emprego)</t>
  </si>
  <si>
    <t>Nível de exigência do 1º emprego em relação a conhecimentos e habilidades</t>
  </si>
  <si>
    <t>Nível de exigência do 1º emprego em relação a conhecimentos e habilidades - por curso</t>
  </si>
  <si>
    <t>Permanece no primeiro emprego?</t>
  </si>
  <si>
    <t>Permanece no primeiro emprego? - por curso</t>
  </si>
  <si>
    <t>Tempo de permanência no primeiro emprego</t>
  </si>
  <si>
    <t>Nº de empregadores desde a conclusão da graduação</t>
  </si>
  <si>
    <t>Está em um empregado remunerado atualmente?</t>
  </si>
  <si>
    <t>Emprego Atual</t>
  </si>
  <si>
    <t>Emprego atual - Salário bruto</t>
  </si>
  <si>
    <t>CV</t>
  </si>
  <si>
    <t>Item</t>
  </si>
  <si>
    <t>Escala</t>
  </si>
  <si>
    <t>Q</t>
  </si>
  <si>
    <t>Var.P</t>
  </si>
  <si>
    <t>Var.A</t>
  </si>
  <si>
    <t>DP.A</t>
  </si>
  <si>
    <t>DP.P</t>
  </si>
  <si>
    <t>Motivos a escolher trabalhar num emprego considerado como "não apropriado" ou sem ligação com a área de formação</t>
  </si>
  <si>
    <t>Horas de trabalho por semana</t>
  </si>
  <si>
    <t>Tipo de Contrato Funcional</t>
  </si>
  <si>
    <t>Tempo no emprego atual</t>
  </si>
  <si>
    <t>Aceitação no mercado de trabalho</t>
  </si>
  <si>
    <t/>
  </si>
  <si>
    <t>FALTA DE ESPAÇO PRÓPRIO</t>
  </si>
  <si>
    <t>A falta de divulgação junto ao mercado de trabalho sobre o curso. Falta de informação quanto à remuneração e competências do profissional. Falta de informação quanto ao tipo de atuação do profissional.</t>
  </si>
  <si>
    <t>Outros objetivos</t>
  </si>
  <si>
    <t>Falta de valorização profissional por parte do mercado</t>
  </si>
  <si>
    <t>O fato de ter ingressado no mestrado poucos meses depois de concluir a graduação contribuiu bastante para não conciliar com emprego  uma vez que bolsista.</t>
  </si>
  <si>
    <t>Passei no concurso antes de concluir a graduação de certa forma n encontrei dificuldade mas coloco a baixa remuneração no mercado de Sergipe como um implicador</t>
  </si>
  <si>
    <t>Falta de divulgação do profissional em saneamento ambiental e discriminação pelo CREA</t>
  </si>
  <si>
    <t>Ainda não entrei. Faltam concursos que aceitem tecnólogos em Saneamento Ambiental. Fiz dois e fui muito bem mas ainda não o suficiente.</t>
  </si>
  <si>
    <t>Indiferença com profissionais qualificados na área de turismo.</t>
  </si>
  <si>
    <t>Sempre que.procurei emprego obtive exito</t>
  </si>
  <si>
    <t xml:space="preserve"> </t>
  </si>
  <si>
    <t>Mestrado e Doutorado</t>
  </si>
  <si>
    <t>Oportunidade de concurso público no próprio ifs</t>
  </si>
  <si>
    <t>EXPERIÊNCIA NOS ESTÁGIOS DURANTE A GRADUAÇÃO</t>
  </si>
  <si>
    <t>além de experiências profissionais</t>
  </si>
  <si>
    <t>Redundância a pergunta anterior que por vez já foi elucidada.</t>
  </si>
  <si>
    <t>Mestrado</t>
  </si>
  <si>
    <t>Amigos que me informaram que haveria uma seleção para escolher um técnico para trabalhar com licenciamento ambiental.</t>
  </si>
  <si>
    <t>Estudo autodidata</t>
  </si>
  <si>
    <t>CONHECIMENTOS EXTRAS</t>
  </si>
  <si>
    <t>A minha busca! Com todas as portas fechadas e muitos nãos com força e dedicação conseguir meu primeiro estágio e emprego. O IFS precisa melhorar muito em parcerias com empresas. Principalmente quando se trata dos cursos de Saneamento e Alimentos. Cito esses porque estudei mais não pude terminar o curso Técnico em Alimentos porque na época me barraram tinha sido aprovada no Superior em Saneamento. Sendo que só podia fazer um curso e com uns dois anos mais ou menos fiquei triste porque liberaram os cursos e eu tive que cancelar o meu. Colei Grau ano de 2017 por isso nem pude voltar ao curso de Alimentos porque se passaram os 5 anos. Eu queria muito voltar e reaproveitar as disciplinas cursadas. Fugi um pouco do sentindo mais aproveitando esse momento resolvi desabafar. Obervação: Invistam em parcerias para que os alunos possam estagiar. Pois é de valência ações voltadas para a qualificação e experiência de cada aluno. Obrigada pela atenção.</t>
  </si>
  <si>
    <t>Pontos que mais dificultaram o acesso ao mercado de trabalho</t>
  </si>
  <si>
    <t>Pontos que mais facilitaram o acesso ao mercado de trabalho</t>
  </si>
  <si>
    <t>Formas de ingresso no IFS</t>
  </si>
  <si>
    <t>Cotista?</t>
  </si>
  <si>
    <t>Autoavaliação quanto à rotina de estudos</t>
  </si>
  <si>
    <t>Situação no último ano da graduação</t>
  </si>
  <si>
    <t>Recurso</t>
  </si>
  <si>
    <t>Numa escala de 1 a 5, em que medida você considera a graduação no IFS uma boa base para:</t>
  </si>
  <si>
    <t>Participação em atividades de Pesquisa</t>
  </si>
  <si>
    <t>Escritório Modelo de Construção Civil</t>
  </si>
  <si>
    <t>Na época tinha disciplina de Projeto de Pesquisa</t>
  </si>
  <si>
    <t>I</t>
  </si>
  <si>
    <t>II e III</t>
  </si>
  <si>
    <t>monitorias</t>
  </si>
  <si>
    <t>Relevância das atividades de PESQUISA para a atuação profissional atualmente</t>
  </si>
  <si>
    <t>Participação em atividades de Extensão</t>
  </si>
  <si>
    <t>LAPATTra</t>
  </si>
  <si>
    <t>Pesquisa voluntária</t>
  </si>
  <si>
    <t>SISLOG - SEMPÓSIO SERGIPANO SE LOGÍSTICA</t>
  </si>
  <si>
    <t>Plano de Saneamento Basico de Aracaju</t>
  </si>
  <si>
    <t>Bolsista Júnior</t>
  </si>
  <si>
    <t>CURSO DE EXTENSÃO EM DANÇA DE SALÃO</t>
  </si>
  <si>
    <t>Relevância das atividades de EXTENSÃO para a atuação profissional atualmente</t>
  </si>
  <si>
    <t>Recebeu recursos da Assistência Estudantil?</t>
  </si>
  <si>
    <t>Relevância do recursos assistenciais</t>
  </si>
  <si>
    <t>Características da amostra</t>
  </si>
  <si>
    <t>Idade</t>
  </si>
  <si>
    <t>Total de egressos</t>
  </si>
  <si>
    <t>Egressos que nunca trabalharam</t>
  </si>
  <si>
    <t>Egressos que já trabalharam, mas estão desempregados</t>
  </si>
  <si>
    <t>Egressos sem trabalho remunerado atualmente</t>
  </si>
  <si>
    <t>Egressos trabalhando atualmente</t>
  </si>
  <si>
    <t>Ano de formação</t>
  </si>
  <si>
    <t>Ano de conclusão</t>
  </si>
  <si>
    <t>Maior</t>
  </si>
  <si>
    <t>Menor</t>
  </si>
  <si>
    <t>Por Curso</t>
  </si>
  <si>
    <t>Programas de Extensão</t>
  </si>
  <si>
    <t>Eventos de extensão</t>
  </si>
  <si>
    <t>Projetos de pesquisa</t>
  </si>
  <si>
    <t>Grau de Instrução do Pai</t>
  </si>
  <si>
    <t>Grau de Instrução da Mãe</t>
  </si>
  <si>
    <t>Pai</t>
  </si>
  <si>
    <t>Mãe</t>
  </si>
  <si>
    <t>Grau de Instrução</t>
  </si>
  <si>
    <t>Médio incompleto</t>
  </si>
  <si>
    <t>Médio completo</t>
  </si>
  <si>
    <t>Superior incompleto</t>
  </si>
  <si>
    <t>Superior completo</t>
  </si>
  <si>
    <t>Fund. incompleto</t>
  </si>
  <si>
    <t>Fund. completo</t>
  </si>
  <si>
    <t>Valores</t>
  </si>
  <si>
    <t>Você teve alguma experiência de trabalho relacionada à sua área de graduação?</t>
  </si>
  <si>
    <t>Antes da Graduação</t>
  </si>
  <si>
    <t>Durante a Graduação</t>
  </si>
  <si>
    <t>Aspectos da vida profissional</t>
  </si>
  <si>
    <t>Nº de Participantes por Modalidade de Curso</t>
  </si>
  <si>
    <t>Bacharelado</t>
  </si>
  <si>
    <t>Licenciatura</t>
  </si>
  <si>
    <t>Tecnologia</t>
  </si>
  <si>
    <t>% - TE</t>
  </si>
  <si>
    <t>Após a conclusão da graduação, você cursou alguma pós-graduação? - Por Curso</t>
  </si>
  <si>
    <t>Após a conclusão da graduação, você cursou alguma pós-graduação? - Por Campus</t>
  </si>
  <si>
    <t>Modalidade</t>
  </si>
  <si>
    <t>Modalidade do Curso</t>
  </si>
  <si>
    <t>O que te motivou a cursar a pós-graduação? - por campus</t>
  </si>
  <si>
    <t>O que te motivou a cursar a pós-graduação? - por modalidade</t>
  </si>
  <si>
    <t>Você teve alguma experiência de trabalho relacionada à sua área de graduação? - Por curso</t>
  </si>
  <si>
    <t>Qual o nome dessa outra graduação que você
cursou (ou está cursando)?</t>
  </si>
  <si>
    <t>Qual o nome dessa outra graduação que você cursou (ou está cursando)? - Por curso</t>
  </si>
  <si>
    <t>Onde você cursou (ou está cursando) essa outra graduação? - Por curso</t>
  </si>
  <si>
    <t>13 a 15</t>
  </si>
  <si>
    <t>Em que medida as seguintes sentenças se aplicam à sua decisão
de cursar outra graduação?</t>
  </si>
  <si>
    <t>Em que medida as seguintes sentenças se aplicam à sua decisão
de cursar outra graduação? - Por curso</t>
  </si>
  <si>
    <t>Você já teve algum emprego remunerado desde que se formou? - Por curso</t>
  </si>
  <si>
    <t>Você já teve algum emprego remunerado desde que se formou? - Por ano de conclusão e curso</t>
  </si>
  <si>
    <t>Todos menos o Ano acima</t>
  </si>
  <si>
    <t>Primeiro emprego após a conclusão da graduação</t>
  </si>
  <si>
    <t>Cargo associado à resposta original</t>
  </si>
  <si>
    <t>Inspetor de Segurança</t>
  </si>
  <si>
    <t>Diretor Administrativo</t>
  </si>
  <si>
    <t>Atendente de Hospedagem</t>
  </si>
  <si>
    <t>Desenvolvedor Full Stack</t>
  </si>
  <si>
    <t>Técnico Ambiental</t>
  </si>
  <si>
    <t>Caixa</t>
  </si>
  <si>
    <t>Condutor de Ambulância</t>
  </si>
  <si>
    <t>Agente de Fiscalização de Obras</t>
  </si>
  <si>
    <t>Analista de Desenvolvimento de TI</t>
  </si>
  <si>
    <t>Consultor de Vendas</t>
  </si>
  <si>
    <t>Administrador de Data Center</t>
  </si>
  <si>
    <t>Assistente de Laboratório de Construção Civil</t>
  </si>
  <si>
    <t>Assistente de Turismo</t>
  </si>
  <si>
    <t>Auxiliar de Laboratório</t>
  </si>
  <si>
    <t>Chefe de Patrimônio</t>
  </si>
  <si>
    <t>Tecnólogo em Saneamento Ambiental</t>
  </si>
  <si>
    <t>Auxiliar de Engenharia</t>
  </si>
  <si>
    <t>Telefonista</t>
  </si>
  <si>
    <t>Função Comissionada</t>
  </si>
  <si>
    <t>Assistente Técnico de Engenharia Civil</t>
  </si>
  <si>
    <t>Técnico de Suporte</t>
  </si>
  <si>
    <t>Consultor de Negócios</t>
  </si>
  <si>
    <t>Funcionário Público</t>
  </si>
  <si>
    <t>Recenseador</t>
  </si>
  <si>
    <t>Auxiliar de Controle da Qualidade</t>
  </si>
  <si>
    <t>Analista de Qualidade</t>
  </si>
  <si>
    <t>Assistente de Agricultura</t>
  </si>
  <si>
    <t>Gerente de Insfraestrutura Tecnológica</t>
  </si>
  <si>
    <t>Berçarista</t>
  </si>
  <si>
    <t>Assistente de Laboratório</t>
  </si>
  <si>
    <t>Projetista</t>
  </si>
  <si>
    <t>Executor de Serviços Básicos</t>
  </si>
  <si>
    <t>Diretor de Projetos</t>
  </si>
  <si>
    <t>Assessor de Diretoria</t>
  </si>
  <si>
    <t>Programador Web</t>
  </si>
  <si>
    <t>Técnico em Eletroeletrônica</t>
  </si>
  <si>
    <t>Turismólogo</t>
  </si>
  <si>
    <t>Operador de Painel Central</t>
  </si>
  <si>
    <t>Técnico em Operações</t>
  </si>
  <si>
    <t>Técnico em Elétrica</t>
  </si>
  <si>
    <t>Cargo (1º Emprego)</t>
  </si>
  <si>
    <t>Total de egressos (S/ 2018)</t>
  </si>
  <si>
    <t>Egressos s/ trabalho remunerado atualmente (S/ 2018)</t>
  </si>
  <si>
    <t>% Ano Conc.</t>
  </si>
  <si>
    <t>Comentários</t>
  </si>
  <si>
    <t>Egressos
SIGAA</t>
  </si>
  <si>
    <t>Nº de Participantes - por curso</t>
  </si>
  <si>
    <t>Nº de Participantes - por campus</t>
  </si>
  <si>
    <t>Nº de Participantes - por sexo</t>
  </si>
  <si>
    <t>Sexo, Cor e Idade</t>
  </si>
  <si>
    <t>&gt;&gt;</t>
  </si>
  <si>
    <t>Sexo, Cor e Idade - Por Curso</t>
  </si>
  <si>
    <t>Grau de Instrução - Por Curso</t>
  </si>
  <si>
    <t>Ano de Conclusão - Por Curso</t>
  </si>
  <si>
    <t>% Acumul.</t>
  </si>
  <si>
    <t>Caracterização da Amostra</t>
  </si>
  <si>
    <t>Continuidade dos Estudos</t>
  </si>
  <si>
    <t>Após a conclusão da graduação, você cursou alguma pós-graduação? - Por Modalidade de Curso</t>
  </si>
  <si>
    <t>Qualificação ANTES de iniciar a graduação no IFS</t>
  </si>
  <si>
    <t>f - Mesma Área</t>
  </si>
  <si>
    <t>f - Outra Área</t>
  </si>
  <si>
    <t>% - Mesma Área</t>
  </si>
  <si>
    <t>% - Outra Área</t>
  </si>
  <si>
    <t>Sim, cursei (ou estou cursando) outra graduação.</t>
  </si>
  <si>
    <t>f - Total</t>
  </si>
  <si>
    <t>Transição de Estudo para Trabalho</t>
  </si>
  <si>
    <t>Quando você começou a procurar por um emprego? - por Curso</t>
  </si>
  <si>
    <t>Primeiro Emprego</t>
  </si>
  <si>
    <t>Em seu primeiro emprego após formado, qual era o nome do cargo ocupado? - Por Curso</t>
  </si>
  <si>
    <t>Em seu primeiro emprego após formado, qual era o nome do cargo ocupado?</t>
  </si>
  <si>
    <t>Coeficiente de Variação</t>
  </si>
  <si>
    <t>Você era um profissional autônomo? - por Curso</t>
  </si>
  <si>
    <t>Em que medida os conhecimentos adquiridos no IFS foram utilizados por você nesse emprego? - por Curso</t>
  </si>
  <si>
    <t>Em que medida esse emprego demandou mais conhecimentos e habilidades do que você poderia realmente oferecer? - por Curso</t>
  </si>
  <si>
    <t>Você ainda está em seu primeiro emprego? - por Curso</t>
  </si>
  <si>
    <t>Aproximadamente, durante quanto tempo você permaneceu no seu primeiro emprego? - por Curso</t>
  </si>
  <si>
    <t>No total, quantos empregadores você teve desde a conclusão da graduação? - por Curso</t>
  </si>
  <si>
    <t>Atualmente você está em um emprego remunerado? - por Curso</t>
  </si>
  <si>
    <t>Nunca esteve em um emprego remunerado desde que se formou</t>
  </si>
  <si>
    <t>Salário inicial
(1º emprego)</t>
  </si>
  <si>
    <t>Salário inicial
(Emprego Atual)</t>
  </si>
  <si>
    <t>%
(Atual / 1º)</t>
  </si>
  <si>
    <r>
      <t xml:space="preserve">Abaixo há uma lista de competências. Numa escala de 1 a 5, informe como você avalia </t>
    </r>
    <r>
      <rPr>
        <b/>
        <sz val="10"/>
        <color rgb="FFFFFF00"/>
        <rFont val="Times New Roman"/>
        <family val="1"/>
      </rPr>
      <t>SEU NÍVEL</t>
    </r>
    <r>
      <rPr>
        <b/>
        <sz val="10"/>
        <color theme="0"/>
        <rFont val="Times New Roman"/>
        <family val="1"/>
      </rPr>
      <t xml:space="preserve"> nas respectivas competências.</t>
    </r>
  </si>
  <si>
    <r>
      <t xml:space="preserve">Abaixo há uma lista de competências. Numa escala de 1 a 5, informe o nível </t>
    </r>
    <r>
      <rPr>
        <b/>
        <sz val="10"/>
        <color rgb="FFFFFF00"/>
        <rFont val="Times New Roman"/>
        <family val="1"/>
      </rPr>
      <t>EXIGIDO</t>
    </r>
    <r>
      <rPr>
        <b/>
        <sz val="10"/>
        <color theme="0"/>
        <rFont val="Times New Roman"/>
        <family val="1"/>
      </rPr>
      <t xml:space="preserve"> de cada uma dessas competências </t>
    </r>
    <r>
      <rPr>
        <b/>
        <sz val="10"/>
        <color rgb="FFFFFF00"/>
        <rFont val="Times New Roman"/>
        <family val="1"/>
      </rPr>
      <t>em seu emprego atual</t>
    </r>
    <r>
      <rPr>
        <b/>
        <sz val="10"/>
        <color theme="0"/>
        <rFont val="Times New Roman"/>
        <family val="1"/>
      </rPr>
      <t>.</t>
    </r>
  </si>
  <si>
    <t>Avaliação da Instituição</t>
  </si>
  <si>
    <t>De que forma você ingressou na instituição? - Por Curso</t>
  </si>
  <si>
    <t>Você ingressou via política de cotas? - Por Curso</t>
  </si>
  <si>
    <t>Autoavaliação quanto à rotina de estudos - Por Curso</t>
  </si>
  <si>
    <t>Com qual frequência o curso utilizava os seguintes recursos como ferramenta de ensino? - Por Curso</t>
  </si>
  <si>
    <t>Olhando para trás, se pudesse escolher novamente, você escolheria o mesmo curso na mesma instituição? - Por Curso</t>
  </si>
  <si>
    <t>Qual o grau de relevância dessas atividades de PESQUISA durante a graduação para sua atuação profissional atualmente? - Por Curso</t>
  </si>
  <si>
    <t>Você participou de alguma atividade relacionada à EXTENSÃO durante a graduação? - Por Curso</t>
  </si>
  <si>
    <t>De qual (is) atividade (s) de EXTENSÃO você participou? - Por Curso</t>
  </si>
  <si>
    <t>Você recebeu recursos de Assistência Estudantil durante a graduação? - Por Curso</t>
  </si>
  <si>
    <t>O quanto esses recursos assistenciais foram importantes para que você conseguisse concluir a graduação no IFS? - Por Curso</t>
  </si>
  <si>
    <t>IRA - Por Curso</t>
  </si>
  <si>
    <t>IRA - Por Ano de Conclusão</t>
  </si>
  <si>
    <t>Qual o grau de relevância dessas atividades de EXTENSÃO durante a graduação para sua atuação profissional atualmente? - Por Curso</t>
  </si>
  <si>
    <t>IRA - Por "Participação" ou "Não Participação" em Atividades de Pesquisa</t>
  </si>
  <si>
    <t>IRA - Por "Participação" ou "Não Participação" em Atividades de Extensão</t>
  </si>
  <si>
    <t>IRA - Por "Recebimento" ou "Não recebimento" de Recursos da Assistência Estudantil</t>
  </si>
  <si>
    <t>IRA - Por Situação no último ano da graduação</t>
  </si>
  <si>
    <t>Comentários e Sugestões</t>
  </si>
  <si>
    <t>I Pesquisa Geral com Egressos dos Cursos de Nível Superior</t>
  </si>
  <si>
    <t xml:space="preserve">
</t>
  </si>
  <si>
    <t>Escala: (1) Nunca ... (5) Sempre</t>
  </si>
  <si>
    <t>Com qual frequência o curso utilizava os seguintes recursos como ferramenta de ensino?</t>
  </si>
  <si>
    <r>
      <rPr>
        <b/>
        <sz val="10"/>
        <color rgb="FF000000"/>
        <rFont val="Times New Roman"/>
        <family val="1"/>
      </rPr>
      <t>Escala:</t>
    </r>
    <r>
      <rPr>
        <sz val="10"/>
        <color rgb="FF000000"/>
        <rFont val="Times New Roman"/>
        <family val="1"/>
      </rPr>
      <t xml:space="preserve"> (1) Nunca ... (5) Sempre</t>
    </r>
  </si>
  <si>
    <t>Gerente de Vendas</t>
  </si>
  <si>
    <t>Recepção</t>
  </si>
  <si>
    <t>Orçamentista</t>
  </si>
  <si>
    <t>Servidor Público</t>
  </si>
  <si>
    <t>Monitora de Transporte Escolar</t>
  </si>
  <si>
    <t>Agente de Apoio Educacional</t>
  </si>
  <si>
    <t>Assistente em Agência de Turismo</t>
  </si>
  <si>
    <t>Profissional da Automação de Marketing</t>
  </si>
  <si>
    <t>Auxiliar de Engenharia Civil</t>
  </si>
  <si>
    <t>Coreógrafo</t>
  </si>
  <si>
    <t>Supervisor Técnico Administrativo</t>
  </si>
  <si>
    <t>Gerentes de Projetos</t>
  </si>
  <si>
    <t>Microempresário</t>
  </si>
  <si>
    <t>Trainee - Engenheiro Civil</t>
  </si>
  <si>
    <t>Tecnólogo em Laticínio</t>
  </si>
  <si>
    <t>Monitor de Transporte Escolar</t>
  </si>
  <si>
    <t>Administrador</t>
  </si>
  <si>
    <t>Supervisão</t>
  </si>
  <si>
    <t>Agente de Segurança Pública</t>
  </si>
  <si>
    <t>Desenvolvedor</t>
  </si>
  <si>
    <t>Gerente Administrativo</t>
  </si>
  <si>
    <t>Assistente Comercial</t>
  </si>
  <si>
    <t>Oficial Administrativo</t>
  </si>
  <si>
    <t>Eletricista Industrial</t>
  </si>
  <si>
    <t>Qual o nome do cargo ocupado por você ATUALMENTE?</t>
  </si>
  <si>
    <t>Cargo (Emprego Atual)</t>
  </si>
  <si>
    <t>Qual o nome do cargo ocupado por você ATUALMENTE? - Por Curso</t>
  </si>
  <si>
    <t>Índice</t>
  </si>
  <si>
    <t>Comentários Livres e Sugestões</t>
  </si>
  <si>
    <t>2018</t>
  </si>
  <si>
    <t>2009</t>
  </si>
  <si>
    <t>2011</t>
  </si>
  <si>
    <t>2008</t>
  </si>
  <si>
    <t>2010</t>
  </si>
  <si>
    <t>2005</t>
  </si>
  <si>
    <r>
      <rPr>
        <b/>
        <sz val="10"/>
        <color rgb="FF000000"/>
        <rFont val="Arial Narrow"/>
        <family val="2"/>
      </rPr>
      <t xml:space="preserve">A I Pesquisa Geral com Egressos dos Cursos de Nível Superior do IFS ocorreu entre os dias 01 e 23 de novembro de 2018 e conseguiu mobilizar 287 respondentes que, após um processo de </t>
    </r>
    <r>
      <rPr>
        <b/>
        <i/>
        <sz val="10"/>
        <color rgb="FF000000"/>
        <rFont val="Arial Narrow"/>
        <family val="2"/>
      </rPr>
      <t>data cleaning</t>
    </r>
    <r>
      <rPr>
        <b/>
        <sz val="10"/>
        <color rgb="FF000000"/>
        <rFont val="Arial Narrow"/>
        <family val="2"/>
      </rPr>
      <t>, resultaram em 271 participações válidas para consideração na análise.</t>
    </r>
    <r>
      <rPr>
        <sz val="10"/>
        <color rgb="FF000000"/>
        <rFont val="Arial Narrow"/>
        <family val="2"/>
      </rPr>
      <t xml:space="preserve">
O objetivo geral do estudo foi analisar as expectativas e as avaliações dos egressos dos cursos de nível superior em relação a diversos aspectos da vida acadêmica no Instituto e sua inserção no mercado de trabalho após a conclusão dos estudos.
* De acordo com o SIGAA, até novembro/2018 o IFS possuía 672 egressos. A pesquisa, portanto, contou com a participação de 271 destes (40,3%).
* Do total de participantes, 53,9% são egressos de cursos tecnólogos, 24,7% de cursos de bacharelado e 21,4% de cursos de licenciatura.
* Dentre os </t>
    </r>
    <r>
      <rPr>
        <i/>
        <sz val="10"/>
        <color rgb="FF000000"/>
        <rFont val="Arial Narrow"/>
        <family val="2"/>
      </rPr>
      <t>campi</t>
    </r>
    <r>
      <rPr>
        <sz val="10"/>
        <color rgb="FF000000"/>
        <rFont val="Arial Narrow"/>
        <family val="2"/>
      </rPr>
      <t>, essa taxa de participação variou de 31,7% (</t>
    </r>
    <r>
      <rPr>
        <i/>
        <sz val="10"/>
        <color rgb="FF000000"/>
        <rFont val="Arial Narrow"/>
        <family val="2"/>
      </rPr>
      <t>campus</t>
    </r>
    <r>
      <rPr>
        <sz val="10"/>
        <color rgb="FF000000"/>
        <rFont val="Arial Narrow"/>
        <family val="2"/>
      </rPr>
      <t xml:space="preserve"> Nossa Senhora da Glória) até 62,9% (</t>
    </r>
    <r>
      <rPr>
        <i/>
        <sz val="10"/>
        <color rgb="FF000000"/>
        <rFont val="Arial Narrow"/>
        <family val="2"/>
      </rPr>
      <t>campus</t>
    </r>
    <r>
      <rPr>
        <sz val="10"/>
        <color rgb="FF000000"/>
        <rFont val="Arial Narrow"/>
        <family val="2"/>
      </rPr>
      <t xml:space="preserve"> Lagarto).
*Dentre os cursos, apenas Tecnologia em Alimentos (17,6%) e Tecnologia em Gestão de Turismo (25,9%) apresentaram uma taxa de participação na pesquisa inferior a 30% do total de egressos. Por outro lado, os cursos com maiores proporções de egressos participantes foram Licenciatura em Física (88,9%) e Bacharelado em Sistemas de Informação (61,3%).
* A média de idade dos egressos participantes foi de 30 anos, sendo 27 a idade mais comum. Além disso, 52% são do sexo masculino e 48% do sexo feminino. Quanto à cor,  a maioria (63,7%) se autodeclarou parda. Quanto ao ano de formação, 90,7% se formaram entre 2013 e 2018.</t>
    </r>
  </si>
  <si>
    <r>
      <rPr>
        <b/>
        <sz val="10"/>
        <color rgb="FF000000"/>
        <rFont val="Arial Narrow"/>
        <family val="2"/>
      </rPr>
      <t>Esta seção busca identificar os caminhos dos egressos em relação à continuidade de seus estudos, bem como os principais fatores que os motivaram a continuar ou não a vida acadêmica, seja através de uma pós-graduação ou mesmo optando por fazer mais um curso de graduação.</t>
    </r>
    <r>
      <rPr>
        <sz val="10"/>
        <color rgb="FF000000"/>
        <rFont val="Arial Narrow"/>
        <family val="2"/>
      </rPr>
      <t xml:space="preserve">
* Em média, 38% dos egressos cursaram alguma pós-graduação após concluírem a graduação no IFS.
* Os tipos de pós-graduação mais comuns foram a Especialização (51,5%) e o Mestrado Acadêmico (41,7%).
* De acordo com os egressos que fizeram pós-graduação, suas principais motivações para cursá-la foram a possibilidade de "Desenvolver habilidades e conhecimentos" (62,1%) e de "Ampliar as oportunidades de emprego" (68,0%).
* Antes de entrar no curso, 77,1% dos egressos afirmaram não ter tido experiência de trabalho relacionada à sua área de graduação. Contudo, durante a graduação, 67,5% dos egressos afirmaram ter tido alguma experiência de trabalho associada à área do curso.
* Após concluírem os estudos no IFS, 7,0% dos egressos informaram que cursaram ou estavam cursando um outro curso de graduação na mesma área; Por outro lado, 14,4% cursaram ou estavam cursando outra graduação em outra área; 78,6% não cursaram outro curso de graduação.
* As graduações mais citadas foram: Administração (8,8%), Química e Engenharia Civil (7,0% cada) e Ciências Biológicas, Engenharia Elétrica, Física, Pedagogia e Sistemas da Informação (5,3% cada);
* Os referidos egressos fizeram ou fazem a outra graduação na UFS (43,1%), em alguma IES Privada (37,9%), no próprio IFS (17,2%) e em outra IES Pública (1,7%).
* Para 36% desses egressos, a decisão de cursar outra graduação foi em alguma medida influenciada pelo fato da graduação no Instituto não ter trazido o retorno esperado no mercado de trabalho. Para 28%, sua não adaptação à área do curso teve influência na decisão. Por fim, para 53% desses egressos, o desejo de aprimorar os conhecimentos adquiridos na graduação do IFS foi um fator fortemmente considerado.</t>
    </r>
  </si>
  <si>
    <r>
      <rPr>
        <b/>
        <sz val="10"/>
        <color rgb="FF000000"/>
        <rFont val="Arial Narrow"/>
        <family val="2"/>
      </rPr>
      <t>Esta seção analisa o período de transição no qual o aluno busca se inserir no mercado de trabalho logo após concluir sua graduação.</t>
    </r>
    <r>
      <rPr>
        <sz val="10"/>
        <color rgb="FF000000"/>
        <rFont val="Arial Narrow"/>
        <family val="2"/>
      </rPr>
      <t xml:space="preserve">
* De acordo com os resultados, 64,2% dos egressos já tiveram ao menos um emprego remunerado desde que se formaram, sendo este percentual a soma de 36,9% de egressos que iniciaram em emprego novo após a conclusão do curso e de 27,3% de egressos que já trabalhavam durante a graduação e apenas continuaram no emprego após a formatura.
* Por outro lado, 35,8% dos egressos afirmaram que ainda não tiveram emprego remunerado desde que se formaram. Dentre os cursos, a Licenciatura em Física parece ser um caso de atenção, uma vez que 87,5% dos egressos afirmaram que ainda não tiveram emprego remunerado. O destaque positivo foi o Bacharelado em Sistemas de Informação, cujo percentual foi de apenas 5,3% dos egressos.
* Dentre os que iniciaram em um novo emprego após concluírem a graduação, 80% conseguiram o emprego no primeiro ano de formado (e 52% nos primeiros 6 meses).
* Dentre esses egressos, observa-se que o acesso à vaga no mercado de trabalho se deu principalmente através da interferência de familiares, amigos ou conhecidos (37,0%), da aprovação em concursos públicos (16,0%) ou através da iniciativa própria de entrar em contato com o empregador em busca do emprego (13,0%).
* Já dentre aqueles que continuaram no emprego que tinham durante a graduação, observa-se que o acesso ao mercado de trabalho se deu principalmente através da ajuda de familiares, amigos ou conhecidos (27,0%), da aprovação em concursos públicos (24,3%) e do estágio durante a graduação (17,6%).</t>
    </r>
  </si>
  <si>
    <r>
      <rPr>
        <b/>
        <sz val="10"/>
        <color rgb="FF000000"/>
        <rFont val="Arial Narrow"/>
        <family val="2"/>
      </rPr>
      <t>Esta seção reúne informações sobre a primeira experiência de emprego dos egressos após a conclusão da graduação.</t>
    </r>
    <r>
      <rPr>
        <sz val="10"/>
        <color rgb="FF000000"/>
        <rFont val="Arial Narrow"/>
        <family val="2"/>
      </rPr>
      <t xml:space="preserve">
* De modo geral, os cargos mais comuns ocupados pelos egressos foram Professor (19,0%), Engenheiro Civil (4,9%), Auxiliar Administrativo e Assistente Administrativo (4,3% cada) e Analista de Sistemas (3,1%). Obviamente, cada curso possui suas especificidades em relação aos cargos que seus egressos ocupam.
* Para 60,9% dos egressos que já tiveram alguma experiência de emprego remunerado após a formatura, as atividades de seu 1º emprego eram relacionadas ao curso. Para 25,9% deles, essa relação era fraca ou inexistente.
* A remuneração média dos egressos em seu primeiro emprego após a formatura foi de R$ 1.982,67, sendo que a remuneração mais elevada identificada foi de R$ 21.350, a mais baixa de R$ 400,00 e a mais comum de R$ 1.500,00 por mês.
* Este grupo de egressos também afirmou que teve, em média, dois empregos desde a conclusão da graduação.</t>
    </r>
  </si>
  <si>
    <r>
      <rPr>
        <b/>
        <sz val="10"/>
        <color rgb="FF000000"/>
        <rFont val="Times New Roman"/>
        <family val="1"/>
      </rPr>
      <t>Esta seção reúne informações acerca do emprego atual dos egressos que participaram da pesquisa. Além disso, a seção também investiga as avaliações a respeito da receptividade que eles tiveram no mercado de trabalho, bem como os motivos que mais facilitaram e os que mais dificultaram essa inserção.</t>
    </r>
    <r>
      <rPr>
        <sz val="10"/>
        <color rgb="FF000000"/>
        <rFont val="Times New Roman"/>
        <family val="1"/>
      </rPr>
      <t xml:space="preserve">
* Dos 271 egressos que participaram da pesquisa, 157 (57,9%) estavam empregados no momento da consulta, outros 17 (6,3%) já tiveram emprego após a formatura, mas estavam desempregados na ocasião e, por fim, 97 (35,8%) egressos ainda não haviam participado no mercado de trabalho desde que se formaram.
* A remuneração média dos egressos no emprego atual foi de R$ 2.845,21, 43,5% superior à média observada para o primeiro emprego. A remuneração mais elevada identificada foi de R$ 26.100 (+22,2%), a mais baixa de R$ 600,00 (+50,0%). A moda permaneceu em R$ 1.500,00 por mês.
* Sobre o nível de satisfação da remuneração atual, observa-se um grupo de 27,4% de egressos que estavam ao menos satisfeitos com sua renda e outro de 31,8% de insatisfeitos com o que recebiam naquele momento.
* Observa-se também que 54,1% dos egressos que estavam trabalhando afirmaram que os conhecimentos adquiridos no IFS eram úteis para desempenhar as atividades exercidas em seus respectivos empregos. Para 23,6%, os conhecimentos do curso têm sido de pouca ou nenhuma utilidade em suas atuais atividades profissionais.
* No geral, 51,0% dos egressos estão satisfeitos ou muito satisfeitos com o emprego atual, enquanto 14,0% estão insatisfeitos ou muito insatisfeitos. Um grupo de 35,0% de egressos foi indiferente à questão.
* No caso geral e mais comum, o egresso trabalha entre 40 e 44 horas por semana (49%), em regime CLT por tempo indeterminado (54,7%) e está há mais de 2 anos no emprego (56,9%).
* Dentre todos os egressos participantes, 43,9% afirmaram que foram bem aceitos no mercado de trabalho ante um grupo de 28,4% que afirmaram ter tido uma aceitação ruim.
* Os fatores que mais dificultaram a inserção do egresso no mercado de trabalho foram a baixa demanda do mercado para suas respectivas áreas de atuação (56,1%), a situação econômica do país/estado (38,7%), a pouca experiência profissional (34,3%) e a falta de contatos que pudessem me indicar a vagas de emprego (32,1%).
* Já entre os fatores que mais facilitaram a inserção no mercado de trabalho, os egressos apontaram principalmente a boa reputação do IFS (39,9%), os cursos de aperfeiçoamento que possuíam (26,6%), a experiência profissional (25,8%), os concorrentes menos preparados (24,7%) e a existência de contatos que pudessem indicá-los a vagas de emprego (24,7%).</t>
    </r>
  </si>
  <si>
    <r>
      <rPr>
        <b/>
        <sz val="10"/>
        <color rgb="FF000000"/>
        <rFont val="Times New Roman"/>
        <family val="1"/>
      </rPr>
      <t xml:space="preserve">Esta seção trata da relação dos egressos com a instituição, considerando a experiência que tiveram enquanto alunos do IFS. Neste sentido, eles avaliam o curso e as atividades de Pesquisa, Extensão e Assistência, das quais participaram ao longo da vida acadêmica.
</t>
    </r>
    <r>
      <rPr>
        <sz val="10"/>
        <color rgb="FF000000"/>
        <rFont val="Times New Roman"/>
        <family val="1"/>
      </rPr>
      <t xml:space="preserve">
* Dos 271 egressos participantes, 67,5% ingressaram via Vestibular, 28,0% via SISU e 4,4% através das demais modalidades;
* Apenas 19,3% entraram através de vagas reservadas ao sistema de cotas;
* Para 35,8% dos egressos, estudar não era sua atividade principal no último ano da graduação;
* Quanto à rotina de estudos, 79,3% afirmaram que frequentemente se esforçavam para obter as notas máximas;
* Por outro lado, 41,3% afirmaram que estudavam apenas o suficiente para passar nas provas;
* Os egressos também avaliaram a contribuição da formação do IFS para alguns aspectos da vida profissional. Nesse sentido, uma parcela majoritária e expressiva dos egressos consideram que a graduação no IFS foi importante ou muito importante para iniciar no mundo do trabalho, desenvolver suas atividades atuais, obterem um futuro melhor na carreira, obterem desenvolvimento pessoal e, em menor grau, desenvolverem atividades empreendedoras;
* Ademais, 60,9% dos egressos afirmaram que, se pudessem escolher novamente, fariam o mesmo curso na mesma instituição. Outros 23,6% fariam um curso diferente, mas optariam por continuar no IFS, o que demonstra a ótima avaliação do Instituto por parte dos egressos.
* Foi observada uma elevada proporção de egressos que consideraram que as atividades de Pesquisa e Extensão foram muito relevantes para sua atuação profissional. O mesmo pode se dizer das atividades de Assistência Estudantil no que diz respeito à relevância dessas atividades para a conclusão dos estudos desses profissionais.</t>
    </r>
  </si>
  <si>
    <t>Se você considerar o seu emprego como pouco apropriado e sem ligação com o seu diploma, por que o escolheu? - Por Curso</t>
  </si>
  <si>
    <t>Quantas horas por semana você trabalha? - Por Curso</t>
  </si>
  <si>
    <t>Em seu emprego atual, qual é o tipo de contrato funcional? - Por Curso</t>
  </si>
  <si>
    <t>Qual a modalidade do curso? - Por Curso</t>
  </si>
  <si>
    <r>
      <rPr>
        <b/>
        <u/>
        <sz val="10"/>
        <color rgb="FF000000"/>
        <rFont val="Times New Roman"/>
        <family val="1"/>
      </rPr>
      <t>Escala</t>
    </r>
    <r>
      <rPr>
        <b/>
        <sz val="10"/>
        <color rgb="FF000000"/>
        <rFont val="Times New Roman"/>
        <family val="1"/>
      </rPr>
      <t>:</t>
    </r>
    <r>
      <rPr>
        <sz val="10"/>
        <color rgb="FF000000"/>
        <rFont val="Times New Roman"/>
        <family val="1"/>
      </rPr>
      <t xml:space="preserve"> </t>
    </r>
    <r>
      <rPr>
        <b/>
        <sz val="10"/>
        <color rgb="FF000000"/>
        <rFont val="Times New Roman"/>
        <family val="1"/>
      </rPr>
      <t>(1)</t>
    </r>
    <r>
      <rPr>
        <sz val="10"/>
        <color rgb="FF000000"/>
        <rFont val="Times New Roman"/>
        <family val="1"/>
      </rPr>
      <t xml:space="preserve"> Nem um pouco ... </t>
    </r>
    <r>
      <rPr>
        <b/>
        <sz val="10"/>
        <color rgb="FF000000"/>
        <rFont val="Times New Roman"/>
        <family val="1"/>
      </rPr>
      <t>(5)</t>
    </r>
    <r>
      <rPr>
        <sz val="10"/>
        <color rgb="FF000000"/>
        <rFont val="Times New Roman"/>
        <family val="1"/>
      </rPr>
      <t xml:space="preserve"> Em grande medida</t>
    </r>
  </si>
  <si>
    <r>
      <rPr>
        <b/>
        <u/>
        <sz val="10"/>
        <rFont val="Times New Roman"/>
        <family val="1"/>
      </rPr>
      <t>Escala</t>
    </r>
    <r>
      <rPr>
        <b/>
        <sz val="10"/>
        <rFont val="Times New Roman"/>
        <family val="1"/>
      </rPr>
      <t>:</t>
    </r>
    <r>
      <rPr>
        <sz val="10"/>
        <rFont val="Times New Roman"/>
        <family val="1"/>
      </rPr>
      <t xml:space="preserve"> </t>
    </r>
    <r>
      <rPr>
        <b/>
        <sz val="10"/>
        <rFont val="Times New Roman"/>
        <family val="1"/>
      </rPr>
      <t>(1)</t>
    </r>
    <r>
      <rPr>
        <sz val="10"/>
        <rFont val="Times New Roman"/>
        <family val="1"/>
      </rPr>
      <t xml:space="preserve"> Nem um pouco ... </t>
    </r>
    <r>
      <rPr>
        <b/>
        <sz val="10"/>
        <rFont val="Times New Roman"/>
        <family val="1"/>
      </rPr>
      <t>(5)</t>
    </r>
    <r>
      <rPr>
        <sz val="10"/>
        <rFont val="Times New Roman"/>
        <family val="1"/>
      </rPr>
      <t xml:space="preserve"> Em grande medida</t>
    </r>
  </si>
  <si>
    <r>
      <rPr>
        <b/>
        <u/>
        <sz val="10"/>
        <color rgb="FFFFFF00"/>
        <rFont val="Times New Roman"/>
        <family val="1"/>
      </rPr>
      <t>Escala</t>
    </r>
    <r>
      <rPr>
        <b/>
        <sz val="10"/>
        <color rgb="FFFFFF00"/>
        <rFont val="Times New Roman"/>
        <family val="1"/>
      </rPr>
      <t>:</t>
    </r>
    <r>
      <rPr>
        <b/>
        <sz val="10"/>
        <color theme="0"/>
        <rFont val="Times New Roman"/>
        <family val="1"/>
      </rPr>
      <t xml:space="preserve"> (1) Meu emprego exige POUCO disto de mim ... a ... (5) Meu emprego exige MUITO disto de mim</t>
    </r>
  </si>
  <si>
    <r>
      <rPr>
        <b/>
        <u/>
        <sz val="10"/>
        <color rgb="FFFFFF00"/>
        <rFont val="Times New Roman"/>
        <family val="1"/>
      </rPr>
      <t>Escala</t>
    </r>
    <r>
      <rPr>
        <b/>
        <sz val="10"/>
        <color rgb="FFFFFF00"/>
        <rFont val="Times New Roman"/>
        <family val="1"/>
      </rPr>
      <t>:</t>
    </r>
    <r>
      <rPr>
        <b/>
        <sz val="10"/>
        <color theme="0"/>
        <rFont val="Times New Roman"/>
        <family val="1"/>
      </rPr>
      <t xml:space="preserve"> (1) Estou INSATISFEITO com meu nível nesta competência ... a ... (5) Estou SATISFEITO com meu nível nesta competência</t>
    </r>
  </si>
  <si>
    <r>
      <rPr>
        <b/>
        <u/>
        <sz val="10"/>
        <color rgb="FF000000"/>
        <rFont val="Times New Roman"/>
        <family val="1"/>
      </rPr>
      <t>Escala</t>
    </r>
    <r>
      <rPr>
        <b/>
        <sz val="10"/>
        <color rgb="FF000000"/>
        <rFont val="Times New Roman"/>
        <family val="1"/>
      </rPr>
      <t>:</t>
    </r>
    <r>
      <rPr>
        <sz val="10"/>
        <color rgb="FF000000"/>
        <rFont val="Times New Roman"/>
        <family val="1"/>
      </rPr>
      <t xml:space="preserve"> (1) Fui muito mal aceito pelo mercado ... (5) Fui muito bem aceito pelo mercado</t>
    </r>
  </si>
  <si>
    <t>Como foi sua experiência em relação à aceitação do mercado de trabalho? - Por Curso</t>
  </si>
  <si>
    <t>Quais foram os pontos que mais dificultaram sua entrada no mercado trabalho? - Por Curso</t>
  </si>
  <si>
    <t>Quais foram os pontos que mais facilitaram sua entrada no mercado trabalho? - Por Curso</t>
  </si>
  <si>
    <r>
      <rPr>
        <b/>
        <u/>
        <sz val="10"/>
        <color rgb="FFFFFF00"/>
        <rFont val="Times New Roman"/>
        <family val="1"/>
      </rPr>
      <t>Escala</t>
    </r>
    <r>
      <rPr>
        <b/>
        <sz val="10"/>
        <color rgb="FFFFFF00"/>
        <rFont val="Times New Roman"/>
        <family val="1"/>
      </rPr>
      <t>:</t>
    </r>
    <r>
      <rPr>
        <b/>
        <sz val="10"/>
        <color theme="0"/>
        <rFont val="Times New Roman"/>
        <family val="1"/>
      </rPr>
      <t xml:space="preserve"> (1) Nunca ... a ... (5) Sempre</t>
    </r>
  </si>
  <si>
    <r>
      <rPr>
        <b/>
        <u/>
        <sz val="10"/>
        <color rgb="FF000000"/>
        <rFont val="Times New Roman"/>
        <family val="1"/>
      </rPr>
      <t>Escala</t>
    </r>
    <r>
      <rPr>
        <b/>
        <sz val="10"/>
        <color rgb="FF000000"/>
        <rFont val="Times New Roman"/>
        <family val="1"/>
      </rPr>
      <t>:</t>
    </r>
    <r>
      <rPr>
        <sz val="10"/>
        <color rgb="FF000000"/>
        <rFont val="Times New Roman"/>
        <family val="1"/>
      </rPr>
      <t xml:space="preserve"> (1) A graduação no IFS foi POUCO importante ... (5) A graduação no IFS foi MUITO importante</t>
    </r>
  </si>
  <si>
    <r>
      <rPr>
        <b/>
        <u/>
        <sz val="10"/>
        <color rgb="FF000000"/>
        <rFont val="Times New Roman"/>
        <family val="1"/>
      </rPr>
      <t>Escala</t>
    </r>
    <r>
      <rPr>
        <b/>
        <sz val="10"/>
        <color rgb="FF000000"/>
        <rFont val="Times New Roman"/>
        <family val="1"/>
      </rPr>
      <t>:</t>
    </r>
    <r>
      <rPr>
        <sz val="10"/>
        <color rgb="FF000000"/>
        <rFont val="Times New Roman"/>
        <family val="1"/>
      </rPr>
      <t xml:space="preserve"> (1) Pouco Relevante ... (5) Muito Relevante</t>
    </r>
  </si>
  <si>
    <r>
      <rPr>
        <b/>
        <sz val="10"/>
        <color rgb="FF000000"/>
        <rFont val="Times New Roman"/>
        <family val="1"/>
      </rPr>
      <t>(1)</t>
    </r>
    <r>
      <rPr>
        <sz val="10"/>
        <color rgb="FF000000"/>
        <rFont val="Times New Roman"/>
        <family val="1"/>
      </rPr>
      <t xml:space="preserve"> Muito insatisfeito ... a ... </t>
    </r>
    <r>
      <rPr>
        <b/>
        <sz val="10"/>
        <color rgb="FF000000"/>
        <rFont val="Times New Roman"/>
        <family val="1"/>
      </rPr>
      <t>(5)</t>
    </r>
    <r>
      <rPr>
        <sz val="10"/>
        <color rgb="FF000000"/>
        <rFont val="Times New Roman"/>
        <family val="1"/>
      </rPr>
      <t xml:space="preserve"> Muito satisfeito</t>
    </r>
  </si>
  <si>
    <t>(1) Nem um pouco ... a ... (5) Em grande medida</t>
  </si>
  <si>
    <t>(1) Muito insatisfeito ... a ... (5) Muito satisfeito</t>
  </si>
  <si>
    <t>(1) Nem um pouco apropriado ... a ... (5) Totalmente apropriado</t>
  </si>
  <si>
    <t>Cedro de São João</t>
  </si>
  <si>
    <t>Itabaianinha</t>
  </si>
  <si>
    <t>Frei Paulo</t>
  </si>
  <si>
    <t>Ribeirópolis</t>
  </si>
  <si>
    <t>Verdejante - PE</t>
  </si>
  <si>
    <t>Vitória da Conquista - BA</t>
  </si>
  <si>
    <t>Santos - SP</t>
  </si>
  <si>
    <t>Alagoinhas - BA</t>
  </si>
  <si>
    <t>Itaberaba - BA</t>
  </si>
  <si>
    <t>Paripiranga - BA</t>
  </si>
  <si>
    <t>Rio Real - BA</t>
  </si>
  <si>
    <t>Entre Rios - BA</t>
  </si>
  <si>
    <t>Belém - PA</t>
  </si>
  <si>
    <t>Indiaroba</t>
  </si>
  <si>
    <t>Jandaira - BA</t>
  </si>
  <si>
    <t>Campo do Brito</t>
  </si>
  <si>
    <t>São Domingos</t>
  </si>
  <si>
    <t>Poço Verde</t>
  </si>
  <si>
    <t>Araci - BA</t>
  </si>
  <si>
    <t>Pacatuba</t>
  </si>
  <si>
    <t>Floriano - PI</t>
  </si>
  <si>
    <t>Salvador - BA</t>
  </si>
  <si>
    <t>Irecê - BA</t>
  </si>
  <si>
    <t>Balneário Camboriú - SC</t>
  </si>
  <si>
    <t>Belo Horizonte - MG</t>
  </si>
  <si>
    <t xml:space="preserve">Teixeira de Freitas - BA </t>
  </si>
  <si>
    <t>João Pessoa - PB</t>
  </si>
  <si>
    <t>Curitiba - PR</t>
  </si>
  <si>
    <t>Brasília - DF</t>
  </si>
  <si>
    <t>Macapá - AP</t>
  </si>
  <si>
    <t>Niterói - RJ</t>
  </si>
  <si>
    <t>Palmas - TO</t>
  </si>
  <si>
    <t>Penedo - AL</t>
  </si>
  <si>
    <t>ANTES</t>
  </si>
  <si>
    <t>Acajutiba - BA</t>
  </si>
  <si>
    <t>Piranhas - AL</t>
  </si>
  <si>
    <t>Barbalha - CE</t>
  </si>
  <si>
    <t>Paulo Afonso - BA</t>
  </si>
  <si>
    <t>São Gonçalo - RJ</t>
  </si>
  <si>
    <t>Jeremoabo - BA</t>
  </si>
  <si>
    <t>Teixeira de Freitas - BA</t>
  </si>
  <si>
    <t>DURANTE</t>
  </si>
  <si>
    <t>ATUALMENTE</t>
  </si>
  <si>
    <t>Barra do Rio Grande - BA</t>
  </si>
  <si>
    <t>Cidade ANTES da Graduação</t>
  </si>
  <si>
    <t>Em que cidade você morava ANTES de iniciar a graduação? - Por Curso</t>
  </si>
  <si>
    <t>Cidade DURANTE da Graduação</t>
  </si>
  <si>
    <t>Em que cidade você morou DURANTE a graduação? - Por Curso</t>
  </si>
  <si>
    <t>Cidade DURANTE a Graduação</t>
  </si>
  <si>
    <t>Cidade ATUAL</t>
  </si>
  <si>
    <t>Em que cidade você mora ATUALMENTE? - Por Curso</t>
  </si>
  <si>
    <t>Você passou algum tempo no exterior DURANTE a graduação para estudo e/ou trabalho?</t>
  </si>
  <si>
    <t>Para estudo</t>
  </si>
  <si>
    <t>Para trabalho</t>
  </si>
  <si>
    <t>Para estudo e trabalho</t>
  </si>
  <si>
    <t>Tempo no exterior DURANTE a graduação</t>
  </si>
  <si>
    <t>Você passou algum tempo no exterior DURANTE a graduação para estudo e/ou trabalho? - Por Curso</t>
  </si>
  <si>
    <t>Você passou algum tempo no exterior APÓS o término da graduação para estudo e/ou trabalho?</t>
  </si>
  <si>
    <t>Tempo no exterior APÓS a graduação</t>
  </si>
  <si>
    <t>Você passou algum tempo no exterior APÓS o término da graduação para estudo e/ou trabalho? - Por Curso</t>
  </si>
  <si>
    <t>Tipo de Moradia no último ano da graduação</t>
  </si>
  <si>
    <t>Como você morava durante seu último ano de graduação? - Por Curso</t>
  </si>
  <si>
    <t>Tipo de Moradia atual</t>
  </si>
  <si>
    <t>Como você mora atualmente? - Por Curso</t>
  </si>
  <si>
    <t>Você tem filhos? - Por Curso</t>
  </si>
  <si>
    <t>28 cidades</t>
  </si>
  <si>
    <t>64 cidades</t>
  </si>
  <si>
    <t>47 cidades</t>
  </si>
  <si>
    <t>107 a 109</t>
  </si>
  <si>
    <r>
      <t xml:space="preserve">Você teve alguma experiência de trabalho </t>
    </r>
    <r>
      <rPr>
        <b/>
        <sz val="10"/>
        <color rgb="FFFFFF00"/>
        <rFont val="Times New Roman"/>
        <family val="1"/>
      </rPr>
      <t>NÃO</t>
    </r>
    <r>
      <rPr>
        <b/>
        <sz val="10"/>
        <color theme="0"/>
        <rFont val="Times New Roman"/>
        <family val="1"/>
      </rPr>
      <t xml:space="preserve"> relacionada à sua área de graduação no IFS?</t>
    </r>
  </si>
  <si>
    <t>Você teve alguma experiência de trabalho NÃO relacionada à sua área de graduação no IFS? - Por Curso</t>
  </si>
  <si>
    <t>34 a 38</t>
  </si>
  <si>
    <t>Cidade em que trabalha atualmente</t>
  </si>
  <si>
    <t>Em que cidade você trabalha atualmente? - Por Curso</t>
  </si>
  <si>
    <t>Riachão do Jacuípe - BA</t>
  </si>
  <si>
    <t>Cumbe</t>
  </si>
  <si>
    <t>48 a 60</t>
  </si>
  <si>
    <t>61 a 73</t>
  </si>
  <si>
    <t>79 e 80</t>
  </si>
  <si>
    <t>82 a 92</t>
  </si>
  <si>
    <t>93 a 97</t>
  </si>
  <si>
    <r>
      <rPr>
        <b/>
        <u/>
        <sz val="10"/>
        <color rgb="FF000000"/>
        <rFont val="Times New Roman"/>
        <family val="1"/>
      </rPr>
      <t>Escala</t>
    </r>
    <r>
      <rPr>
        <b/>
        <sz val="10"/>
        <color rgb="FF000000"/>
        <rFont val="Times New Roman"/>
        <family val="1"/>
      </rPr>
      <t>:</t>
    </r>
    <r>
      <rPr>
        <sz val="10"/>
        <color rgb="FF000000"/>
        <rFont val="Times New Roman"/>
        <family val="1"/>
      </rPr>
      <t xml:space="preserve"> (1) Pouco Importante ... (5) Muito Importante</t>
    </r>
  </si>
  <si>
    <t>Índice de Rendimento Acadêmico (IRA)</t>
  </si>
  <si>
    <t>N</t>
  </si>
  <si>
    <t>P</t>
  </si>
  <si>
    <t>Avaliação</t>
  </si>
  <si>
    <r>
      <rPr>
        <b/>
        <sz val="10"/>
        <color rgb="FF000000"/>
        <rFont val="Times New Roman"/>
        <family val="1"/>
      </rPr>
      <t>Nesta seção, os egressos expressaram livremente seus sentimentos em relação à experiência de participar da pesquisa, além de manifestarem críticas e sugestões ao Instituto.</t>
    </r>
    <r>
      <rPr>
        <sz val="10"/>
        <color rgb="FF000000"/>
        <rFont val="Times New Roman"/>
        <family val="1"/>
      </rPr>
      <t xml:space="preserve">
* Ao todo, 66 egressos comentaram neste espaço. Cada comentário está apresentado no quadro ao lado, associado ao curso e campus do egresso que o fez. Sejam elas um reconhecimento de algo bom, sejam elas críticas a algum aspecto da atuação do Instituto, tratam-se antes de contribuições valiosas e específicas à tomada de decisão e às análises de melhoria dos serviços prestados, uma vez que refletem as experiências de um aluno de  </t>
    </r>
    <r>
      <rPr>
        <b/>
        <i/>
        <sz val="10"/>
        <color rgb="FF000000"/>
        <rFont val="Times New Roman"/>
        <family val="1"/>
      </rPr>
      <t>determinado</t>
    </r>
    <r>
      <rPr>
        <sz val="10"/>
        <color rgb="FF000000"/>
        <rFont val="Times New Roman"/>
        <family val="1"/>
      </rPr>
      <t xml:space="preserve"> curso, que passou sua vida acadêmica frequentando </t>
    </r>
    <r>
      <rPr>
        <b/>
        <i/>
        <sz val="10"/>
        <color rgb="FF000000"/>
        <rFont val="Times New Roman"/>
        <family val="1"/>
      </rPr>
      <t>determinado</t>
    </r>
    <r>
      <rPr>
        <sz val="10"/>
        <color rgb="FF000000"/>
        <rFont val="Times New Roman"/>
        <family val="1"/>
      </rPr>
      <t xml:space="preserve"> </t>
    </r>
    <r>
      <rPr>
        <i/>
        <sz val="10"/>
        <color rgb="FF000000"/>
        <rFont val="Times New Roman"/>
        <family val="1"/>
      </rPr>
      <t>campus</t>
    </r>
    <r>
      <rPr>
        <sz val="10"/>
        <color rgb="FF000000"/>
        <rFont val="Times New Roman"/>
        <family val="1"/>
      </rPr>
      <t>.
* Desses 66 comentários, 43 (65,2%) tinham alguma menção ou se referiam à esta pesquisa. Analisando o conteúdo desses comentários, observa-se que ao menos 83,7% deles manifestam apoio, satisfação em ter participado ou reconhecem a importância da iniciativa do IFS em ouvir os egressos.
* Desse modo, nota-se a recuperação de um sentimento de pertencimento por parte destes egressos em relação ao IFS, o que traz responsabilidades à Instituição em transformar essa vasta gama de informações em melhorias institucionais que levem benefícios efetivos a alunos, ex-alunos e sociedade em geral.</t>
    </r>
  </si>
  <si>
    <r>
      <rPr>
        <b/>
        <sz val="10"/>
        <color rgb="FF000000"/>
        <rFont val="Times New Roman"/>
        <family val="1"/>
      </rPr>
      <t>OBS:</t>
    </r>
    <r>
      <rPr>
        <sz val="10"/>
        <color rgb="FF000000"/>
        <rFont val="Times New Roman"/>
        <family val="1"/>
      </rPr>
      <t xml:space="preserve"> Você pode usar as células azuis com filtros para ver os resultados de um curso específico. Em geral, essas células estão indicadas por duas setas "</t>
    </r>
    <r>
      <rPr>
        <b/>
        <sz val="10"/>
        <color rgb="FF000000"/>
        <rFont val="Times New Roman"/>
        <family val="1"/>
      </rPr>
      <t>&gt;&gt;</t>
    </r>
    <r>
      <rPr>
        <sz val="10"/>
        <color rgb="FF000000"/>
        <rFont val="Times New Roman"/>
        <family val="1"/>
      </rPr>
      <t>", conforme o caso ao lado.</t>
    </r>
  </si>
  <si>
    <r>
      <rPr>
        <b/>
        <sz val="10"/>
        <color rgb="FFA50021"/>
        <rFont val="Times New Roman"/>
        <family val="1"/>
      </rPr>
      <t>OBS 1:</t>
    </r>
    <r>
      <rPr>
        <sz val="10"/>
        <color rgb="FF000000"/>
        <rFont val="Times New Roman"/>
        <family val="1"/>
      </rPr>
      <t xml:space="preserve"> Em cada resultado, você pode usar as </t>
    </r>
    <r>
      <rPr>
        <b/>
        <sz val="10"/>
        <color rgb="FF000000"/>
        <rFont val="Times New Roman"/>
        <family val="1"/>
      </rPr>
      <t>células azuis com filtros</t>
    </r>
    <r>
      <rPr>
        <sz val="10"/>
        <color rgb="FF000000"/>
        <rFont val="Times New Roman"/>
        <family val="1"/>
      </rPr>
      <t xml:space="preserve"> para ver os resultados de um curso específico. Em geral, essas células estão indicadas por duas setas </t>
    </r>
    <r>
      <rPr>
        <b/>
        <sz val="10"/>
        <color rgb="FF000000"/>
        <rFont val="Times New Roman"/>
        <family val="1"/>
      </rPr>
      <t>"&gt;&gt;"</t>
    </r>
    <r>
      <rPr>
        <sz val="10"/>
        <color rgb="FF000000"/>
        <rFont val="Times New Roman"/>
        <family val="1"/>
      </rPr>
      <t xml:space="preserve">.
</t>
    </r>
    <r>
      <rPr>
        <b/>
        <sz val="10"/>
        <color rgb="FFA50021"/>
        <rFont val="Times New Roman"/>
        <family val="1"/>
      </rPr>
      <t>OBS 2:</t>
    </r>
    <r>
      <rPr>
        <sz val="10"/>
        <color rgb="FF000000"/>
        <rFont val="Times New Roman"/>
        <family val="1"/>
      </rPr>
      <t xml:space="preserve"> É possível tabular outros resultados além dos que estão explícitos nesta planilha, por exemplo, aqueles que decorrem de cruzamentos entre duas ou mais questões. Para obter informações desse tipo, é necessário solicitar via e-mail ao Núcleo de Análises Econômicas do IFS (NAEC) &lt; </t>
    </r>
    <r>
      <rPr>
        <b/>
        <sz val="10"/>
        <color rgb="FF000000"/>
        <rFont val="Times New Roman"/>
        <family val="1"/>
      </rPr>
      <t>naec@ifs.edu.br</t>
    </r>
    <r>
      <rPr>
        <sz val="10"/>
        <color rgb="FF000000"/>
        <rFont val="Times New Roman"/>
        <family val="1"/>
      </rPr>
      <t xml:space="preserve"> &gt;, setor responsável por extrair essas informações da base de dados para atender ao pedido.</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</si>
</sst>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42" formatCode="_-&quot;R$&quot;* #,##0_-;\-&quot;R$&quot;* #,##0_-;_-&quot;R$&quot;* &quot;-&quot;_-;_-@_-"/>
    <numFmt numFmtId="164" formatCode="m/d/yyyy\ h:mm:ss"/>
    <numFmt numFmtId="165" formatCode="0.0"/>
    <numFmt numFmtId="166" formatCode="0.0%"/>
    <numFmt numFmtId="167" formatCode="#,##0.0"/>
    <numFmt numFmtId="168" formatCode="0.000000"/>
    <numFmt numFmtId="169" formatCode="_-&quot;R$&quot;* #,##0.00_-;\-&quot;R$&quot;* #,##0.00_-;_-&quot;R$&quot;* &quot;-&quot;_-;_-@_-"/>
  </numFmts>
  <fonts count="49" x14ac:knownFonts="1">
    <font>
      <sz val="10"/>
      <color rgb="FF000000"/>
      <name val="Arial"/>
    </font>
    <font>
      <sz val="11"/>
      <color theme="1"/>
      <name val="Calibri"/>
      <family val="2"/>
      <scheme val="minor"/>
    </font>
    <font>
      <sz val="10"/>
      <name val="Arial"/>
      <family val="2"/>
    </font>
    <font>
      <b/>
      <sz val="10"/>
      <color rgb="FF000000"/>
      <name val="Arial"/>
      <family val="2"/>
    </font>
    <font>
      <b/>
      <sz val="8"/>
      <color rgb="FF000000"/>
      <name val="Arial"/>
      <family val="2"/>
    </font>
    <font>
      <sz val="10"/>
      <color rgb="FF000000"/>
      <name val="Arial"/>
      <family val="2"/>
    </font>
    <font>
      <sz val="10"/>
      <color rgb="FF000000"/>
      <name val="Arial"/>
      <family val="2"/>
    </font>
    <font>
      <u/>
      <sz val="10"/>
      <color rgb="FF0000FF"/>
      <name val="Arial"/>
      <family val="2"/>
    </font>
    <font>
      <sz val="11"/>
      <color rgb="FF000000"/>
      <name val="Calibri"/>
      <family val="2"/>
    </font>
    <font>
      <sz val="10"/>
      <name val="Arial"/>
      <family val="2"/>
    </font>
    <font>
      <u/>
      <sz val="10"/>
      <name val="Arial"/>
      <family val="2"/>
    </font>
    <font>
      <b/>
      <sz val="9"/>
      <color indexed="81"/>
      <name val="Segoe UI"/>
      <charset val="1"/>
    </font>
    <font>
      <sz val="9"/>
      <color indexed="81"/>
      <name val="Segoe UI"/>
      <charset val="1"/>
    </font>
    <font>
      <b/>
      <sz val="10"/>
      <color theme="0"/>
      <name val="Times New Roman"/>
      <family val="1"/>
    </font>
    <font>
      <sz val="10"/>
      <color rgb="FF000000"/>
      <name val="Times New Roman"/>
      <family val="1"/>
    </font>
    <font>
      <b/>
      <sz val="10"/>
      <color rgb="FF000000"/>
      <name val="Times New Roman"/>
      <family val="1"/>
    </font>
    <font>
      <b/>
      <sz val="10"/>
      <name val="Times New Roman"/>
      <family val="1"/>
    </font>
    <font>
      <sz val="10"/>
      <color rgb="FFC00000"/>
      <name val="Arial"/>
      <family val="2"/>
    </font>
    <font>
      <sz val="8"/>
      <name val="Times New Roman"/>
      <family val="1"/>
    </font>
    <font>
      <sz val="8"/>
      <name val="Arial"/>
      <family val="2"/>
    </font>
    <font>
      <sz val="10"/>
      <color rgb="FF000000"/>
      <name val="Arial Narrow"/>
      <family val="2"/>
    </font>
    <font>
      <b/>
      <sz val="12"/>
      <color theme="0"/>
      <name val="Arial Narrow"/>
      <family val="2"/>
    </font>
    <font>
      <b/>
      <sz val="18"/>
      <color theme="0"/>
      <name val="Times New Roman"/>
      <family val="1"/>
    </font>
    <font>
      <sz val="10"/>
      <name val="Times New Roman"/>
      <family val="1"/>
    </font>
    <font>
      <sz val="10"/>
      <color theme="0"/>
      <name val="Times New Roman"/>
      <family val="1"/>
    </font>
    <font>
      <sz val="10"/>
      <color theme="0" tint="-4.9989318521683403E-2"/>
      <name val="Arial"/>
      <family val="2"/>
    </font>
    <font>
      <sz val="10"/>
      <color theme="0" tint="-4.9989318521683403E-2"/>
      <name val="Times New Roman"/>
      <family val="1"/>
    </font>
    <font>
      <b/>
      <sz val="12"/>
      <color theme="0"/>
      <name val="Times New Roman"/>
      <family val="1"/>
    </font>
    <font>
      <b/>
      <sz val="10"/>
      <color rgb="FFFFFF00"/>
      <name val="Times New Roman"/>
      <family val="1"/>
    </font>
    <font>
      <b/>
      <sz val="28"/>
      <color theme="0"/>
      <name val="Times New Roman"/>
      <family val="1"/>
    </font>
    <font>
      <i/>
      <sz val="10"/>
      <color rgb="FF000000"/>
      <name val="Arial Narrow"/>
      <family val="2"/>
    </font>
    <font>
      <b/>
      <sz val="10"/>
      <color rgb="FF000000"/>
      <name val="Arial Narrow"/>
      <family val="2"/>
    </font>
    <font>
      <b/>
      <sz val="10"/>
      <color theme="0" tint="-4.9989318521683403E-2"/>
      <name val="Times New Roman"/>
      <family val="1"/>
    </font>
    <font>
      <u/>
      <sz val="10"/>
      <color theme="10"/>
      <name val="Arial"/>
    </font>
    <font>
      <b/>
      <sz val="14"/>
      <color theme="0"/>
      <name val="Arial Narrow"/>
      <family val="2"/>
    </font>
    <font>
      <b/>
      <sz val="10"/>
      <color theme="0"/>
      <name val="Arial Narrow"/>
      <family val="2"/>
    </font>
    <font>
      <b/>
      <sz val="8"/>
      <color theme="0"/>
      <name val="Arial Narrow"/>
      <family val="2"/>
    </font>
    <font>
      <b/>
      <sz val="26"/>
      <color rgb="FFC00000"/>
      <name val="Arial Narrow"/>
      <family val="2"/>
    </font>
    <font>
      <u/>
      <sz val="10"/>
      <color theme="10"/>
      <name val="Arial"/>
      <family val="2"/>
    </font>
    <font>
      <b/>
      <i/>
      <sz val="10"/>
      <color rgb="FF000000"/>
      <name val="Arial Narrow"/>
      <family val="2"/>
    </font>
    <font>
      <b/>
      <u/>
      <sz val="10"/>
      <color rgb="FF000000"/>
      <name val="Times New Roman"/>
      <family val="1"/>
    </font>
    <font>
      <b/>
      <u/>
      <sz val="10"/>
      <name val="Times New Roman"/>
      <family val="1"/>
    </font>
    <font>
      <b/>
      <u/>
      <sz val="10"/>
      <color rgb="FFFFFF00"/>
      <name val="Times New Roman"/>
      <family val="1"/>
    </font>
    <font>
      <i/>
      <sz val="10"/>
      <color rgb="FF000000"/>
      <name val="Times New Roman"/>
      <family val="1"/>
    </font>
    <font>
      <b/>
      <i/>
      <sz val="10"/>
      <color rgb="FF000000"/>
      <name val="Times New Roman"/>
      <family val="1"/>
    </font>
    <font>
      <b/>
      <sz val="16"/>
      <color theme="7" tint="0.59999389629810485"/>
      <name val="Times New Roman"/>
      <family val="1"/>
    </font>
    <font>
      <b/>
      <sz val="11"/>
      <color theme="0"/>
      <name val="Times New Roman"/>
      <family val="1"/>
    </font>
    <font>
      <b/>
      <sz val="10"/>
      <color theme="0"/>
      <name val="Arial"/>
      <family val="2"/>
    </font>
    <font>
      <b/>
      <sz val="10"/>
      <color rgb="FFA50021"/>
      <name val="Times New Roman"/>
      <family val="1"/>
    </font>
  </fonts>
  <fills count="18">
    <fill>
      <patternFill patternType="none"/>
    </fill>
    <fill>
      <patternFill patternType="gray125"/>
    </fill>
    <fill>
      <patternFill patternType="solid">
        <fgColor theme="9" tint="0.59999389629810485"/>
        <bgColor indexed="64"/>
      </patternFill>
    </fill>
    <fill>
      <patternFill patternType="solid">
        <fgColor rgb="FFFFFF00"/>
        <bgColor indexed="64"/>
      </patternFill>
    </fill>
    <fill>
      <patternFill patternType="solid">
        <fgColor theme="3" tint="0.59999389629810485"/>
        <bgColor indexed="64"/>
      </patternFill>
    </fill>
    <fill>
      <patternFill patternType="solid">
        <fgColor theme="9" tint="0.79998168889431442"/>
        <bgColor indexed="64"/>
      </patternFill>
    </fill>
    <fill>
      <patternFill patternType="solid">
        <fgColor theme="9" tint="-0.499984740745262"/>
        <bgColor indexed="64"/>
      </patternFill>
    </fill>
    <fill>
      <patternFill patternType="solid">
        <fgColor theme="2" tint="-9.9978637043366805E-2"/>
        <bgColor indexed="64"/>
      </patternFill>
    </fill>
    <fill>
      <patternFill patternType="solid">
        <fgColor theme="0" tint="-0.14999847407452621"/>
        <bgColor indexed="64"/>
      </patternFill>
    </fill>
    <fill>
      <patternFill patternType="solid">
        <fgColor theme="7" tint="0.79998168889431442"/>
        <bgColor indexed="64"/>
      </patternFill>
    </fill>
    <fill>
      <patternFill patternType="solid">
        <fgColor theme="7" tint="-0.499984740745262"/>
        <bgColor indexed="64"/>
      </patternFill>
    </fill>
    <fill>
      <patternFill patternType="solid">
        <fgColor theme="7" tint="0.59999389629810485"/>
        <bgColor indexed="64"/>
      </patternFill>
    </fill>
    <fill>
      <patternFill patternType="solid">
        <fgColor theme="8" tint="0.79998168889431442"/>
        <bgColor indexed="64"/>
      </patternFill>
    </fill>
    <fill>
      <patternFill patternType="solid">
        <fgColor theme="0" tint="-4.9989318521683403E-2"/>
        <bgColor indexed="64"/>
      </patternFill>
    </fill>
    <fill>
      <patternFill patternType="solid">
        <fgColor theme="8" tint="-0.499984740745262"/>
        <bgColor indexed="64"/>
      </patternFill>
    </fill>
    <fill>
      <patternFill patternType="solid">
        <fgColor rgb="FF002060"/>
        <bgColor indexed="64"/>
      </patternFill>
    </fill>
    <fill>
      <patternFill patternType="solid">
        <fgColor theme="0"/>
        <bgColor indexed="64"/>
      </patternFill>
    </fill>
    <fill>
      <patternFill patternType="solid">
        <fgColor rgb="FFA50021"/>
        <bgColor indexed="64"/>
      </patternFill>
    </fill>
  </fills>
  <borders count="13">
    <border>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double">
        <color theme="9" tint="-0.499984740745262"/>
      </top>
      <bottom/>
      <diagonal/>
    </border>
    <border>
      <left/>
      <right/>
      <top/>
      <bottom style="double">
        <color theme="9" tint="-0.499984740745262"/>
      </bottom>
      <diagonal/>
    </border>
    <border>
      <left style="thin">
        <color indexed="64"/>
      </left>
      <right style="thin">
        <color indexed="64"/>
      </right>
      <top/>
      <bottom style="double">
        <color theme="9" tint="-0.499984740745262"/>
      </bottom>
      <diagonal/>
    </border>
  </borders>
  <cellStyleXfs count="6">
    <xf numFmtId="0" fontId="0" fillId="0" borderId="0"/>
    <xf numFmtId="9" fontId="6" fillId="0" borderId="0" applyFont="0" applyFill="0" applyBorder="0" applyAlignment="0" applyProtection="0"/>
    <xf numFmtId="0" fontId="8" fillId="0" borderId="0"/>
    <xf numFmtId="0" fontId="1" fillId="0" borderId="0"/>
    <xf numFmtId="0" fontId="33" fillId="0" borderId="0" applyNumberFormat="0" applyFill="0" applyBorder="0" applyAlignment="0" applyProtection="0"/>
    <xf numFmtId="0" fontId="38" fillId="0" borderId="0" applyNumberFormat="0" applyFill="0" applyBorder="0" applyAlignment="0" applyProtection="0"/>
  </cellStyleXfs>
  <cellXfs count="347">
    <xf numFmtId="0" fontId="0" fillId="0" borderId="0" xfId="0" applyFont="1" applyAlignment="1"/>
    <xf numFmtId="0" fontId="0" fillId="0" borderId="0" xfId="0" applyFont="1" applyAlignment="1">
      <alignment vertical="center"/>
    </xf>
    <xf numFmtId="0" fontId="4" fillId="0" borderId="0" xfId="0" applyFont="1" applyAlignment="1">
      <alignment horizontal="center" vertical="center"/>
    </xf>
    <xf numFmtId="0" fontId="0" fillId="0" borderId="1" xfId="0" applyFont="1" applyBorder="1" applyAlignment="1">
      <alignment vertical="center"/>
    </xf>
    <xf numFmtId="0" fontId="5" fillId="0" borderId="1" xfId="0" applyFont="1" applyBorder="1" applyAlignment="1">
      <alignment vertical="center"/>
    </xf>
    <xf numFmtId="3" fontId="0" fillId="0" borderId="1" xfId="0" applyNumberFormat="1" applyFont="1" applyBorder="1" applyAlignment="1">
      <alignment vertical="center"/>
    </xf>
    <xf numFmtId="3" fontId="0" fillId="0" borderId="1" xfId="0" applyNumberFormat="1" applyFont="1" applyBorder="1" applyAlignment="1">
      <alignment horizontal="center" vertical="center"/>
    </xf>
    <xf numFmtId="165" fontId="0" fillId="0" borderId="1" xfId="0" applyNumberFormat="1" applyFont="1" applyBorder="1" applyAlignment="1">
      <alignment horizontal="center" vertical="center"/>
    </xf>
    <xf numFmtId="0" fontId="4" fillId="2" borderId="0" xfId="0" applyFont="1" applyFill="1" applyAlignment="1">
      <alignment horizontal="center" vertical="center"/>
    </xf>
    <xf numFmtId="0" fontId="0" fillId="2" borderId="0" xfId="0" applyFont="1" applyFill="1" applyAlignment="1">
      <alignment vertical="center"/>
    </xf>
    <xf numFmtId="0" fontId="3" fillId="2" borderId="1" xfId="0" applyFont="1" applyFill="1" applyBorder="1" applyAlignment="1">
      <alignment vertical="center" wrapText="1"/>
    </xf>
    <xf numFmtId="0" fontId="3" fillId="2" borderId="1" xfId="0" applyFont="1" applyFill="1" applyBorder="1" applyAlignment="1">
      <alignment horizontal="center" vertical="center" wrapText="1"/>
    </xf>
    <xf numFmtId="0" fontId="0" fillId="0" borderId="1" xfId="0" applyFont="1" applyBorder="1" applyAlignment="1">
      <alignment vertical="center" wrapText="1"/>
    </xf>
    <xf numFmtId="0" fontId="4" fillId="0" borderId="1" xfId="0" applyFont="1" applyBorder="1" applyAlignment="1">
      <alignment horizontal="center" vertical="center"/>
    </xf>
    <xf numFmtId="0" fontId="3" fillId="3" borderId="1" xfId="0" applyFont="1" applyFill="1" applyBorder="1" applyAlignment="1">
      <alignment vertical="center" wrapText="1"/>
    </xf>
    <xf numFmtId="0" fontId="3" fillId="3" borderId="1" xfId="0" applyFont="1" applyFill="1" applyBorder="1" applyAlignment="1">
      <alignment horizontal="center" vertical="center" wrapText="1"/>
    </xf>
    <xf numFmtId="0" fontId="0" fillId="0" borderId="1" xfId="0" applyFont="1" applyBorder="1" applyAlignment="1">
      <alignment horizontal="left" vertical="center"/>
    </xf>
    <xf numFmtId="0" fontId="3" fillId="4" borderId="1" xfId="0" applyFont="1" applyFill="1" applyBorder="1" applyAlignment="1">
      <alignment vertical="center" wrapText="1"/>
    </xf>
    <xf numFmtId="0" fontId="3" fillId="4" borderId="1" xfId="0" applyFont="1" applyFill="1" applyBorder="1" applyAlignment="1">
      <alignment horizontal="center" vertical="center" wrapText="1"/>
    </xf>
    <xf numFmtId="166" fontId="0" fillId="0" borderId="1" xfId="1" applyNumberFormat="1" applyFont="1" applyBorder="1" applyAlignment="1">
      <alignment horizontal="center" vertical="center"/>
    </xf>
    <xf numFmtId="0" fontId="0" fillId="0" borderId="0" xfId="0" applyFont="1" applyAlignment="1">
      <alignment horizontal="center" vertical="center"/>
    </xf>
    <xf numFmtId="0" fontId="0" fillId="2" borderId="0" xfId="0" applyFont="1" applyFill="1" applyAlignment="1">
      <alignment horizontal="center" vertical="center"/>
    </xf>
    <xf numFmtId="0" fontId="4" fillId="3" borderId="0" xfId="0" applyFont="1" applyFill="1" applyAlignment="1">
      <alignment horizontal="center" vertical="center"/>
    </xf>
    <xf numFmtId="0" fontId="0" fillId="3" borderId="0" xfId="0" applyFont="1" applyFill="1" applyAlignment="1">
      <alignment vertical="center"/>
    </xf>
    <xf numFmtId="0" fontId="3" fillId="2" borderId="1" xfId="0" applyFont="1" applyFill="1" applyBorder="1" applyAlignment="1">
      <alignment horizontal="center" vertical="center"/>
    </xf>
    <xf numFmtId="0" fontId="0" fillId="0" borderId="1" xfId="0" applyFont="1" applyBorder="1" applyAlignment="1">
      <alignment horizontal="center" vertical="center"/>
    </xf>
    <xf numFmtId="0" fontId="0" fillId="2" borderId="1" xfId="0" applyFont="1" applyFill="1" applyBorder="1" applyAlignment="1">
      <alignment vertical="center"/>
    </xf>
    <xf numFmtId="0" fontId="0" fillId="2" borderId="1" xfId="0" applyFont="1" applyFill="1" applyBorder="1" applyAlignment="1">
      <alignment horizontal="center" vertical="center"/>
    </xf>
    <xf numFmtId="0" fontId="3" fillId="2" borderId="1" xfId="0" applyFont="1" applyFill="1" applyBorder="1" applyAlignment="1">
      <alignment vertical="center"/>
    </xf>
    <xf numFmtId="167" fontId="0" fillId="0" borderId="1" xfId="0" applyNumberFormat="1" applyFont="1" applyBorder="1" applyAlignment="1">
      <alignment horizontal="center" vertical="center"/>
    </xf>
    <xf numFmtId="0" fontId="3" fillId="2" borderId="1" xfId="0" applyFont="1" applyFill="1" applyBorder="1" applyAlignment="1">
      <alignment horizontal="center" vertical="center"/>
    </xf>
    <xf numFmtId="0" fontId="5" fillId="2" borderId="1" xfId="0" applyFont="1" applyFill="1" applyBorder="1" applyAlignment="1">
      <alignment vertical="center"/>
    </xf>
    <xf numFmtId="166" fontId="3" fillId="2" borderId="1" xfId="1" applyNumberFormat="1" applyFont="1" applyFill="1" applyBorder="1" applyAlignment="1">
      <alignment horizontal="center" vertical="center"/>
    </xf>
    <xf numFmtId="0" fontId="9" fillId="0" borderId="1" xfId="0" applyFont="1" applyBorder="1" applyAlignment="1">
      <alignment vertical="center"/>
    </xf>
    <xf numFmtId="3" fontId="9" fillId="0" borderId="1" xfId="0" applyNumberFormat="1" applyFont="1" applyBorder="1" applyAlignment="1">
      <alignment horizontal="center" vertical="center"/>
    </xf>
    <xf numFmtId="166" fontId="9" fillId="0" borderId="1" xfId="1" applyNumberFormat="1" applyFont="1" applyBorder="1" applyAlignment="1">
      <alignment horizontal="center" vertical="center"/>
    </xf>
    <xf numFmtId="0" fontId="2" fillId="0" borderId="0" xfId="0" applyFont="1" applyFill="1" applyAlignment="1">
      <alignment vertical="center"/>
    </xf>
    <xf numFmtId="0" fontId="2" fillId="0" borderId="0" xfId="0" applyFont="1" applyAlignment="1">
      <alignment vertical="center"/>
    </xf>
    <xf numFmtId="164" fontId="2" fillId="0" borderId="0" xfId="0" applyNumberFormat="1" applyFont="1" applyFill="1" applyAlignment="1">
      <alignment vertical="center"/>
    </xf>
    <xf numFmtId="0" fontId="10" fillId="0" borderId="0" xfId="0" applyFont="1" applyFill="1" applyAlignment="1">
      <alignment vertical="center"/>
    </xf>
    <xf numFmtId="3" fontId="2" fillId="0" borderId="0" xfId="0" applyNumberFormat="1" applyFont="1" applyFill="1" applyAlignment="1">
      <alignment vertical="center"/>
    </xf>
    <xf numFmtId="0" fontId="2" fillId="0" borderId="0" xfId="0" quotePrefix="1" applyNumberFormat="1" applyFont="1" applyFill="1" applyAlignment="1">
      <alignment vertical="center"/>
    </xf>
    <xf numFmtId="0" fontId="2" fillId="0" borderId="0" xfId="0" quotePrefix="1" applyFont="1" applyFill="1" applyAlignment="1">
      <alignment vertical="center"/>
    </xf>
    <xf numFmtId="164" fontId="2" fillId="0" borderId="0" xfId="0" applyNumberFormat="1" applyFont="1" applyAlignment="1">
      <alignment vertical="center"/>
    </xf>
    <xf numFmtId="0" fontId="2" fillId="0" borderId="0" xfId="0" quotePrefix="1" applyNumberFormat="1" applyFont="1" applyAlignment="1">
      <alignment vertical="center"/>
    </xf>
    <xf numFmtId="3" fontId="2" fillId="0" borderId="0" xfId="0" applyNumberFormat="1" applyFont="1" applyAlignment="1">
      <alignment vertical="center"/>
    </xf>
    <xf numFmtId="0" fontId="7" fillId="0" borderId="0" xfId="0" applyFont="1" applyAlignment="1">
      <alignment vertical="center"/>
    </xf>
    <xf numFmtId="0" fontId="2" fillId="0" borderId="0" xfId="0" applyFont="1" applyFill="1" applyAlignment="1">
      <alignment horizontal="center" vertical="center"/>
    </xf>
    <xf numFmtId="0" fontId="14" fillId="0" borderId="0" xfId="0" applyFont="1" applyAlignment="1">
      <alignment vertical="center"/>
    </xf>
    <xf numFmtId="0" fontId="15" fillId="2" borderId="1" xfId="0" applyFont="1" applyFill="1" applyBorder="1" applyAlignment="1">
      <alignment vertical="center" wrapText="1"/>
    </xf>
    <xf numFmtId="0" fontId="15" fillId="2" borderId="1" xfId="0" applyFont="1" applyFill="1" applyBorder="1" applyAlignment="1">
      <alignment horizontal="center" vertical="center" wrapText="1"/>
    </xf>
    <xf numFmtId="0" fontId="14" fillId="0" borderId="1" xfId="0" applyFont="1" applyBorder="1" applyAlignment="1">
      <alignment vertical="center"/>
    </xf>
    <xf numFmtId="3" fontId="14" fillId="0" borderId="1" xfId="0" applyNumberFormat="1" applyFont="1" applyBorder="1" applyAlignment="1">
      <alignment horizontal="center" vertical="center"/>
    </xf>
    <xf numFmtId="166" fontId="14" fillId="0" borderId="1" xfId="1" applyNumberFormat="1" applyFont="1" applyBorder="1" applyAlignment="1">
      <alignment horizontal="center" vertical="center"/>
    </xf>
    <xf numFmtId="0" fontId="2" fillId="0" borderId="0" xfId="0" applyFont="1" applyAlignment="1">
      <alignment horizontal="center" vertical="center"/>
    </xf>
    <xf numFmtId="0" fontId="0" fillId="2" borderId="0" xfId="0" applyFont="1" applyFill="1" applyAlignment="1">
      <alignment horizontal="left" vertical="center"/>
    </xf>
    <xf numFmtId="0" fontId="14" fillId="7" borderId="1" xfId="0" applyFont="1" applyFill="1" applyBorder="1" applyAlignment="1">
      <alignment vertical="center"/>
    </xf>
    <xf numFmtId="3" fontId="14" fillId="7" borderId="1" xfId="0" applyNumberFormat="1" applyFont="1" applyFill="1" applyBorder="1" applyAlignment="1">
      <alignment horizontal="center" vertical="center"/>
    </xf>
    <xf numFmtId="166" fontId="14" fillId="7" borderId="1" xfId="1" applyNumberFormat="1" applyFont="1" applyFill="1" applyBorder="1" applyAlignment="1">
      <alignment horizontal="center" vertical="center"/>
    </xf>
    <xf numFmtId="0" fontId="14" fillId="0" borderId="1" xfId="0" applyFont="1" applyFill="1" applyBorder="1" applyAlignment="1">
      <alignment vertical="center"/>
    </xf>
    <xf numFmtId="0" fontId="14" fillId="0" borderId="1" xfId="0" applyFont="1" applyBorder="1" applyAlignment="1">
      <alignment horizontal="left" vertical="center"/>
    </xf>
    <xf numFmtId="0" fontId="14" fillId="5" borderId="1" xfId="0" applyFont="1" applyFill="1" applyBorder="1" applyAlignment="1">
      <alignment horizontal="left" vertical="center"/>
    </xf>
    <xf numFmtId="167" fontId="14" fillId="5" borderId="1" xfId="0" applyNumberFormat="1" applyFont="1" applyFill="1" applyBorder="1" applyAlignment="1">
      <alignment horizontal="center" vertical="center"/>
    </xf>
    <xf numFmtId="166" fontId="14" fillId="5" borderId="1" xfId="1" applyNumberFormat="1" applyFont="1" applyFill="1" applyBorder="1" applyAlignment="1">
      <alignment horizontal="center" vertical="center"/>
    </xf>
    <xf numFmtId="3" fontId="14" fillId="5" borderId="1" xfId="0" applyNumberFormat="1" applyFont="1" applyFill="1" applyBorder="1" applyAlignment="1">
      <alignment horizontal="center" vertical="center"/>
    </xf>
    <xf numFmtId="0" fontId="14" fillId="5" borderId="1" xfId="0" applyFont="1" applyFill="1" applyBorder="1" applyAlignment="1">
      <alignment vertical="center"/>
    </xf>
    <xf numFmtId="3" fontId="2" fillId="3" borderId="0" xfId="0" applyNumberFormat="1" applyFont="1" applyFill="1" applyAlignment="1">
      <alignment vertical="center"/>
    </xf>
    <xf numFmtId="4" fontId="0" fillId="0" borderId="1" xfId="0" applyNumberFormat="1" applyFont="1" applyBorder="1" applyAlignment="1">
      <alignment horizontal="center" vertical="center"/>
    </xf>
    <xf numFmtId="42" fontId="14" fillId="0" borderId="1" xfId="0" applyNumberFormat="1" applyFont="1" applyBorder="1" applyAlignment="1">
      <alignment horizontal="center" vertical="center"/>
    </xf>
    <xf numFmtId="42" fontId="14" fillId="0" borderId="1" xfId="0" applyNumberFormat="1" applyFont="1" applyBorder="1" applyAlignment="1">
      <alignment vertical="center"/>
    </xf>
    <xf numFmtId="0" fontId="14" fillId="0" borderId="1" xfId="0" applyFont="1" applyBorder="1" applyAlignment="1">
      <alignment horizontal="center" vertical="center"/>
    </xf>
    <xf numFmtId="0" fontId="14" fillId="0" borderId="1" xfId="0" applyNumberFormat="1" applyFont="1" applyBorder="1" applyAlignment="1">
      <alignment horizontal="right" vertical="center"/>
    </xf>
    <xf numFmtId="167" fontId="14" fillId="0" borderId="1" xfId="0" applyNumberFormat="1" applyFont="1" applyBorder="1" applyAlignment="1">
      <alignment horizontal="center" vertical="center"/>
    </xf>
    <xf numFmtId="167" fontId="14" fillId="0" borderId="0" xfId="0" applyNumberFormat="1" applyFont="1" applyBorder="1" applyAlignment="1">
      <alignment horizontal="center" vertical="center"/>
    </xf>
    <xf numFmtId="3" fontId="14" fillId="0" borderId="0" xfId="0" applyNumberFormat="1" applyFont="1" applyBorder="1" applyAlignment="1">
      <alignment horizontal="center" vertical="center"/>
    </xf>
    <xf numFmtId="3" fontId="0" fillId="0" borderId="1" xfId="1" applyNumberFormat="1" applyFont="1" applyBorder="1" applyAlignment="1">
      <alignment horizontal="center" vertical="center"/>
    </xf>
    <xf numFmtId="167" fontId="0" fillId="0" borderId="1" xfId="1" applyNumberFormat="1" applyFont="1" applyBorder="1" applyAlignment="1">
      <alignment horizontal="center" vertical="center"/>
    </xf>
    <xf numFmtId="4" fontId="0" fillId="0" borderId="1" xfId="1" applyNumberFormat="1" applyFont="1" applyBorder="1" applyAlignment="1">
      <alignment horizontal="center" vertical="center"/>
    </xf>
    <xf numFmtId="167" fontId="0" fillId="5" borderId="1" xfId="1" applyNumberFormat="1" applyFont="1" applyFill="1" applyBorder="1" applyAlignment="1">
      <alignment horizontal="center" vertical="center"/>
    </xf>
    <xf numFmtId="3" fontId="0" fillId="5" borderId="1" xfId="1" applyNumberFormat="1" applyFont="1" applyFill="1" applyBorder="1" applyAlignment="1">
      <alignment horizontal="center" vertical="center"/>
    </xf>
    <xf numFmtId="4" fontId="0" fillId="5" borderId="1" xfId="1" applyNumberFormat="1" applyFont="1" applyFill="1" applyBorder="1" applyAlignment="1">
      <alignment horizontal="center" vertical="center"/>
    </xf>
    <xf numFmtId="0" fontId="15" fillId="0" borderId="1" xfId="0" applyFont="1" applyFill="1" applyBorder="1" applyAlignment="1">
      <alignment horizontal="center" vertical="center" wrapText="1"/>
    </xf>
    <xf numFmtId="0" fontId="15" fillId="5" borderId="1" xfId="0" applyFont="1" applyFill="1" applyBorder="1" applyAlignment="1">
      <alignment horizontal="center" vertical="center" wrapText="1"/>
    </xf>
    <xf numFmtId="166" fontId="0" fillId="5" borderId="1" xfId="1" applyNumberFormat="1" applyFont="1" applyFill="1" applyBorder="1" applyAlignment="1">
      <alignment horizontal="center" vertical="center"/>
    </xf>
    <xf numFmtId="4" fontId="14" fillId="0" borderId="0" xfId="0" applyNumberFormat="1" applyFont="1" applyAlignment="1">
      <alignment vertical="center"/>
    </xf>
    <xf numFmtId="2" fontId="14" fillId="0" borderId="0" xfId="0" applyNumberFormat="1" applyFont="1" applyAlignment="1">
      <alignment vertical="center"/>
    </xf>
    <xf numFmtId="165" fontId="14" fillId="0" borderId="0" xfId="0" applyNumberFormat="1" applyFont="1" applyAlignment="1">
      <alignment horizontal="center" vertical="center"/>
    </xf>
    <xf numFmtId="0" fontId="14" fillId="0" borderId="0" xfId="0" applyFont="1" applyAlignment="1">
      <alignment horizontal="center" vertical="center"/>
    </xf>
    <xf numFmtId="168" fontId="14" fillId="0" borderId="0" xfId="0" applyNumberFormat="1" applyFont="1" applyAlignment="1">
      <alignment vertical="center"/>
    </xf>
    <xf numFmtId="0" fontId="3" fillId="0" borderId="0" xfId="0" applyFont="1" applyAlignment="1">
      <alignment vertical="center"/>
    </xf>
    <xf numFmtId="0" fontId="15" fillId="0" borderId="0" xfId="0" applyFont="1" applyAlignment="1">
      <alignment vertical="center"/>
    </xf>
    <xf numFmtId="167" fontId="14" fillId="0" borderId="0" xfId="0" applyNumberFormat="1" applyFont="1" applyAlignment="1">
      <alignment vertical="center"/>
    </xf>
    <xf numFmtId="4" fontId="14" fillId="5" borderId="1" xfId="0" applyNumberFormat="1" applyFont="1" applyFill="1" applyBorder="1" applyAlignment="1">
      <alignment horizontal="center" vertical="center"/>
    </xf>
    <xf numFmtId="0" fontId="15" fillId="5" borderId="1" xfId="0" applyFont="1" applyFill="1" applyBorder="1" applyAlignment="1">
      <alignment horizontal="left" vertical="center"/>
    </xf>
    <xf numFmtId="3" fontId="15" fillId="5" borderId="1" xfId="0" applyNumberFormat="1" applyFont="1" applyFill="1" applyBorder="1" applyAlignment="1">
      <alignment horizontal="center" vertical="center"/>
    </xf>
    <xf numFmtId="166" fontId="15" fillId="5" borderId="1" xfId="1" applyNumberFormat="1" applyFont="1" applyFill="1" applyBorder="1" applyAlignment="1">
      <alignment horizontal="center" vertical="center"/>
    </xf>
    <xf numFmtId="4" fontId="14" fillId="0" borderId="1" xfId="0" applyNumberFormat="1" applyFont="1" applyBorder="1" applyAlignment="1">
      <alignment horizontal="center" vertical="center"/>
    </xf>
    <xf numFmtId="2" fontId="2" fillId="0" borderId="0" xfId="0" applyNumberFormat="1" applyFont="1" applyFill="1" applyAlignment="1">
      <alignment horizontal="center" vertical="center"/>
    </xf>
    <xf numFmtId="0" fontId="2" fillId="0" borderId="0" xfId="0" quotePrefix="1" applyFont="1" applyFill="1" applyAlignment="1">
      <alignment horizontal="center" vertical="center"/>
    </xf>
    <xf numFmtId="169" fontId="14" fillId="0" borderId="1" xfId="0" applyNumberFormat="1" applyFont="1" applyBorder="1" applyAlignment="1">
      <alignment horizontal="center" vertical="center"/>
    </xf>
    <xf numFmtId="0" fontId="14" fillId="9" borderId="3" xfId="0" applyFont="1" applyFill="1" applyBorder="1" applyAlignment="1">
      <alignment vertical="center"/>
    </xf>
    <xf numFmtId="3" fontId="14" fillId="9" borderId="3" xfId="0" applyNumberFormat="1" applyFont="1" applyFill="1" applyBorder="1" applyAlignment="1">
      <alignment horizontal="center" vertical="center"/>
    </xf>
    <xf numFmtId="166" fontId="14" fillId="9" borderId="3" xfId="1" applyNumberFormat="1" applyFont="1" applyFill="1" applyBorder="1" applyAlignment="1">
      <alignment horizontal="center" vertical="center"/>
    </xf>
    <xf numFmtId="0" fontId="14" fillId="9" borderId="0" xfId="0" applyFont="1" applyFill="1" applyBorder="1" applyAlignment="1">
      <alignment vertical="center"/>
    </xf>
    <xf numFmtId="3" fontId="14" fillId="9" borderId="0" xfId="0" applyNumberFormat="1" applyFont="1" applyFill="1" applyBorder="1" applyAlignment="1">
      <alignment horizontal="center" vertical="center"/>
    </xf>
    <xf numFmtId="166" fontId="14" fillId="9" borderId="0" xfId="1" applyNumberFormat="1" applyFont="1" applyFill="1" applyBorder="1" applyAlignment="1">
      <alignment horizontal="center" vertical="center"/>
    </xf>
    <xf numFmtId="0" fontId="14" fillId="9" borderId="4" xfId="0" applyFont="1" applyFill="1" applyBorder="1" applyAlignment="1">
      <alignment vertical="center"/>
    </xf>
    <xf numFmtId="3" fontId="14" fillId="9" borderId="4" xfId="0" applyNumberFormat="1" applyFont="1" applyFill="1" applyBorder="1" applyAlignment="1">
      <alignment horizontal="center" vertical="center"/>
    </xf>
    <xf numFmtId="166" fontId="14" fillId="9" borderId="4" xfId="1" applyNumberFormat="1" applyFont="1" applyFill="1" applyBorder="1" applyAlignment="1">
      <alignment horizontal="center" vertical="center"/>
    </xf>
    <xf numFmtId="0" fontId="13" fillId="10" borderId="2" xfId="0" applyFont="1" applyFill="1" applyBorder="1" applyAlignment="1">
      <alignment vertical="center"/>
    </xf>
    <xf numFmtId="3" fontId="13" fillId="10" borderId="2" xfId="0" applyNumberFormat="1" applyFont="1" applyFill="1" applyBorder="1" applyAlignment="1">
      <alignment horizontal="center" vertical="center"/>
    </xf>
    <xf numFmtId="166" fontId="13" fillId="10" borderId="2" xfId="1" applyNumberFormat="1" applyFont="1" applyFill="1" applyBorder="1" applyAlignment="1">
      <alignment horizontal="center" vertical="center"/>
    </xf>
    <xf numFmtId="0" fontId="16" fillId="11" borderId="2" xfId="0" applyFont="1" applyFill="1" applyBorder="1" applyAlignment="1">
      <alignment vertical="center"/>
    </xf>
    <xf numFmtId="3" fontId="16" fillId="11" borderId="2" xfId="0" applyNumberFormat="1" applyFont="1" applyFill="1" applyBorder="1" applyAlignment="1">
      <alignment horizontal="center" vertical="center"/>
    </xf>
    <xf numFmtId="166" fontId="16" fillId="11" borderId="2" xfId="1" applyNumberFormat="1" applyFont="1" applyFill="1" applyBorder="1" applyAlignment="1">
      <alignment horizontal="center" vertical="center"/>
    </xf>
    <xf numFmtId="0" fontId="17" fillId="0" borderId="0" xfId="0" applyFont="1" applyFill="1" applyAlignment="1">
      <alignment horizontal="center" vertical="center"/>
    </xf>
    <xf numFmtId="0" fontId="15" fillId="2" borderId="1" xfId="0" quotePrefix="1" applyFont="1" applyFill="1" applyBorder="1" applyAlignment="1">
      <alignment vertical="center" wrapText="1"/>
    </xf>
    <xf numFmtId="2" fontId="0" fillId="0" borderId="1" xfId="0" applyNumberFormat="1" applyFont="1" applyBorder="1" applyAlignment="1">
      <alignment horizontal="center" vertical="center"/>
    </xf>
    <xf numFmtId="0" fontId="0" fillId="3" borderId="1" xfId="0" applyFont="1" applyFill="1" applyBorder="1" applyAlignment="1">
      <alignment vertical="center"/>
    </xf>
    <xf numFmtId="166" fontId="14" fillId="0" borderId="0" xfId="1" applyNumberFormat="1" applyFont="1" applyBorder="1" applyAlignment="1">
      <alignment horizontal="center" vertical="center"/>
    </xf>
    <xf numFmtId="0" fontId="14" fillId="0" borderId="1" xfId="1" applyNumberFormat="1" applyFont="1" applyBorder="1" applyAlignment="1">
      <alignment horizontal="center" vertical="center"/>
    </xf>
    <xf numFmtId="0" fontId="15" fillId="9" borderId="1" xfId="0" applyFont="1" applyFill="1" applyBorder="1" applyAlignment="1">
      <alignment vertical="center"/>
    </xf>
    <xf numFmtId="3" fontId="14" fillId="0" borderId="1" xfId="1" applyNumberFormat="1" applyFont="1" applyBorder="1" applyAlignment="1">
      <alignment horizontal="center" vertical="center"/>
    </xf>
    <xf numFmtId="9" fontId="14" fillId="0" borderId="1" xfId="1" applyFont="1" applyBorder="1" applyAlignment="1">
      <alignment horizontal="center" vertical="center"/>
    </xf>
    <xf numFmtId="165" fontId="14" fillId="0" borderId="1" xfId="1" applyNumberFormat="1" applyFont="1" applyBorder="1" applyAlignment="1">
      <alignment horizontal="center" vertical="center"/>
    </xf>
    <xf numFmtId="9" fontId="14" fillId="0" borderId="1" xfId="1" applyNumberFormat="1" applyFont="1" applyBorder="1" applyAlignment="1">
      <alignment horizontal="center" vertical="center"/>
    </xf>
    <xf numFmtId="0" fontId="14" fillId="6" borderId="0" xfId="0" applyFont="1" applyFill="1" applyAlignment="1">
      <alignment vertical="center"/>
    </xf>
    <xf numFmtId="166" fontId="14" fillId="0" borderId="0" xfId="0" applyNumberFormat="1" applyFont="1" applyAlignment="1">
      <alignment vertical="center"/>
    </xf>
    <xf numFmtId="3" fontId="14" fillId="0" borderId="0" xfId="0" applyNumberFormat="1" applyFont="1" applyAlignment="1">
      <alignment vertical="center"/>
    </xf>
    <xf numFmtId="0" fontId="0" fillId="5" borderId="1" xfId="1" applyNumberFormat="1" applyFont="1" applyFill="1" applyBorder="1" applyAlignment="1">
      <alignment horizontal="center" vertical="center"/>
    </xf>
    <xf numFmtId="0" fontId="0" fillId="0" borderId="1" xfId="1" applyNumberFormat="1" applyFont="1" applyBorder="1" applyAlignment="1">
      <alignment horizontal="center" vertical="center"/>
    </xf>
    <xf numFmtId="0" fontId="18" fillId="0" borderId="0" xfId="0" applyFont="1" applyFill="1" applyAlignment="1">
      <alignment vertical="center"/>
    </xf>
    <xf numFmtId="0" fontId="19" fillId="0" borderId="0" xfId="0" applyFont="1" applyFill="1" applyAlignment="1">
      <alignment vertical="center"/>
    </xf>
    <xf numFmtId="0" fontId="18" fillId="0" borderId="0" xfId="0" applyFont="1" applyFill="1" applyAlignment="1">
      <alignment horizontal="center" vertical="center"/>
    </xf>
    <xf numFmtId="0" fontId="18" fillId="0" borderId="0" xfId="0" applyFont="1" applyFill="1" applyAlignment="1">
      <alignment vertical="center" wrapText="1"/>
    </xf>
    <xf numFmtId="0" fontId="0" fillId="6" borderId="0" xfId="0" applyFont="1" applyFill="1" applyAlignment="1">
      <alignment vertical="center"/>
    </xf>
    <xf numFmtId="0" fontId="18" fillId="6" borderId="0" xfId="0" applyFont="1" applyFill="1" applyAlignment="1">
      <alignment vertical="center"/>
    </xf>
    <xf numFmtId="0" fontId="13" fillId="6" borderId="1" xfId="0" applyFont="1" applyFill="1" applyBorder="1" applyAlignment="1">
      <alignment vertical="center" wrapText="1"/>
    </xf>
    <xf numFmtId="0" fontId="13" fillId="6" borderId="1" xfId="0" applyFont="1" applyFill="1" applyBorder="1" applyAlignment="1">
      <alignment horizontal="center" vertical="center" wrapText="1"/>
    </xf>
    <xf numFmtId="0" fontId="16" fillId="5" borderId="1" xfId="0" applyFont="1" applyFill="1" applyBorder="1" applyAlignment="1">
      <alignment vertical="center"/>
    </xf>
    <xf numFmtId="0" fontId="16" fillId="5" borderId="1" xfId="0" applyFont="1" applyFill="1" applyBorder="1" applyAlignment="1">
      <alignment horizontal="center" vertical="center"/>
    </xf>
    <xf numFmtId="166" fontId="16" fillId="5" borderId="1" xfId="1" applyNumberFormat="1" applyFont="1" applyFill="1" applyBorder="1" applyAlignment="1">
      <alignment horizontal="center" vertical="center"/>
    </xf>
    <xf numFmtId="3" fontId="16" fillId="5" borderId="1" xfId="0" applyNumberFormat="1" applyFont="1" applyFill="1" applyBorder="1" applyAlignment="1">
      <alignment horizontal="center" vertical="center"/>
    </xf>
    <xf numFmtId="0" fontId="15" fillId="5" borderId="1" xfId="0" applyFont="1" applyFill="1" applyBorder="1" applyAlignment="1">
      <alignment vertical="center"/>
    </xf>
    <xf numFmtId="0" fontId="14" fillId="0" borderId="0" xfId="0" applyFont="1" applyFill="1" applyAlignment="1">
      <alignment vertical="center"/>
    </xf>
    <xf numFmtId="0" fontId="21" fillId="10" borderId="1" xfId="0" applyFont="1" applyFill="1" applyBorder="1" applyAlignment="1">
      <alignment horizontal="left" vertical="center"/>
    </xf>
    <xf numFmtId="0" fontId="16" fillId="9" borderId="1" xfId="0" applyFont="1" applyFill="1" applyBorder="1" applyAlignment="1">
      <alignment vertical="center"/>
    </xf>
    <xf numFmtId="166" fontId="14" fillId="0" borderId="1" xfId="1" applyNumberFormat="1" applyFont="1" applyFill="1" applyBorder="1" applyAlignment="1">
      <alignment horizontal="center" vertical="center"/>
    </xf>
    <xf numFmtId="0" fontId="15" fillId="12" borderId="1" xfId="0" applyFont="1" applyFill="1" applyBorder="1" applyAlignment="1">
      <alignment vertical="center"/>
    </xf>
    <xf numFmtId="0" fontId="15" fillId="0" borderId="0" xfId="0" applyFont="1" applyAlignment="1">
      <alignment horizontal="center" vertical="center"/>
    </xf>
    <xf numFmtId="0" fontId="13" fillId="6" borderId="1" xfId="0" applyFont="1" applyFill="1" applyBorder="1" applyAlignment="1">
      <alignment vertical="center"/>
    </xf>
    <xf numFmtId="0" fontId="22" fillId="6" borderId="0" xfId="0" applyFont="1" applyFill="1" applyAlignment="1">
      <alignment horizontal="center" vertical="center" wrapText="1"/>
    </xf>
    <xf numFmtId="0" fontId="0" fillId="0" borderId="0" xfId="0" applyFont="1" applyFill="1" applyAlignment="1">
      <alignment vertical="center"/>
    </xf>
    <xf numFmtId="0" fontId="3" fillId="0" borderId="0" xfId="0" applyFont="1" applyFill="1" applyAlignment="1">
      <alignment horizontal="center" vertical="center"/>
    </xf>
    <xf numFmtId="166" fontId="15" fillId="5" borderId="1" xfId="0" applyNumberFormat="1" applyFont="1" applyFill="1" applyBorder="1" applyAlignment="1">
      <alignment horizontal="center" vertical="center"/>
    </xf>
    <xf numFmtId="0" fontId="15" fillId="5" borderId="1" xfId="0" applyNumberFormat="1" applyFont="1" applyFill="1" applyBorder="1" applyAlignment="1">
      <alignment horizontal="center" vertical="center"/>
    </xf>
    <xf numFmtId="0" fontId="16" fillId="9" borderId="1" xfId="0" applyFont="1" applyFill="1" applyBorder="1" applyAlignment="1">
      <alignment vertical="center" wrapText="1"/>
    </xf>
    <xf numFmtId="0" fontId="14" fillId="8" borderId="1" xfId="0" applyFont="1" applyFill="1" applyBorder="1" applyAlignment="1">
      <alignment vertical="center"/>
    </xf>
    <xf numFmtId="0" fontId="15" fillId="8" borderId="1" xfId="0" applyFont="1" applyFill="1" applyBorder="1" applyAlignment="1">
      <alignment vertical="center"/>
    </xf>
    <xf numFmtId="0" fontId="15" fillId="12" borderId="1" xfId="0" applyFont="1" applyFill="1" applyBorder="1" applyAlignment="1">
      <alignment horizontal="center" vertical="center"/>
    </xf>
    <xf numFmtId="0" fontId="13" fillId="6" borderId="1" xfId="0" applyFont="1" applyFill="1" applyBorder="1" applyAlignment="1">
      <alignment horizontal="justify" vertical="center" wrapText="1"/>
    </xf>
    <xf numFmtId="0" fontId="24" fillId="0" borderId="0" xfId="0" applyFont="1" applyAlignment="1">
      <alignment vertical="center"/>
    </xf>
    <xf numFmtId="0" fontId="14" fillId="13" borderId="0" xfId="0" applyFont="1" applyFill="1" applyAlignment="1">
      <alignment vertical="center"/>
    </xf>
    <xf numFmtId="0" fontId="25" fillId="13" borderId="0" xfId="0" applyFont="1" applyFill="1" applyAlignment="1">
      <alignment vertical="center"/>
    </xf>
    <xf numFmtId="3" fontId="25" fillId="13" borderId="0" xfId="0" applyNumberFormat="1" applyFont="1" applyFill="1" applyAlignment="1">
      <alignment vertical="center"/>
    </xf>
    <xf numFmtId="0" fontId="16" fillId="9" borderId="1" xfId="0" applyFont="1" applyFill="1" applyBorder="1" applyAlignment="1">
      <alignment horizontal="justify" vertical="center" wrapText="1"/>
    </xf>
    <xf numFmtId="0" fontId="13" fillId="10" borderId="1" xfId="0" applyFont="1" applyFill="1" applyBorder="1" applyAlignment="1">
      <alignment horizontal="center" vertical="center"/>
    </xf>
    <xf numFmtId="0" fontId="13" fillId="6" borderId="1" xfId="0" applyFont="1" applyFill="1" applyBorder="1" applyAlignment="1">
      <alignment horizontal="left" vertical="center" wrapText="1"/>
    </xf>
    <xf numFmtId="0" fontId="26" fillId="13" borderId="0" xfId="0" applyFont="1" applyFill="1" applyAlignment="1">
      <alignment vertical="center"/>
    </xf>
    <xf numFmtId="0" fontId="14" fillId="5" borderId="1" xfId="1" applyNumberFormat="1" applyFont="1" applyFill="1" applyBorder="1" applyAlignment="1">
      <alignment horizontal="center" vertical="center"/>
    </xf>
    <xf numFmtId="167" fontId="14" fillId="5" borderId="1" xfId="1" applyNumberFormat="1" applyFont="1" applyFill="1" applyBorder="1" applyAlignment="1">
      <alignment horizontal="center" vertical="center"/>
    </xf>
    <xf numFmtId="3" fontId="14" fillId="5" borderId="1" xfId="1" applyNumberFormat="1" applyFont="1" applyFill="1" applyBorder="1" applyAlignment="1">
      <alignment horizontal="center" vertical="center"/>
    </xf>
    <xf numFmtId="4" fontId="14" fillId="5" borderId="1" xfId="1" applyNumberFormat="1" applyFont="1" applyFill="1" applyBorder="1" applyAlignment="1">
      <alignment horizontal="center" vertical="center"/>
    </xf>
    <xf numFmtId="167" fontId="14" fillId="0" borderId="1" xfId="1" applyNumberFormat="1" applyFont="1" applyBorder="1" applyAlignment="1">
      <alignment horizontal="center" vertical="center"/>
    </xf>
    <xf numFmtId="2" fontId="14" fillId="0" borderId="1" xfId="1" applyNumberFormat="1" applyFont="1" applyBorder="1" applyAlignment="1">
      <alignment horizontal="center" vertical="center"/>
    </xf>
    <xf numFmtId="2" fontId="14" fillId="5" borderId="1" xfId="1" applyNumberFormat="1" applyFont="1" applyFill="1" applyBorder="1" applyAlignment="1">
      <alignment horizontal="center" vertical="center"/>
    </xf>
    <xf numFmtId="4" fontId="14" fillId="0" borderId="1" xfId="1" applyNumberFormat="1" applyFont="1" applyBorder="1" applyAlignment="1">
      <alignment horizontal="center" vertical="center"/>
    </xf>
    <xf numFmtId="0" fontId="16" fillId="9" borderId="1" xfId="0" applyFont="1" applyFill="1" applyBorder="1" applyAlignment="1">
      <alignment horizontal="center" vertical="center" wrapText="1"/>
    </xf>
    <xf numFmtId="0" fontId="27" fillId="10" borderId="1" xfId="0" applyFont="1" applyFill="1" applyBorder="1" applyAlignment="1">
      <alignment horizontal="left" vertical="center"/>
    </xf>
    <xf numFmtId="3" fontId="26" fillId="13" borderId="0" xfId="0" applyNumberFormat="1" applyFont="1" applyFill="1" applyAlignment="1">
      <alignment vertical="center"/>
    </xf>
    <xf numFmtId="0" fontId="23" fillId="0" borderId="0" xfId="0" applyFont="1" applyFill="1" applyAlignment="1">
      <alignment vertical="center"/>
    </xf>
    <xf numFmtId="3" fontId="23" fillId="0" borderId="0" xfId="0" applyNumberFormat="1" applyFont="1" applyFill="1" applyAlignment="1">
      <alignment vertical="center"/>
    </xf>
    <xf numFmtId="0" fontId="23" fillId="6" borderId="0" xfId="0" applyFont="1" applyFill="1" applyAlignment="1">
      <alignment vertical="center"/>
    </xf>
    <xf numFmtId="3" fontId="23" fillId="6" borderId="0" xfId="0" applyNumberFormat="1" applyFont="1" applyFill="1" applyAlignment="1">
      <alignment vertical="center"/>
    </xf>
    <xf numFmtId="9" fontId="14" fillId="5" borderId="1" xfId="1" applyNumberFormat="1" applyFont="1" applyFill="1" applyBorder="1" applyAlignment="1">
      <alignment horizontal="center" vertical="center"/>
    </xf>
    <xf numFmtId="0" fontId="13" fillId="6" borderId="1" xfId="0" applyFont="1" applyFill="1" applyBorder="1" applyAlignment="1">
      <alignment horizontal="justify" vertical="center"/>
    </xf>
    <xf numFmtId="0" fontId="13" fillId="14" borderId="1" xfId="0" applyFont="1" applyFill="1" applyBorder="1" applyAlignment="1">
      <alignment horizontal="justify" vertical="center" wrapText="1"/>
    </xf>
    <xf numFmtId="0" fontId="13" fillId="14" borderId="1" xfId="0" applyFont="1" applyFill="1" applyBorder="1" applyAlignment="1">
      <alignment horizontal="center" vertical="center" wrapText="1"/>
    </xf>
    <xf numFmtId="0" fontId="15" fillId="9" borderId="1" xfId="0" applyFont="1" applyFill="1" applyBorder="1" applyAlignment="1">
      <alignment horizontal="left" vertical="center"/>
    </xf>
    <xf numFmtId="3" fontId="15" fillId="9" borderId="1" xfId="0" applyNumberFormat="1" applyFont="1" applyFill="1" applyBorder="1" applyAlignment="1">
      <alignment horizontal="center" vertical="center"/>
    </xf>
    <xf numFmtId="166" fontId="15" fillId="9" borderId="1" xfId="1" applyNumberFormat="1" applyFont="1" applyFill="1" applyBorder="1" applyAlignment="1">
      <alignment horizontal="center" vertical="center"/>
    </xf>
    <xf numFmtId="0" fontId="15" fillId="12" borderId="1" xfId="0" applyFont="1" applyFill="1" applyBorder="1" applyAlignment="1">
      <alignment horizontal="left" vertical="center"/>
    </xf>
    <xf numFmtId="3" fontId="15" fillId="12" borderId="1" xfId="0" applyNumberFormat="1" applyFont="1" applyFill="1" applyBorder="1" applyAlignment="1">
      <alignment horizontal="center" vertical="center"/>
    </xf>
    <xf numFmtId="166" fontId="15" fillId="12" borderId="1" xfId="1" applyNumberFormat="1" applyFont="1" applyFill="1" applyBorder="1" applyAlignment="1">
      <alignment horizontal="center" vertical="center"/>
    </xf>
    <xf numFmtId="0" fontId="13" fillId="14" borderId="1" xfId="0" applyFont="1" applyFill="1" applyBorder="1" applyAlignment="1">
      <alignment vertical="center" wrapText="1"/>
    </xf>
    <xf numFmtId="0" fontId="13" fillId="10" borderId="1" xfId="0" applyFont="1" applyFill="1" applyBorder="1" applyAlignment="1">
      <alignment horizontal="left" vertical="center" wrapText="1"/>
    </xf>
    <xf numFmtId="0" fontId="13" fillId="10" borderId="1" xfId="0" applyFont="1" applyFill="1" applyBorder="1" applyAlignment="1">
      <alignment horizontal="center" vertical="center" wrapText="1"/>
    </xf>
    <xf numFmtId="0" fontId="13" fillId="14" borderId="1" xfId="0" applyFont="1" applyFill="1" applyBorder="1" applyAlignment="1">
      <alignment horizontal="left" vertical="center" wrapText="1"/>
    </xf>
    <xf numFmtId="0" fontId="15" fillId="12" borderId="1" xfId="0" applyFont="1" applyFill="1" applyBorder="1" applyAlignment="1">
      <alignment horizontal="center" vertical="center" wrapText="1"/>
    </xf>
    <xf numFmtId="0" fontId="14" fillId="12" borderId="1" xfId="0" applyFont="1" applyFill="1" applyBorder="1" applyAlignment="1">
      <alignment vertical="center"/>
    </xf>
    <xf numFmtId="3" fontId="14" fillId="12" borderId="1" xfId="1" applyNumberFormat="1" applyFont="1" applyFill="1" applyBorder="1" applyAlignment="1">
      <alignment horizontal="center" vertical="center"/>
    </xf>
    <xf numFmtId="0" fontId="14" fillId="12" borderId="1" xfId="1" applyNumberFormat="1" applyFont="1" applyFill="1" applyBorder="1" applyAlignment="1">
      <alignment horizontal="center" vertical="center"/>
    </xf>
    <xf numFmtId="167" fontId="14" fillId="12" borderId="1" xfId="1" applyNumberFormat="1" applyFont="1" applyFill="1" applyBorder="1" applyAlignment="1">
      <alignment horizontal="center" vertical="center"/>
    </xf>
    <xf numFmtId="4" fontId="14" fillId="12" borderId="1" xfId="1" applyNumberFormat="1" applyFont="1" applyFill="1" applyBorder="1" applyAlignment="1">
      <alignment horizontal="center" vertical="center"/>
    </xf>
    <xf numFmtId="166" fontId="14" fillId="12" borderId="1" xfId="1" applyNumberFormat="1" applyFont="1" applyFill="1" applyBorder="1" applyAlignment="1">
      <alignment horizontal="center" vertical="center"/>
    </xf>
    <xf numFmtId="9" fontId="14" fillId="12" borderId="1" xfId="1" applyNumberFormat="1" applyFont="1" applyFill="1" applyBorder="1" applyAlignment="1">
      <alignment horizontal="center" vertical="center"/>
    </xf>
    <xf numFmtId="0" fontId="14" fillId="12" borderId="1" xfId="0" applyFont="1" applyFill="1" applyBorder="1" applyAlignment="1">
      <alignment horizontal="left" vertical="center"/>
    </xf>
    <xf numFmtId="167" fontId="14" fillId="12" borderId="1" xfId="0" applyNumberFormat="1" applyFont="1" applyFill="1" applyBorder="1" applyAlignment="1">
      <alignment horizontal="center" vertical="center"/>
    </xf>
    <xf numFmtId="3" fontId="14" fillId="12" borderId="1" xfId="0" applyNumberFormat="1" applyFont="1" applyFill="1" applyBorder="1" applyAlignment="1">
      <alignment horizontal="center" vertical="center"/>
    </xf>
    <xf numFmtId="4" fontId="14" fillId="12" borderId="1" xfId="0" applyNumberFormat="1" applyFont="1" applyFill="1" applyBorder="1" applyAlignment="1">
      <alignment horizontal="center" vertical="center"/>
    </xf>
    <xf numFmtId="166" fontId="0" fillId="12" borderId="1" xfId="1" applyNumberFormat="1" applyFont="1" applyFill="1" applyBorder="1" applyAlignment="1">
      <alignment horizontal="center" vertical="center"/>
    </xf>
    <xf numFmtId="167" fontId="0" fillId="12" borderId="1" xfId="1" applyNumberFormat="1" applyFont="1" applyFill="1" applyBorder="1" applyAlignment="1">
      <alignment horizontal="center" vertical="center"/>
    </xf>
    <xf numFmtId="165" fontId="0" fillId="0" borderId="1" xfId="1" applyNumberFormat="1" applyFont="1" applyBorder="1" applyAlignment="1">
      <alignment horizontal="center" vertical="center"/>
    </xf>
    <xf numFmtId="1" fontId="0" fillId="5" borderId="1" xfId="1" applyNumberFormat="1" applyFont="1" applyFill="1" applyBorder="1" applyAlignment="1">
      <alignment horizontal="center" vertical="center"/>
    </xf>
    <xf numFmtId="1" fontId="0" fillId="0" borderId="1" xfId="1" applyNumberFormat="1" applyFont="1" applyBorder="1" applyAlignment="1">
      <alignment horizontal="center" vertical="center"/>
    </xf>
    <xf numFmtId="0" fontId="0" fillId="12" borderId="1" xfId="1" applyNumberFormat="1" applyFont="1" applyFill="1" applyBorder="1" applyAlignment="1">
      <alignment horizontal="center" vertical="center"/>
    </xf>
    <xf numFmtId="165" fontId="0" fillId="12" borderId="1" xfId="1" applyNumberFormat="1" applyFont="1" applyFill="1" applyBorder="1" applyAlignment="1">
      <alignment horizontal="center" vertical="center"/>
    </xf>
    <xf numFmtId="1" fontId="0" fillId="12" borderId="1" xfId="1" applyNumberFormat="1" applyFont="1" applyFill="1" applyBorder="1" applyAlignment="1">
      <alignment horizontal="center" vertical="center"/>
    </xf>
    <xf numFmtId="0" fontId="13" fillId="15" borderId="1" xfId="0" applyFont="1" applyFill="1" applyBorder="1" applyAlignment="1">
      <alignment vertical="center" wrapText="1"/>
    </xf>
    <xf numFmtId="0" fontId="13" fillId="15" borderId="1" xfId="0" applyFont="1" applyFill="1" applyBorder="1" applyAlignment="1">
      <alignment horizontal="center" vertical="center" wrapText="1"/>
    </xf>
    <xf numFmtId="0" fontId="13" fillId="15" borderId="1" xfId="0" applyFont="1" applyFill="1" applyBorder="1" applyAlignment="1">
      <alignment horizontal="left" vertical="center" wrapText="1"/>
    </xf>
    <xf numFmtId="0" fontId="23" fillId="0" borderId="1" xfId="0" applyFont="1" applyFill="1" applyBorder="1" applyAlignment="1">
      <alignment horizontal="justify" vertical="center" wrapText="1"/>
    </xf>
    <xf numFmtId="0" fontId="29" fillId="6" borderId="0" xfId="0" applyFont="1" applyFill="1" applyAlignment="1">
      <alignment vertical="center"/>
    </xf>
    <xf numFmtId="3" fontId="14" fillId="0" borderId="0" xfId="0" applyNumberFormat="1" applyFont="1" applyAlignment="1">
      <alignment horizontal="left" vertical="center"/>
    </xf>
    <xf numFmtId="9" fontId="14" fillId="0" borderId="0" xfId="1" applyFont="1" applyAlignment="1">
      <alignment vertical="center"/>
    </xf>
    <xf numFmtId="0" fontId="14" fillId="0" borderId="0" xfId="0" applyFont="1" applyAlignment="1">
      <alignment vertical="center" wrapText="1"/>
    </xf>
    <xf numFmtId="3" fontId="14" fillId="0" borderId="0" xfId="0" applyNumberFormat="1" applyFont="1" applyAlignment="1">
      <alignment horizontal="center" vertical="center"/>
    </xf>
    <xf numFmtId="166" fontId="14" fillId="0" borderId="0" xfId="1" applyNumberFormat="1" applyFont="1" applyAlignment="1">
      <alignment horizontal="center" vertical="center"/>
    </xf>
    <xf numFmtId="1" fontId="3" fillId="5" borderId="1" xfId="1" applyNumberFormat="1" applyFont="1" applyFill="1" applyBorder="1" applyAlignment="1">
      <alignment horizontal="center" vertical="center"/>
    </xf>
    <xf numFmtId="0" fontId="3" fillId="0" borderId="1" xfId="1" applyNumberFormat="1" applyFont="1" applyBorder="1" applyAlignment="1">
      <alignment horizontal="center" vertical="center"/>
    </xf>
    <xf numFmtId="0" fontId="3" fillId="5" borderId="1" xfId="1" applyNumberFormat="1" applyFont="1" applyFill="1" applyBorder="1" applyAlignment="1">
      <alignment horizontal="center" vertical="center"/>
    </xf>
    <xf numFmtId="9" fontId="3" fillId="5" borderId="1" xfId="1" applyNumberFormat="1" applyFont="1" applyFill="1" applyBorder="1" applyAlignment="1">
      <alignment horizontal="center" vertical="center"/>
    </xf>
    <xf numFmtId="9" fontId="3" fillId="0" borderId="1" xfId="1" applyNumberFormat="1" applyFont="1" applyBorder="1" applyAlignment="1">
      <alignment horizontal="center" vertical="center"/>
    </xf>
    <xf numFmtId="166" fontId="14" fillId="0" borderId="0" xfId="0" applyNumberFormat="1" applyFont="1" applyAlignment="1">
      <alignment horizontal="center" vertical="center"/>
    </xf>
    <xf numFmtId="0" fontId="26" fillId="13" borderId="0" xfId="0" applyFont="1" applyFill="1" applyBorder="1" applyAlignment="1">
      <alignment vertical="center"/>
    </xf>
    <xf numFmtId="0" fontId="32" fillId="13" borderId="0" xfId="0" applyFont="1" applyFill="1" applyBorder="1" applyAlignment="1">
      <alignment horizontal="justify" vertical="center" wrapText="1"/>
    </xf>
    <xf numFmtId="0" fontId="32" fillId="13" borderId="0" xfId="0" applyFont="1" applyFill="1" applyBorder="1" applyAlignment="1">
      <alignment vertical="center"/>
    </xf>
    <xf numFmtId="0" fontId="32" fillId="13" borderId="0" xfId="0" applyFont="1" applyFill="1" applyBorder="1" applyAlignment="1">
      <alignment horizontal="center" vertical="center" wrapText="1"/>
    </xf>
    <xf numFmtId="3" fontId="26" fillId="13" borderId="0" xfId="0" applyNumberFormat="1" applyFont="1" applyFill="1" applyBorder="1" applyAlignment="1">
      <alignment horizontal="center" vertical="center"/>
    </xf>
    <xf numFmtId="0" fontId="26" fillId="13" borderId="0" xfId="0" applyFont="1" applyFill="1" applyBorder="1" applyAlignment="1">
      <alignment horizontal="center" vertical="center"/>
    </xf>
    <xf numFmtId="166" fontId="26" fillId="13" borderId="0" xfId="1" applyNumberFormat="1" applyFont="1" applyFill="1" applyBorder="1" applyAlignment="1">
      <alignment horizontal="center" vertical="center"/>
    </xf>
    <xf numFmtId="3" fontId="32" fillId="13" borderId="0" xfId="0" applyNumberFormat="1" applyFont="1" applyFill="1" applyBorder="1" applyAlignment="1">
      <alignment horizontal="center" vertical="center"/>
    </xf>
    <xf numFmtId="166" fontId="32" fillId="13" borderId="0" xfId="1" applyNumberFormat="1" applyFont="1" applyFill="1" applyBorder="1" applyAlignment="1">
      <alignment horizontal="center" vertical="center"/>
    </xf>
    <xf numFmtId="0" fontId="34" fillId="6" borderId="0" xfId="0" applyFont="1" applyFill="1" applyAlignment="1">
      <alignment horizontal="center" vertical="center" wrapText="1"/>
    </xf>
    <xf numFmtId="0" fontId="20" fillId="6" borderId="0" xfId="0" applyFont="1" applyFill="1" applyAlignment="1">
      <alignment vertical="center"/>
    </xf>
    <xf numFmtId="0" fontId="20" fillId="0" borderId="0" xfId="0" applyFont="1" applyAlignment="1">
      <alignment vertical="center"/>
    </xf>
    <xf numFmtId="0" fontId="35" fillId="6" borderId="0" xfId="0" applyFont="1" applyFill="1" applyAlignment="1">
      <alignment horizontal="justify" vertical="center" wrapText="1"/>
    </xf>
    <xf numFmtId="0" fontId="36" fillId="6" borderId="0" xfId="0" applyFont="1" applyFill="1" applyAlignment="1">
      <alignment horizontal="center" vertical="center"/>
    </xf>
    <xf numFmtId="0" fontId="37" fillId="0" borderId="0" xfId="0" applyFont="1" applyAlignment="1">
      <alignment vertical="center"/>
    </xf>
    <xf numFmtId="0" fontId="35" fillId="6" borderId="0" xfId="0" applyFont="1" applyFill="1" applyAlignment="1">
      <alignment horizontal="center" vertical="center"/>
    </xf>
    <xf numFmtId="0" fontId="0" fillId="0" borderId="0" xfId="0"/>
    <xf numFmtId="0" fontId="33" fillId="0" borderId="0" xfId="4"/>
    <xf numFmtId="3" fontId="15" fillId="5" borderId="1" xfId="1" applyNumberFormat="1" applyFont="1" applyFill="1" applyBorder="1" applyAlignment="1">
      <alignment horizontal="center" vertical="center"/>
    </xf>
    <xf numFmtId="0" fontId="15" fillId="5" borderId="1" xfId="1" applyNumberFormat="1" applyFont="1" applyFill="1" applyBorder="1" applyAlignment="1">
      <alignment horizontal="center" vertical="center"/>
    </xf>
    <xf numFmtId="0" fontId="32" fillId="13" borderId="0" xfId="0" applyFont="1" applyFill="1" applyBorder="1" applyAlignment="1">
      <alignment vertical="center" wrapText="1"/>
    </xf>
    <xf numFmtId="3" fontId="26" fillId="13" borderId="0" xfId="1" applyNumberFormat="1" applyFont="1" applyFill="1" applyBorder="1" applyAlignment="1">
      <alignment horizontal="center" vertical="center"/>
    </xf>
    <xf numFmtId="0" fontId="32" fillId="14" borderId="1" xfId="0" applyFont="1" applyFill="1" applyBorder="1" applyAlignment="1">
      <alignment vertical="center" wrapText="1"/>
    </xf>
    <xf numFmtId="0" fontId="32" fillId="14" borderId="1" xfId="0" applyFont="1" applyFill="1" applyBorder="1" applyAlignment="1">
      <alignment horizontal="center" vertical="center" wrapText="1"/>
    </xf>
    <xf numFmtId="0" fontId="32" fillId="14" borderId="1" xfId="0" applyFont="1" applyFill="1" applyBorder="1" applyAlignment="1">
      <alignment horizontal="justify" vertical="center" wrapText="1"/>
    </xf>
    <xf numFmtId="0" fontId="32" fillId="14" borderId="1" xfId="0" applyFont="1" applyFill="1" applyBorder="1" applyAlignment="1">
      <alignment horizontal="left" vertical="center" wrapText="1"/>
    </xf>
    <xf numFmtId="0" fontId="13" fillId="15" borderId="1" xfId="0" applyFont="1" applyFill="1" applyBorder="1" applyAlignment="1">
      <alignment horizontal="justify" vertical="center" wrapText="1"/>
    </xf>
    <xf numFmtId="0" fontId="15" fillId="12" borderId="1" xfId="0" applyFont="1" applyFill="1" applyBorder="1" applyAlignment="1" applyProtection="1">
      <alignment vertical="center"/>
      <protection locked="0"/>
    </xf>
    <xf numFmtId="0" fontId="15" fillId="12" borderId="1" xfId="0" applyNumberFormat="1" applyFont="1" applyFill="1" applyBorder="1" applyAlignment="1">
      <alignment horizontal="center" vertical="center"/>
    </xf>
    <xf numFmtId="166" fontId="15" fillId="12" borderId="1" xfId="0" applyNumberFormat="1" applyFont="1" applyFill="1" applyBorder="1" applyAlignment="1">
      <alignment horizontal="center" vertical="center"/>
    </xf>
    <xf numFmtId="0" fontId="5" fillId="0" borderId="1" xfId="0" applyFont="1" applyBorder="1" applyAlignment="1">
      <alignment horizontal="center" vertical="center"/>
    </xf>
    <xf numFmtId="0" fontId="2" fillId="0" borderId="1" xfId="0" applyFont="1" applyBorder="1" applyAlignment="1">
      <alignment vertical="center"/>
    </xf>
    <xf numFmtId="0" fontId="3" fillId="12" borderId="1" xfId="1" applyNumberFormat="1" applyFont="1" applyFill="1" applyBorder="1" applyAlignment="1">
      <alignment horizontal="center" vertical="center"/>
    </xf>
    <xf numFmtId="9" fontId="3" fillId="12" borderId="1" xfId="1" applyNumberFormat="1" applyFont="1" applyFill="1" applyBorder="1" applyAlignment="1">
      <alignment horizontal="center" vertical="center"/>
    </xf>
    <xf numFmtId="1" fontId="3" fillId="12" borderId="1" xfId="1" applyNumberFormat="1" applyFont="1" applyFill="1" applyBorder="1" applyAlignment="1">
      <alignment horizontal="center" vertical="center"/>
    </xf>
    <xf numFmtId="1" fontId="3" fillId="0" borderId="1" xfId="1" applyNumberFormat="1" applyFont="1" applyBorder="1" applyAlignment="1">
      <alignment horizontal="center" vertical="center"/>
    </xf>
    <xf numFmtId="166" fontId="3" fillId="12" borderId="1" xfId="1" applyNumberFormat="1" applyFont="1" applyFill="1" applyBorder="1" applyAlignment="1">
      <alignment horizontal="center" vertical="center"/>
    </xf>
    <xf numFmtId="166" fontId="3" fillId="0" borderId="1" xfId="1" applyNumberFormat="1" applyFont="1" applyBorder="1" applyAlignment="1">
      <alignment horizontal="center" vertical="center"/>
    </xf>
    <xf numFmtId="0" fontId="3" fillId="0" borderId="0" xfId="0" applyFont="1" applyAlignment="1">
      <alignment horizontal="right" vertical="center"/>
    </xf>
    <xf numFmtId="0" fontId="3" fillId="0" borderId="0" xfId="0" applyFont="1" applyFill="1" applyAlignment="1">
      <alignment horizontal="right" vertical="center"/>
    </xf>
    <xf numFmtId="0" fontId="14" fillId="12" borderId="1" xfId="0" applyFont="1" applyFill="1" applyBorder="1" applyAlignment="1">
      <alignment horizontal="center" vertical="center"/>
    </xf>
    <xf numFmtId="0" fontId="14" fillId="5" borderId="1" xfId="0" applyFont="1" applyFill="1" applyBorder="1" applyAlignment="1">
      <alignment horizontal="center" vertical="center"/>
    </xf>
    <xf numFmtId="0" fontId="15" fillId="0" borderId="1" xfId="1" applyNumberFormat="1" applyFont="1" applyBorder="1" applyAlignment="1">
      <alignment horizontal="center" vertical="center"/>
    </xf>
    <xf numFmtId="166" fontId="15" fillId="0" borderId="1" xfId="1" applyNumberFormat="1" applyFont="1" applyBorder="1" applyAlignment="1">
      <alignment horizontal="center" vertical="center"/>
    </xf>
    <xf numFmtId="0" fontId="15" fillId="12" borderId="1" xfId="1" applyNumberFormat="1" applyFont="1" applyFill="1" applyBorder="1" applyAlignment="1">
      <alignment horizontal="center" vertical="center"/>
    </xf>
    <xf numFmtId="0" fontId="13" fillId="14" borderId="1" xfId="0" applyFont="1" applyFill="1" applyBorder="1" applyAlignment="1">
      <alignment horizontal="justify" vertical="center"/>
    </xf>
    <xf numFmtId="0" fontId="0" fillId="6" borderId="0" xfId="0" applyFont="1" applyFill="1" applyAlignment="1"/>
    <xf numFmtId="0" fontId="15" fillId="12" borderId="1" xfId="0" applyFont="1" applyFill="1" applyBorder="1" applyAlignment="1" applyProtection="1">
      <alignment horizontal="center" vertical="center"/>
      <protection locked="0"/>
    </xf>
    <xf numFmtId="0" fontId="15" fillId="12" borderId="1" xfId="0" applyFont="1" applyFill="1" applyBorder="1" applyAlignment="1" applyProtection="1">
      <alignment horizontal="left" vertical="center"/>
      <protection locked="0"/>
    </xf>
    <xf numFmtId="0" fontId="0" fillId="9" borderId="0" xfId="0" applyFont="1" applyFill="1" applyAlignment="1">
      <alignment vertical="center"/>
    </xf>
    <xf numFmtId="0" fontId="4" fillId="9" borderId="0" xfId="0" applyFont="1" applyFill="1" applyAlignment="1">
      <alignment horizontal="center" vertical="center"/>
    </xf>
    <xf numFmtId="0" fontId="16" fillId="5" borderId="1" xfId="0" applyFont="1" applyFill="1" applyBorder="1" applyAlignment="1">
      <alignment vertical="center" wrapText="1"/>
    </xf>
    <xf numFmtId="0" fontId="16" fillId="5" borderId="1" xfId="0" applyFont="1" applyFill="1" applyBorder="1" applyAlignment="1">
      <alignment horizontal="center" vertical="center" wrapText="1"/>
    </xf>
    <xf numFmtId="0" fontId="16" fillId="12" borderId="1" xfId="0" applyFont="1" applyFill="1" applyBorder="1" applyAlignment="1">
      <alignment vertical="center" wrapText="1"/>
    </xf>
    <xf numFmtId="0" fontId="16" fillId="12" borderId="1" xfId="0" applyFont="1" applyFill="1" applyBorder="1" applyAlignment="1">
      <alignment horizontal="center" vertical="center" wrapText="1"/>
    </xf>
    <xf numFmtId="0" fontId="23" fillId="0" borderId="1" xfId="0" applyFont="1" applyFill="1" applyBorder="1" applyAlignment="1">
      <alignment vertical="center" wrapText="1"/>
    </xf>
    <xf numFmtId="3" fontId="16" fillId="12" borderId="1" xfId="0" applyNumberFormat="1" applyFont="1" applyFill="1" applyBorder="1" applyAlignment="1">
      <alignment horizontal="center" vertical="center"/>
    </xf>
    <xf numFmtId="3" fontId="23" fillId="0" borderId="1" xfId="0" applyNumberFormat="1" applyFont="1" applyFill="1" applyBorder="1" applyAlignment="1">
      <alignment horizontal="center" vertical="center"/>
    </xf>
    <xf numFmtId="3" fontId="16" fillId="0" borderId="1" xfId="0" applyNumberFormat="1" applyFont="1" applyFill="1" applyBorder="1" applyAlignment="1">
      <alignment horizontal="center" vertical="center"/>
    </xf>
    <xf numFmtId="166" fontId="16" fillId="0" borderId="1" xfId="1" applyNumberFormat="1" applyFont="1" applyFill="1" applyBorder="1" applyAlignment="1">
      <alignment horizontal="center" vertical="center"/>
    </xf>
    <xf numFmtId="166" fontId="16" fillId="12" borderId="1" xfId="1" applyNumberFormat="1" applyFont="1" applyFill="1" applyBorder="1" applyAlignment="1">
      <alignment horizontal="center" vertical="center"/>
    </xf>
    <xf numFmtId="0" fontId="32" fillId="13" borderId="0" xfId="0" applyFont="1" applyFill="1" applyBorder="1" applyAlignment="1" applyProtection="1">
      <alignment vertical="center"/>
      <protection locked="0"/>
    </xf>
    <xf numFmtId="0" fontId="26" fillId="13" borderId="0" xfId="0" applyFont="1" applyFill="1" applyBorder="1" applyAlignment="1">
      <alignment horizontal="left" vertical="center"/>
    </xf>
    <xf numFmtId="0" fontId="32" fillId="13" borderId="0" xfId="0" applyFont="1" applyFill="1" applyBorder="1" applyAlignment="1">
      <alignment horizontal="left" vertical="center"/>
    </xf>
    <xf numFmtId="166" fontId="14" fillId="0" borderId="0" xfId="1" applyNumberFormat="1" applyFont="1" applyAlignment="1">
      <alignment vertical="center"/>
    </xf>
    <xf numFmtId="3" fontId="14" fillId="0" borderId="0" xfId="0" applyNumberFormat="1" applyFont="1" applyFill="1" applyAlignment="1">
      <alignment vertical="center"/>
    </xf>
    <xf numFmtId="166" fontId="14" fillId="0" borderId="0" xfId="1" applyNumberFormat="1" applyFont="1" applyFill="1" applyAlignment="1">
      <alignment vertical="center"/>
    </xf>
    <xf numFmtId="0" fontId="24" fillId="16" borderId="0" xfId="0" applyFont="1" applyFill="1" applyAlignment="1">
      <alignment vertical="center"/>
    </xf>
    <xf numFmtId="0" fontId="24" fillId="16" borderId="0" xfId="0" applyFont="1" applyFill="1" applyAlignment="1">
      <alignment horizontal="center" vertical="center"/>
    </xf>
    <xf numFmtId="166" fontId="24" fillId="16" borderId="0" xfId="1" applyNumberFormat="1" applyFont="1" applyFill="1" applyAlignment="1">
      <alignment horizontal="center" vertical="center"/>
    </xf>
    <xf numFmtId="166" fontId="24" fillId="16" borderId="0" xfId="1" applyNumberFormat="1" applyFont="1" applyFill="1" applyAlignment="1">
      <alignment vertical="center"/>
    </xf>
    <xf numFmtId="0" fontId="23" fillId="5" borderId="1" xfId="0" applyFont="1" applyFill="1" applyBorder="1" applyAlignment="1">
      <alignment horizontal="justify" vertical="center" wrapText="1"/>
    </xf>
    <xf numFmtId="0" fontId="46" fillId="6" borderId="1" xfId="0" applyFont="1" applyFill="1" applyBorder="1" applyAlignment="1">
      <alignment horizontal="center" vertical="center"/>
    </xf>
    <xf numFmtId="0" fontId="47" fillId="17" borderId="9" xfId="0" applyFont="1" applyFill="1" applyBorder="1" applyAlignment="1">
      <alignment horizontal="right" vertical="center"/>
    </xf>
    <xf numFmtId="0" fontId="14" fillId="12" borderId="5" xfId="0" applyFont="1" applyFill="1" applyBorder="1" applyAlignment="1">
      <alignment horizontal="justify" vertical="center"/>
    </xf>
    <xf numFmtId="0" fontId="14" fillId="12" borderId="7" xfId="0" applyFont="1" applyFill="1" applyBorder="1" applyAlignment="1">
      <alignment horizontal="justify" vertical="center"/>
    </xf>
    <xf numFmtId="0" fontId="20" fillId="9" borderId="5" xfId="0" applyFont="1" applyFill="1" applyBorder="1" applyAlignment="1">
      <alignment horizontal="justify" vertical="top" wrapText="1"/>
    </xf>
    <xf numFmtId="0" fontId="20" fillId="9" borderId="6" xfId="0" applyFont="1" applyFill="1" applyBorder="1" applyAlignment="1">
      <alignment horizontal="justify" vertical="top" wrapText="1"/>
    </xf>
    <xf numFmtId="0" fontId="20" fillId="9" borderId="7" xfId="0" applyFont="1" applyFill="1" applyBorder="1" applyAlignment="1">
      <alignment horizontal="justify" vertical="top" wrapText="1"/>
    </xf>
    <xf numFmtId="0" fontId="14" fillId="5" borderId="8" xfId="0" applyFont="1" applyFill="1" applyBorder="1" applyAlignment="1">
      <alignment horizontal="justify" vertical="center" wrapText="1"/>
    </xf>
    <xf numFmtId="0" fontId="14" fillId="5" borderId="9" xfId="0" applyFont="1" applyFill="1" applyBorder="1" applyAlignment="1">
      <alignment horizontal="justify" vertical="center" wrapText="1"/>
    </xf>
    <xf numFmtId="0" fontId="14" fillId="9" borderId="8" xfId="0" applyFont="1" applyFill="1" applyBorder="1" applyAlignment="1">
      <alignment horizontal="justify" vertical="center" wrapText="1"/>
    </xf>
    <xf numFmtId="0" fontId="14" fillId="9" borderId="9" xfId="0" applyFont="1" applyFill="1" applyBorder="1" applyAlignment="1">
      <alignment horizontal="justify" vertical="center" wrapText="1"/>
    </xf>
    <xf numFmtId="0" fontId="23" fillId="9" borderId="8" xfId="0" applyFont="1" applyFill="1" applyBorder="1" applyAlignment="1">
      <alignment horizontal="justify" vertical="center" wrapText="1"/>
    </xf>
    <xf numFmtId="0" fontId="23" fillId="9" borderId="9" xfId="0" applyFont="1" applyFill="1" applyBorder="1" applyAlignment="1">
      <alignment horizontal="justify" vertical="center" wrapText="1"/>
    </xf>
    <xf numFmtId="0" fontId="14" fillId="5" borderId="8" xfId="0" applyFont="1" applyFill="1" applyBorder="1" applyAlignment="1">
      <alignment horizontal="justify" vertical="top" wrapText="1"/>
    </xf>
    <xf numFmtId="0" fontId="14" fillId="5" borderId="2" xfId="0" applyFont="1" applyFill="1" applyBorder="1" applyAlignment="1">
      <alignment horizontal="justify" vertical="top" wrapText="1"/>
    </xf>
    <xf numFmtId="0" fontId="14" fillId="5" borderId="9" xfId="0" applyFont="1" applyFill="1" applyBorder="1" applyAlignment="1">
      <alignment horizontal="justify" vertical="top" wrapText="1"/>
    </xf>
    <xf numFmtId="0" fontId="14" fillId="9" borderId="5" xfId="0" applyFont="1" applyFill="1" applyBorder="1" applyAlignment="1">
      <alignment horizontal="justify" vertical="top" wrapText="1"/>
    </xf>
    <xf numFmtId="0" fontId="14" fillId="9" borderId="6" xfId="0" applyFont="1" applyFill="1" applyBorder="1" applyAlignment="1">
      <alignment horizontal="justify" vertical="top" wrapText="1"/>
    </xf>
    <xf numFmtId="0" fontId="14" fillId="9" borderId="7" xfId="0" applyFont="1" applyFill="1" applyBorder="1" applyAlignment="1">
      <alignment horizontal="justify" vertical="top" wrapText="1"/>
    </xf>
    <xf numFmtId="0" fontId="14" fillId="9" borderId="8" xfId="0" applyFont="1" applyFill="1" applyBorder="1" applyAlignment="1">
      <alignment horizontal="justify" vertical="top" wrapText="1"/>
    </xf>
    <xf numFmtId="0" fontId="14" fillId="9" borderId="2" xfId="0" applyFont="1" applyFill="1" applyBorder="1" applyAlignment="1">
      <alignment horizontal="justify" vertical="top" wrapText="1"/>
    </xf>
    <xf numFmtId="0" fontId="14" fillId="9" borderId="9" xfId="0" applyFont="1" applyFill="1" applyBorder="1" applyAlignment="1">
      <alignment horizontal="justify" vertical="top" wrapText="1"/>
    </xf>
    <xf numFmtId="0" fontId="13" fillId="14" borderId="1" xfId="0" applyFont="1" applyFill="1" applyBorder="1" applyAlignment="1">
      <alignment horizontal="center" vertical="center"/>
    </xf>
    <xf numFmtId="0" fontId="14" fillId="9" borderId="8" xfId="0" applyFont="1" applyFill="1" applyBorder="1" applyAlignment="1">
      <alignment horizontal="justify" vertical="center"/>
    </xf>
    <xf numFmtId="0" fontId="14" fillId="9" borderId="2" xfId="0" applyFont="1" applyFill="1" applyBorder="1" applyAlignment="1">
      <alignment horizontal="justify" vertical="center"/>
    </xf>
    <xf numFmtId="0" fontId="14" fillId="9" borderId="9" xfId="0" applyFont="1" applyFill="1" applyBorder="1" applyAlignment="1">
      <alignment horizontal="justify" vertical="center"/>
    </xf>
    <xf numFmtId="0" fontId="14" fillId="5" borderId="2" xfId="0" applyFont="1" applyFill="1" applyBorder="1" applyAlignment="1">
      <alignment horizontal="justify" vertical="center" wrapText="1"/>
    </xf>
    <xf numFmtId="0" fontId="14" fillId="9" borderId="2" xfId="0" applyFont="1" applyFill="1" applyBorder="1" applyAlignment="1">
      <alignment horizontal="justify" vertical="center" wrapText="1"/>
    </xf>
    <xf numFmtId="0" fontId="14" fillId="5" borderId="8" xfId="0" applyFont="1" applyFill="1" applyBorder="1" applyAlignment="1">
      <alignment horizontal="justify" vertical="center"/>
    </xf>
    <xf numFmtId="0" fontId="14" fillId="5" borderId="2" xfId="0" applyFont="1" applyFill="1" applyBorder="1" applyAlignment="1">
      <alignment horizontal="justify" vertical="center"/>
    </xf>
    <xf numFmtId="0" fontId="14" fillId="5" borderId="9" xfId="0" applyFont="1" applyFill="1" applyBorder="1" applyAlignment="1">
      <alignment horizontal="justify" vertical="center"/>
    </xf>
    <xf numFmtId="0" fontId="13" fillId="6" borderId="1" xfId="0" applyFont="1" applyFill="1" applyBorder="1" applyAlignment="1">
      <alignment horizontal="center" vertical="center"/>
    </xf>
    <xf numFmtId="0" fontId="45" fillId="6" borderId="8" xfId="0" applyFont="1" applyFill="1" applyBorder="1" applyAlignment="1">
      <alignment horizontal="justify" vertical="center"/>
    </xf>
    <xf numFmtId="0" fontId="45" fillId="6" borderId="2" xfId="0" applyFont="1" applyFill="1" applyBorder="1" applyAlignment="1">
      <alignment horizontal="justify" vertical="center"/>
    </xf>
    <xf numFmtId="0" fontId="45" fillId="6" borderId="9" xfId="0" applyFont="1" applyFill="1" applyBorder="1" applyAlignment="1">
      <alignment horizontal="justify" vertical="center"/>
    </xf>
    <xf numFmtId="0" fontId="47" fillId="17" borderId="1" xfId="0" applyFont="1" applyFill="1" applyBorder="1" applyAlignment="1">
      <alignment horizontal="right" vertical="center"/>
    </xf>
    <xf numFmtId="0" fontId="14" fillId="12" borderId="6" xfId="0" applyFont="1" applyFill="1" applyBorder="1" applyAlignment="1">
      <alignment horizontal="justify" vertical="center" wrapText="1"/>
    </xf>
    <xf numFmtId="0" fontId="20" fillId="0" borderId="0" xfId="0" applyFont="1" applyBorder="1" applyAlignment="1">
      <alignment vertical="center"/>
    </xf>
    <xf numFmtId="0" fontId="14" fillId="12" borderId="10" xfId="0" applyFont="1" applyFill="1" applyBorder="1" applyAlignment="1">
      <alignment horizontal="justify" vertical="center" wrapText="1"/>
    </xf>
    <xf numFmtId="0" fontId="0" fillId="0" borderId="11" xfId="0" applyBorder="1"/>
    <xf numFmtId="0" fontId="14" fillId="12" borderId="12" xfId="0" applyFont="1" applyFill="1" applyBorder="1" applyAlignment="1">
      <alignment horizontal="justify" vertical="center" wrapText="1"/>
    </xf>
  </cellXfs>
  <cellStyles count="6">
    <cellStyle name="Hiperlink" xfId="4" builtinId="8"/>
    <cellStyle name="Hiperlink 2" xfId="5"/>
    <cellStyle name="Normal" xfId="0" builtinId="0"/>
    <cellStyle name="Normal 2" xfId="2"/>
    <cellStyle name="Normal 3" xfId="3"/>
    <cellStyle name="Porcentagem" xfId="1" builtinId="5"/>
  </cellStyles>
  <dxfs count="9">
    <dxf>
      <border>
        <left style="thin">
          <color theme="1"/>
        </left>
      </border>
    </dxf>
    <dxf>
      <border>
        <left style="thin">
          <color theme="1"/>
        </left>
      </border>
    </dxf>
    <dxf>
      <border>
        <top style="thin">
          <color theme="1"/>
        </top>
      </border>
    </dxf>
    <dxf>
      <border>
        <top style="thin">
          <color theme="1"/>
        </top>
      </border>
    </dxf>
    <dxf>
      <font>
        <b/>
        <color theme="1"/>
      </font>
    </dxf>
    <dxf>
      <font>
        <b/>
        <color theme="1"/>
      </font>
    </dxf>
    <dxf>
      <font>
        <b/>
        <color theme="1"/>
      </font>
      <border>
        <top style="double">
          <color theme="1"/>
        </top>
      </border>
    </dxf>
    <dxf>
      <font>
        <b/>
        <color theme="0"/>
      </font>
      <fill>
        <patternFill patternType="solid">
          <fgColor theme="1"/>
          <bgColor theme="9" tint="-0.499984740745262"/>
        </patternFill>
      </fill>
    </dxf>
    <dxf>
      <font>
        <color theme="1"/>
      </font>
      <border>
        <left style="thin">
          <color theme="1"/>
        </left>
        <right style="thin">
          <color theme="1"/>
        </right>
        <top style="thin">
          <color theme="1"/>
        </top>
        <bottom style="thin">
          <color theme="1"/>
        </bottom>
      </border>
    </dxf>
  </dxfs>
  <tableStyles count="1" defaultTableStyle="TableStyleMedium2" defaultPivotStyle="PivotStyleLight16">
    <tableStyle name="TableStyleLight8 3" pivot="0" count="9">
      <tableStyleElement type="wholeTable" dxfId="8"/>
      <tableStyleElement type="headerRow" dxfId="7"/>
      <tableStyleElement type="totalRow" dxfId="6"/>
      <tableStyleElement type="firstColumn" dxfId="5"/>
      <tableStyleElement type="lastColumn" dxfId="4"/>
      <tableStyleElement type="firstRowStripe" dxfId="3"/>
      <tableStyleElement type="secondRowStripe" dxfId="2"/>
      <tableStyleElement type="firstColumnStripe" dxfId="1"/>
      <tableStyleElement type="secondColumnStripe" dxfId="0"/>
    </tableStyle>
  </tableStyles>
  <colors>
    <mruColors>
      <color rgb="FFA50021"/>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3" Type="http://schemas.openxmlformats.org/officeDocument/2006/relationships/themeOverride" Target="../theme/themeOverride6.xml"/><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3" Type="http://schemas.openxmlformats.org/officeDocument/2006/relationships/themeOverride" Target="../theme/themeOverride7.xml"/><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3" Type="http://schemas.openxmlformats.org/officeDocument/2006/relationships/themeOverride" Target="../theme/themeOverride8.xml"/><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3" Type="http://schemas.openxmlformats.org/officeDocument/2006/relationships/themeOverride" Target="../theme/themeOverride9.xml"/><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3" Type="http://schemas.openxmlformats.org/officeDocument/2006/relationships/themeOverride" Target="../theme/themeOverride10.xml"/><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3" Type="http://schemas.openxmlformats.org/officeDocument/2006/relationships/themeOverride" Target="../theme/themeOverride11.xml"/><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3" Type="http://schemas.openxmlformats.org/officeDocument/2006/relationships/themeOverride" Target="../theme/themeOverride12.xml"/><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3" Type="http://schemas.openxmlformats.org/officeDocument/2006/relationships/themeOverride" Target="../theme/themeOverride13.xml"/><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3" Type="http://schemas.openxmlformats.org/officeDocument/2006/relationships/themeOverride" Target="../theme/themeOverride14.xml"/><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3" Type="http://schemas.openxmlformats.org/officeDocument/2006/relationships/themeOverride" Target="../theme/themeOverride15.xml"/><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3" Type="http://schemas.openxmlformats.org/officeDocument/2006/relationships/themeOverride" Target="../theme/themeOverride16.xml"/><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3" Type="http://schemas.openxmlformats.org/officeDocument/2006/relationships/themeOverride" Target="../theme/themeOverride17.xml"/><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3" Type="http://schemas.openxmlformats.org/officeDocument/2006/relationships/themeOverride" Target="../theme/themeOverride18.xml"/><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3" Type="http://schemas.openxmlformats.org/officeDocument/2006/relationships/themeOverride" Target="../theme/themeOverride19.xml"/><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3" Type="http://schemas.openxmlformats.org/officeDocument/2006/relationships/themeOverride" Target="../theme/themeOverride20.xml"/><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3" Type="http://schemas.openxmlformats.org/officeDocument/2006/relationships/themeOverride" Target="../theme/themeOverride21.xml"/><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3" Type="http://schemas.openxmlformats.org/officeDocument/2006/relationships/themeOverride" Target="../theme/themeOverride22.xml"/><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3" Type="http://schemas.openxmlformats.org/officeDocument/2006/relationships/themeOverride" Target="../theme/themeOverride23.xml"/><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3" Type="http://schemas.openxmlformats.org/officeDocument/2006/relationships/themeOverride" Target="../theme/themeOverride24.xml"/><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3" Type="http://schemas.openxmlformats.org/officeDocument/2006/relationships/themeOverride" Target="../theme/themeOverride25.xml"/><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3" Type="http://schemas.openxmlformats.org/officeDocument/2006/relationships/themeOverride" Target="../theme/themeOverride26.xml"/><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3" Type="http://schemas.openxmlformats.org/officeDocument/2006/relationships/themeOverride" Target="../theme/themeOverride27.xml"/><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3" Type="http://schemas.openxmlformats.org/officeDocument/2006/relationships/themeOverride" Target="../theme/themeOverride28.xml"/><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3" Type="http://schemas.openxmlformats.org/officeDocument/2006/relationships/themeOverride" Target="../theme/themeOverride29.xml"/><Relationship Id="rId2" Type="http://schemas.microsoft.com/office/2011/relationships/chartColorStyle" Target="colors43.xml"/><Relationship Id="rId1" Type="http://schemas.microsoft.com/office/2011/relationships/chartStyle" Target="style43.xml"/></Relationships>
</file>

<file path=xl/charts/_rels/chart44.xml.rels><?xml version="1.0" encoding="UTF-8" standalone="yes"?>
<Relationships xmlns="http://schemas.openxmlformats.org/package/2006/relationships"><Relationship Id="rId3" Type="http://schemas.openxmlformats.org/officeDocument/2006/relationships/themeOverride" Target="../theme/themeOverride30.xml"/><Relationship Id="rId2" Type="http://schemas.microsoft.com/office/2011/relationships/chartColorStyle" Target="colors44.xml"/><Relationship Id="rId1" Type="http://schemas.microsoft.com/office/2011/relationships/chartStyle" Target="style44.xml"/></Relationships>
</file>

<file path=xl/charts/_rels/chart45.xml.rels><?xml version="1.0" encoding="UTF-8" standalone="yes"?>
<Relationships xmlns="http://schemas.openxmlformats.org/package/2006/relationships"><Relationship Id="rId3" Type="http://schemas.openxmlformats.org/officeDocument/2006/relationships/themeOverride" Target="../theme/themeOverride31.xml"/><Relationship Id="rId2" Type="http://schemas.microsoft.com/office/2011/relationships/chartColorStyle" Target="colors45.xml"/><Relationship Id="rId1" Type="http://schemas.microsoft.com/office/2011/relationships/chartStyle" Target="style45.xml"/></Relationships>
</file>

<file path=xl/charts/_rels/chart46.xml.rels><?xml version="1.0" encoding="UTF-8" standalone="yes"?>
<Relationships xmlns="http://schemas.openxmlformats.org/package/2006/relationships"><Relationship Id="rId3" Type="http://schemas.openxmlformats.org/officeDocument/2006/relationships/themeOverride" Target="../theme/themeOverride32.xml"/><Relationship Id="rId2" Type="http://schemas.microsoft.com/office/2011/relationships/chartColorStyle" Target="colors46.xml"/><Relationship Id="rId1" Type="http://schemas.microsoft.com/office/2011/relationships/chartStyle" Target="style46.xml"/></Relationships>
</file>

<file path=xl/charts/_rels/chart47.xml.rels><?xml version="1.0" encoding="UTF-8" standalone="yes"?>
<Relationships xmlns="http://schemas.openxmlformats.org/package/2006/relationships"><Relationship Id="rId3" Type="http://schemas.openxmlformats.org/officeDocument/2006/relationships/themeOverride" Target="../theme/themeOverride33.xml"/><Relationship Id="rId2" Type="http://schemas.microsoft.com/office/2011/relationships/chartColorStyle" Target="colors47.xml"/><Relationship Id="rId1" Type="http://schemas.microsoft.com/office/2011/relationships/chartStyle" Target="style47.xml"/></Relationships>
</file>

<file path=xl/charts/_rels/chart48.xml.rels><?xml version="1.0" encoding="UTF-8" standalone="yes"?>
<Relationships xmlns="http://schemas.openxmlformats.org/package/2006/relationships"><Relationship Id="rId3" Type="http://schemas.openxmlformats.org/officeDocument/2006/relationships/themeOverride" Target="../theme/themeOverride34.xml"/><Relationship Id="rId2" Type="http://schemas.microsoft.com/office/2011/relationships/chartColorStyle" Target="colors48.xml"/><Relationship Id="rId1" Type="http://schemas.microsoft.com/office/2011/relationships/chartStyle" Target="style48.xml"/></Relationships>
</file>

<file path=xl/charts/_rels/chart49.xml.rels><?xml version="1.0" encoding="UTF-8" standalone="yes"?>
<Relationships xmlns="http://schemas.openxmlformats.org/package/2006/relationships"><Relationship Id="rId3" Type="http://schemas.openxmlformats.org/officeDocument/2006/relationships/themeOverride" Target="../theme/themeOverride35.xml"/><Relationship Id="rId2" Type="http://schemas.microsoft.com/office/2011/relationships/chartColorStyle" Target="colors49.xml"/><Relationship Id="rId1" Type="http://schemas.microsoft.com/office/2011/relationships/chartStyle" Target="style49.xml"/></Relationships>
</file>

<file path=xl/charts/_rels/chart5.xml.rels><?xml version="1.0" encoding="UTF-8" standalone="yes"?>
<Relationships xmlns="http://schemas.openxmlformats.org/package/2006/relationships"><Relationship Id="rId3" Type="http://schemas.openxmlformats.org/officeDocument/2006/relationships/themeOverride" Target="../theme/themeOverride4.xml"/><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3" Type="http://schemas.openxmlformats.org/officeDocument/2006/relationships/themeOverride" Target="../theme/themeOverride36.xml"/><Relationship Id="rId2" Type="http://schemas.microsoft.com/office/2011/relationships/chartColorStyle" Target="colors50.xml"/><Relationship Id="rId1" Type="http://schemas.microsoft.com/office/2011/relationships/chartStyle" Target="style50.xml"/></Relationships>
</file>

<file path=xl/charts/_rels/chart51.xml.rels><?xml version="1.0" encoding="UTF-8" standalone="yes"?>
<Relationships xmlns="http://schemas.openxmlformats.org/package/2006/relationships"><Relationship Id="rId3" Type="http://schemas.openxmlformats.org/officeDocument/2006/relationships/themeOverride" Target="../theme/themeOverride37.xml"/><Relationship Id="rId2" Type="http://schemas.microsoft.com/office/2011/relationships/chartColorStyle" Target="colors51.xml"/><Relationship Id="rId1" Type="http://schemas.microsoft.com/office/2011/relationships/chartStyle" Target="style51.xml"/></Relationships>
</file>

<file path=xl/charts/_rels/chart52.xml.rels><?xml version="1.0" encoding="UTF-8" standalone="yes"?>
<Relationships xmlns="http://schemas.openxmlformats.org/package/2006/relationships"><Relationship Id="rId3" Type="http://schemas.openxmlformats.org/officeDocument/2006/relationships/themeOverride" Target="../theme/themeOverride38.xml"/><Relationship Id="rId2" Type="http://schemas.microsoft.com/office/2011/relationships/chartColorStyle" Target="colors52.xml"/><Relationship Id="rId1" Type="http://schemas.microsoft.com/office/2011/relationships/chartStyle" Target="style52.xml"/></Relationships>
</file>

<file path=xl/charts/_rels/chart53.xml.rels><?xml version="1.0" encoding="UTF-8" standalone="yes"?>
<Relationships xmlns="http://schemas.openxmlformats.org/package/2006/relationships"><Relationship Id="rId3" Type="http://schemas.openxmlformats.org/officeDocument/2006/relationships/themeOverride" Target="../theme/themeOverride39.xml"/><Relationship Id="rId2" Type="http://schemas.microsoft.com/office/2011/relationships/chartColorStyle" Target="colors53.xml"/><Relationship Id="rId1" Type="http://schemas.microsoft.com/office/2011/relationships/chartStyle" Target="style53.xml"/></Relationships>
</file>

<file path=xl/charts/_rels/chart54.xml.rels><?xml version="1.0" encoding="UTF-8" standalone="yes"?>
<Relationships xmlns="http://schemas.openxmlformats.org/package/2006/relationships"><Relationship Id="rId3" Type="http://schemas.openxmlformats.org/officeDocument/2006/relationships/themeOverride" Target="../theme/themeOverride40.xml"/><Relationship Id="rId2" Type="http://schemas.microsoft.com/office/2011/relationships/chartColorStyle" Target="colors54.xml"/><Relationship Id="rId1" Type="http://schemas.microsoft.com/office/2011/relationships/chartStyle" Target="style54.xml"/></Relationships>
</file>

<file path=xl/charts/_rels/chart55.xml.rels><?xml version="1.0" encoding="UTF-8" standalone="yes"?>
<Relationships xmlns="http://schemas.openxmlformats.org/package/2006/relationships"><Relationship Id="rId3" Type="http://schemas.openxmlformats.org/officeDocument/2006/relationships/themeOverride" Target="../theme/themeOverride41.xml"/><Relationship Id="rId2" Type="http://schemas.microsoft.com/office/2011/relationships/chartColorStyle" Target="colors55.xml"/><Relationship Id="rId1" Type="http://schemas.microsoft.com/office/2011/relationships/chartStyle" Target="style55.xml"/></Relationships>
</file>

<file path=xl/charts/_rels/chart56.xml.rels><?xml version="1.0" encoding="UTF-8" standalone="yes"?>
<Relationships xmlns="http://schemas.openxmlformats.org/package/2006/relationships"><Relationship Id="rId3" Type="http://schemas.openxmlformats.org/officeDocument/2006/relationships/themeOverride" Target="../theme/themeOverride42.xml"/><Relationship Id="rId2" Type="http://schemas.microsoft.com/office/2011/relationships/chartColorStyle" Target="colors56.xml"/><Relationship Id="rId1" Type="http://schemas.microsoft.com/office/2011/relationships/chartStyle" Target="style56.xml"/></Relationships>
</file>

<file path=xl/charts/_rels/chart57.xml.rels><?xml version="1.0" encoding="UTF-8" standalone="yes"?>
<Relationships xmlns="http://schemas.openxmlformats.org/package/2006/relationships"><Relationship Id="rId3" Type="http://schemas.openxmlformats.org/officeDocument/2006/relationships/themeOverride" Target="../theme/themeOverride43.xml"/><Relationship Id="rId2" Type="http://schemas.microsoft.com/office/2011/relationships/chartColorStyle" Target="colors57.xml"/><Relationship Id="rId1" Type="http://schemas.microsoft.com/office/2011/relationships/chartStyle" Target="style57.xml"/></Relationships>
</file>

<file path=xl/charts/_rels/chart58.xml.rels><?xml version="1.0" encoding="UTF-8" standalone="yes"?>
<Relationships xmlns="http://schemas.openxmlformats.org/package/2006/relationships"><Relationship Id="rId3" Type="http://schemas.openxmlformats.org/officeDocument/2006/relationships/themeOverride" Target="../theme/themeOverride44.xml"/><Relationship Id="rId2" Type="http://schemas.microsoft.com/office/2011/relationships/chartColorStyle" Target="colors58.xml"/><Relationship Id="rId1" Type="http://schemas.microsoft.com/office/2011/relationships/chartStyle" Target="style58.xml"/></Relationships>
</file>

<file path=xl/charts/_rels/chart59.xml.rels><?xml version="1.0" encoding="UTF-8" standalone="yes"?>
<Relationships xmlns="http://schemas.openxmlformats.org/package/2006/relationships"><Relationship Id="rId3" Type="http://schemas.openxmlformats.org/officeDocument/2006/relationships/themeOverride" Target="../theme/themeOverride45.xml"/><Relationship Id="rId2" Type="http://schemas.microsoft.com/office/2011/relationships/chartColorStyle" Target="colors59.xml"/><Relationship Id="rId1" Type="http://schemas.microsoft.com/office/2011/relationships/chartStyle" Target="style59.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60.xml.rels><?xml version="1.0" encoding="UTF-8" standalone="yes"?>
<Relationships xmlns="http://schemas.openxmlformats.org/package/2006/relationships"><Relationship Id="rId3" Type="http://schemas.openxmlformats.org/officeDocument/2006/relationships/themeOverride" Target="../theme/themeOverride46.xml"/><Relationship Id="rId2" Type="http://schemas.microsoft.com/office/2011/relationships/chartColorStyle" Target="colors60.xml"/><Relationship Id="rId1" Type="http://schemas.microsoft.com/office/2011/relationships/chartStyle" Target="style60.xml"/></Relationships>
</file>

<file path=xl/charts/_rels/chart61.xml.rels><?xml version="1.0" encoding="UTF-8" standalone="yes"?>
<Relationships xmlns="http://schemas.openxmlformats.org/package/2006/relationships"><Relationship Id="rId3" Type="http://schemas.openxmlformats.org/officeDocument/2006/relationships/themeOverride" Target="../theme/themeOverride47.xml"/><Relationship Id="rId2" Type="http://schemas.microsoft.com/office/2011/relationships/chartColorStyle" Target="colors61.xml"/><Relationship Id="rId1" Type="http://schemas.microsoft.com/office/2011/relationships/chartStyle" Target="style61.xml"/></Relationships>
</file>

<file path=xl/charts/_rels/chart62.xml.rels><?xml version="1.0" encoding="UTF-8" standalone="yes"?>
<Relationships xmlns="http://schemas.openxmlformats.org/package/2006/relationships"><Relationship Id="rId3" Type="http://schemas.openxmlformats.org/officeDocument/2006/relationships/themeOverride" Target="../theme/themeOverride48.xml"/><Relationship Id="rId2" Type="http://schemas.microsoft.com/office/2011/relationships/chartColorStyle" Target="colors62.xml"/><Relationship Id="rId1" Type="http://schemas.microsoft.com/office/2011/relationships/chartStyle" Target="style62.xml"/></Relationships>
</file>

<file path=xl/charts/_rels/chart63.xml.rels><?xml version="1.0" encoding="UTF-8" standalone="yes"?>
<Relationships xmlns="http://schemas.openxmlformats.org/package/2006/relationships"><Relationship Id="rId3" Type="http://schemas.openxmlformats.org/officeDocument/2006/relationships/themeOverride" Target="../theme/themeOverride49.xml"/><Relationship Id="rId2" Type="http://schemas.microsoft.com/office/2011/relationships/chartColorStyle" Target="colors63.xml"/><Relationship Id="rId1" Type="http://schemas.microsoft.com/office/2011/relationships/chartStyle" Target="style63.xml"/></Relationships>
</file>

<file path=xl/charts/_rels/chart64.xml.rels><?xml version="1.0" encoding="UTF-8" standalone="yes"?>
<Relationships xmlns="http://schemas.openxmlformats.org/package/2006/relationships"><Relationship Id="rId3" Type="http://schemas.openxmlformats.org/officeDocument/2006/relationships/themeOverride" Target="../theme/themeOverride50.xml"/><Relationship Id="rId2" Type="http://schemas.microsoft.com/office/2011/relationships/chartColorStyle" Target="colors64.xml"/><Relationship Id="rId1" Type="http://schemas.microsoft.com/office/2011/relationships/chartStyle" Target="style64.xml"/></Relationships>
</file>

<file path=xl/charts/_rels/chart65.xml.rels><?xml version="1.0" encoding="UTF-8" standalone="yes"?>
<Relationships xmlns="http://schemas.openxmlformats.org/package/2006/relationships"><Relationship Id="rId3" Type="http://schemas.openxmlformats.org/officeDocument/2006/relationships/themeOverride" Target="../theme/themeOverride51.xml"/><Relationship Id="rId2" Type="http://schemas.microsoft.com/office/2011/relationships/chartColorStyle" Target="colors65.xml"/><Relationship Id="rId1" Type="http://schemas.microsoft.com/office/2011/relationships/chartStyle" Target="style65.xml"/></Relationships>
</file>

<file path=xl/charts/_rels/chart66.xml.rels><?xml version="1.0" encoding="UTF-8" standalone="yes"?>
<Relationships xmlns="http://schemas.openxmlformats.org/package/2006/relationships"><Relationship Id="rId3" Type="http://schemas.openxmlformats.org/officeDocument/2006/relationships/themeOverride" Target="../theme/themeOverride52.xml"/><Relationship Id="rId2" Type="http://schemas.microsoft.com/office/2011/relationships/chartColorStyle" Target="colors66.xml"/><Relationship Id="rId1" Type="http://schemas.microsoft.com/office/2011/relationships/chartStyle" Target="style66.xml"/></Relationships>
</file>

<file path=xl/charts/_rels/chart67.xml.rels><?xml version="1.0" encoding="UTF-8" standalone="yes"?>
<Relationships xmlns="http://schemas.openxmlformats.org/package/2006/relationships"><Relationship Id="rId2" Type="http://schemas.microsoft.com/office/2011/relationships/chartColorStyle" Target="colors67.xml"/><Relationship Id="rId1" Type="http://schemas.microsoft.com/office/2011/relationships/chartStyle" Target="style67.xml"/></Relationships>
</file>

<file path=xl/charts/_rels/chart68.xml.rels><?xml version="1.0" encoding="UTF-8" standalone="yes"?>
<Relationships xmlns="http://schemas.openxmlformats.org/package/2006/relationships"><Relationship Id="rId3" Type="http://schemas.openxmlformats.org/officeDocument/2006/relationships/themeOverride" Target="../theme/themeOverride53.xml"/><Relationship Id="rId2" Type="http://schemas.microsoft.com/office/2011/relationships/chartColorStyle" Target="colors68.xml"/><Relationship Id="rId1" Type="http://schemas.microsoft.com/office/2011/relationships/chartStyle" Target="style68.xml"/></Relationships>
</file>

<file path=xl/charts/_rels/chart69.xml.rels><?xml version="1.0" encoding="UTF-8" standalone="yes"?>
<Relationships xmlns="http://schemas.openxmlformats.org/package/2006/relationships"><Relationship Id="rId3" Type="http://schemas.openxmlformats.org/officeDocument/2006/relationships/themeOverride" Target="../theme/themeOverride54.xml"/><Relationship Id="rId2" Type="http://schemas.microsoft.com/office/2011/relationships/chartColorStyle" Target="colors69.xml"/><Relationship Id="rId1" Type="http://schemas.microsoft.com/office/2011/relationships/chartStyle" Target="style69.xml"/></Relationships>
</file>

<file path=xl/charts/_rels/chart7.xml.rels><?xml version="1.0" encoding="UTF-8" standalone="yes"?>
<Relationships xmlns="http://schemas.openxmlformats.org/package/2006/relationships"><Relationship Id="rId3" Type="http://schemas.openxmlformats.org/officeDocument/2006/relationships/themeOverride" Target="../theme/themeOverride5.xml"/><Relationship Id="rId2" Type="http://schemas.microsoft.com/office/2011/relationships/chartColorStyle" Target="colors7.xml"/><Relationship Id="rId1" Type="http://schemas.microsoft.com/office/2011/relationships/chartStyle" Target="style7.xml"/></Relationships>
</file>

<file path=xl/charts/_rels/chart70.xml.rels><?xml version="1.0" encoding="UTF-8" standalone="yes"?>
<Relationships xmlns="http://schemas.openxmlformats.org/package/2006/relationships"><Relationship Id="rId3" Type="http://schemas.openxmlformats.org/officeDocument/2006/relationships/themeOverride" Target="../theme/themeOverride55.xml"/><Relationship Id="rId2" Type="http://schemas.microsoft.com/office/2011/relationships/chartColorStyle" Target="colors70.xml"/><Relationship Id="rId1" Type="http://schemas.microsoft.com/office/2011/relationships/chartStyle" Target="style70.xml"/></Relationships>
</file>

<file path=xl/charts/_rels/chart71.xml.rels><?xml version="1.0" encoding="UTF-8" standalone="yes"?>
<Relationships xmlns="http://schemas.openxmlformats.org/package/2006/relationships"><Relationship Id="rId3" Type="http://schemas.openxmlformats.org/officeDocument/2006/relationships/themeOverride" Target="../theme/themeOverride56.xml"/><Relationship Id="rId2" Type="http://schemas.microsoft.com/office/2011/relationships/chartColorStyle" Target="colors71.xml"/><Relationship Id="rId1" Type="http://schemas.microsoft.com/office/2011/relationships/chartStyle" Target="style71.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200" b="0" i="0" u="none" strike="noStrike" kern="1200" cap="none" spc="20" baseline="0">
                <a:solidFill>
                  <a:schemeClr val="bg2">
                    <a:lumMod val="25000"/>
                  </a:schemeClr>
                </a:solidFill>
                <a:latin typeface="Arial Narrow" panose="020B0606020202030204" pitchFamily="34" charset="0"/>
                <a:ea typeface="+mn-ea"/>
                <a:cs typeface="+mn-cs"/>
              </a:defRPr>
            </a:pPr>
            <a:r>
              <a:rPr lang="pt-BR" sz="1200"/>
              <a:t>Egressos participantes - por campus</a:t>
            </a:r>
          </a:p>
        </c:rich>
      </c:tx>
      <c:layout/>
      <c:overlay val="0"/>
      <c:spPr>
        <a:noFill/>
        <a:ln>
          <a:noFill/>
        </a:ln>
        <a:effectLst/>
      </c:spPr>
      <c:txPr>
        <a:bodyPr rot="0" spcFirstLastPara="1" vertOverflow="ellipsis" vert="horz" wrap="square" anchor="ctr" anchorCtr="1"/>
        <a:lstStyle/>
        <a:p>
          <a:pPr>
            <a:defRPr sz="1200" b="0" i="0" u="none" strike="noStrike" kern="1200" cap="none" spc="20" baseline="0">
              <a:solidFill>
                <a:schemeClr val="bg2">
                  <a:lumMod val="25000"/>
                </a:schemeClr>
              </a:solidFill>
              <a:latin typeface="Arial Narrow" panose="020B0606020202030204" pitchFamily="34" charset="0"/>
              <a:ea typeface="+mn-ea"/>
              <a:cs typeface="+mn-cs"/>
            </a:defRPr>
          </a:pPr>
          <a:endParaRPr lang="pt-BR"/>
        </a:p>
      </c:txPr>
    </c:title>
    <c:autoTitleDeleted val="0"/>
    <c:plotArea>
      <c:layout/>
      <c:barChart>
        <c:barDir val="col"/>
        <c:grouping val="clustered"/>
        <c:varyColors val="0"/>
        <c:ser>
          <c:idx val="0"/>
          <c:order val="0"/>
          <c:tx>
            <c:strRef>
              <c:f>CaractAmostra!$F$26</c:f>
              <c:strCache>
                <c:ptCount val="1"/>
                <c:pt idx="0">
                  <c:v>Egressos Participantes</c:v>
                </c:pt>
              </c:strCache>
            </c:strRef>
          </c:tx>
          <c:spPr>
            <a:gradFill rotWithShape="1">
              <a:gsLst>
                <a:gs pos="0">
                  <a:schemeClr val="accent6">
                    <a:tint val="77000"/>
                    <a:lumMod val="110000"/>
                    <a:satMod val="105000"/>
                    <a:tint val="67000"/>
                  </a:schemeClr>
                </a:gs>
                <a:gs pos="50000">
                  <a:schemeClr val="accent6">
                    <a:tint val="77000"/>
                    <a:lumMod val="105000"/>
                    <a:satMod val="103000"/>
                    <a:tint val="73000"/>
                  </a:schemeClr>
                </a:gs>
                <a:gs pos="100000">
                  <a:schemeClr val="accent6">
                    <a:tint val="77000"/>
                    <a:lumMod val="105000"/>
                    <a:satMod val="109000"/>
                    <a:tint val="81000"/>
                  </a:schemeClr>
                </a:gs>
              </a:gsLst>
              <a:lin ang="5400000" scaled="0"/>
            </a:gradFill>
            <a:ln w="9525" cap="flat" cmpd="sng" algn="ctr">
              <a:solidFill>
                <a:schemeClr val="accent6">
                  <a:tint val="77000"/>
                  <a:shade val="95000"/>
                </a:schemeClr>
              </a:solidFill>
              <a:round/>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bg2">
                        <a:lumMod val="25000"/>
                      </a:schemeClr>
                    </a:solidFill>
                    <a:latin typeface="Arial Narrow" panose="020B0606020202030204" pitchFamily="34" charset="0"/>
                    <a:ea typeface="+mn-ea"/>
                    <a:cs typeface="+mn-cs"/>
                  </a:defRPr>
                </a:pPr>
                <a:endParaRPr lang="pt-BR"/>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strRef>
              <c:f>CaractAmostra!$E$27:$E$31</c:f>
              <c:strCache>
                <c:ptCount val="5"/>
                <c:pt idx="0">
                  <c:v>Aracaju</c:v>
                </c:pt>
                <c:pt idx="1">
                  <c:v>Itabaiana</c:v>
                </c:pt>
                <c:pt idx="2">
                  <c:v>Lagarto</c:v>
                </c:pt>
                <c:pt idx="3">
                  <c:v>São Cristóvão</c:v>
                </c:pt>
                <c:pt idx="4">
                  <c:v>Nossa Senhora da Glória</c:v>
                </c:pt>
              </c:strCache>
            </c:strRef>
          </c:cat>
          <c:val>
            <c:numRef>
              <c:f>CaractAmostra!$F$27:$F$31</c:f>
              <c:numCache>
                <c:formatCode>#,##0</c:formatCode>
                <c:ptCount val="5"/>
                <c:pt idx="0">
                  <c:v>178</c:v>
                </c:pt>
                <c:pt idx="1">
                  <c:v>17</c:v>
                </c:pt>
                <c:pt idx="2">
                  <c:v>44</c:v>
                </c:pt>
                <c:pt idx="3">
                  <c:v>19</c:v>
                </c:pt>
                <c:pt idx="4">
                  <c:v>13</c:v>
                </c:pt>
              </c:numCache>
            </c:numRef>
          </c:val>
          <c:extLst>
            <c:ext xmlns:c16="http://schemas.microsoft.com/office/drawing/2014/chart" uri="{C3380CC4-5D6E-409C-BE32-E72D297353CC}">
              <c16:uniqueId val="{00000000-6CF9-4402-83D7-6EF56F28D5EC}"/>
            </c:ext>
          </c:extLst>
        </c:ser>
        <c:dLbls>
          <c:showLegendKey val="0"/>
          <c:showVal val="0"/>
          <c:showCatName val="0"/>
          <c:showSerName val="0"/>
          <c:showPercent val="0"/>
          <c:showBubbleSize val="0"/>
        </c:dLbls>
        <c:gapWidth val="219"/>
        <c:axId val="401207272"/>
        <c:axId val="403394832"/>
      </c:barChart>
      <c:lineChart>
        <c:grouping val="standard"/>
        <c:varyColors val="0"/>
        <c:ser>
          <c:idx val="1"/>
          <c:order val="1"/>
          <c:tx>
            <c:strRef>
              <c:f>CaractAmostra!$H$26</c:f>
              <c:strCache>
                <c:ptCount val="1"/>
                <c:pt idx="0">
                  <c:v>%</c:v>
                </c:pt>
              </c:strCache>
            </c:strRef>
          </c:tx>
          <c:spPr>
            <a:ln w="15875" cap="rnd">
              <a:solidFill>
                <a:schemeClr val="accent6">
                  <a:shade val="76000"/>
                </a:schemeClr>
              </a:solidFill>
              <a:round/>
            </a:ln>
            <a:effectLst/>
          </c:spPr>
          <c:marker>
            <c:symbol val="none"/>
          </c:marker>
          <c:dLbls>
            <c:spPr>
              <a:noFill/>
              <a:ln>
                <a:noFill/>
              </a:ln>
              <a:effectLst/>
            </c:spPr>
            <c:txPr>
              <a:bodyPr rot="0" spcFirstLastPara="1" vertOverflow="ellipsis" vert="horz" wrap="square" anchor="ctr" anchorCtr="1"/>
              <a:lstStyle/>
              <a:p>
                <a:pPr>
                  <a:defRPr sz="900" b="0" i="0" u="none" strike="noStrike" kern="1200" baseline="0">
                    <a:solidFill>
                      <a:schemeClr val="bg2">
                        <a:lumMod val="25000"/>
                      </a:schemeClr>
                    </a:solidFill>
                    <a:latin typeface="Arial Narrow" panose="020B0606020202030204" pitchFamily="34" charset="0"/>
                    <a:ea typeface="+mn-ea"/>
                    <a:cs typeface="+mn-cs"/>
                  </a:defRPr>
                </a:pPr>
                <a:endParaRPr lang="pt-BR"/>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strRef>
              <c:f>CaractAmostra!$E$27:$E$31</c:f>
              <c:strCache>
                <c:ptCount val="5"/>
                <c:pt idx="0">
                  <c:v>Aracaju</c:v>
                </c:pt>
                <c:pt idx="1">
                  <c:v>Itabaiana</c:v>
                </c:pt>
                <c:pt idx="2">
                  <c:v>Lagarto</c:v>
                </c:pt>
                <c:pt idx="3">
                  <c:v>São Cristóvão</c:v>
                </c:pt>
                <c:pt idx="4">
                  <c:v>Nossa Senhora da Glória</c:v>
                </c:pt>
              </c:strCache>
            </c:strRef>
          </c:cat>
          <c:val>
            <c:numRef>
              <c:f>CaractAmostra!$H$27:$H$31</c:f>
              <c:numCache>
                <c:formatCode>0.0%</c:formatCode>
                <c:ptCount val="5"/>
                <c:pt idx="0">
                  <c:v>0.37552742616033757</c:v>
                </c:pt>
                <c:pt idx="1">
                  <c:v>0.47222222222222221</c:v>
                </c:pt>
                <c:pt idx="2">
                  <c:v>0.62857142857142856</c:v>
                </c:pt>
                <c:pt idx="3">
                  <c:v>0.37254901960784315</c:v>
                </c:pt>
                <c:pt idx="4">
                  <c:v>0.31707317073170732</c:v>
                </c:pt>
              </c:numCache>
            </c:numRef>
          </c:val>
          <c:smooth val="0"/>
          <c:extLst>
            <c:ext xmlns:c16="http://schemas.microsoft.com/office/drawing/2014/chart" uri="{C3380CC4-5D6E-409C-BE32-E72D297353CC}">
              <c16:uniqueId val="{00000001-6CF9-4402-83D7-6EF56F28D5EC}"/>
            </c:ext>
          </c:extLst>
        </c:ser>
        <c:dLbls>
          <c:showLegendKey val="0"/>
          <c:showVal val="0"/>
          <c:showCatName val="0"/>
          <c:showSerName val="0"/>
          <c:showPercent val="0"/>
          <c:showBubbleSize val="0"/>
        </c:dLbls>
        <c:marker val="1"/>
        <c:smooth val="0"/>
        <c:axId val="404116104"/>
        <c:axId val="404115720"/>
      </c:lineChart>
      <c:valAx>
        <c:axId val="404115720"/>
        <c:scaling>
          <c:orientation val="minMax"/>
        </c:scaling>
        <c:delete val="0"/>
        <c:axPos val="l"/>
        <c:numFmt formatCode="0.0%"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bg2">
                    <a:lumMod val="25000"/>
                  </a:schemeClr>
                </a:solidFill>
                <a:latin typeface="Arial Narrow" panose="020B0606020202030204" pitchFamily="34" charset="0"/>
                <a:ea typeface="+mn-ea"/>
                <a:cs typeface="+mn-cs"/>
              </a:defRPr>
            </a:pPr>
            <a:endParaRPr lang="pt-BR"/>
          </a:p>
        </c:txPr>
        <c:crossAx val="404116104"/>
        <c:crosses val="autoZero"/>
        <c:crossBetween val="between"/>
      </c:valAx>
      <c:catAx>
        <c:axId val="4041161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bg2">
                    <a:lumMod val="25000"/>
                  </a:schemeClr>
                </a:solidFill>
                <a:latin typeface="Arial Narrow" panose="020B0606020202030204" pitchFamily="34" charset="0"/>
                <a:ea typeface="+mn-ea"/>
                <a:cs typeface="+mn-cs"/>
              </a:defRPr>
            </a:pPr>
            <a:endParaRPr lang="pt-BR"/>
          </a:p>
        </c:txPr>
        <c:crossAx val="404115720"/>
        <c:crosses val="autoZero"/>
        <c:auto val="1"/>
        <c:lblAlgn val="ctr"/>
        <c:lblOffset val="100"/>
        <c:noMultiLvlLbl val="0"/>
      </c:catAx>
      <c:valAx>
        <c:axId val="403394832"/>
        <c:scaling>
          <c:orientation val="minMax"/>
        </c:scaling>
        <c:delete val="0"/>
        <c:axPos val="r"/>
        <c:numFmt formatCode="#,##0"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bg2">
                    <a:lumMod val="25000"/>
                  </a:schemeClr>
                </a:solidFill>
                <a:latin typeface="Arial Narrow" panose="020B0606020202030204" pitchFamily="34" charset="0"/>
                <a:ea typeface="+mn-ea"/>
                <a:cs typeface="+mn-cs"/>
              </a:defRPr>
            </a:pPr>
            <a:endParaRPr lang="pt-BR"/>
          </a:p>
        </c:txPr>
        <c:crossAx val="401207272"/>
        <c:crosses val="max"/>
        <c:crossBetween val="between"/>
      </c:valAx>
      <c:catAx>
        <c:axId val="401207272"/>
        <c:scaling>
          <c:orientation val="minMax"/>
        </c:scaling>
        <c:delete val="1"/>
        <c:axPos val="b"/>
        <c:numFmt formatCode="General" sourceLinked="1"/>
        <c:majorTickMark val="none"/>
        <c:minorTickMark val="none"/>
        <c:tickLblPos val="nextTo"/>
        <c:crossAx val="403394832"/>
        <c:crosses val="autoZero"/>
        <c:auto val="1"/>
        <c:lblAlgn val="ctr"/>
        <c:lblOffset val="100"/>
        <c:noMultiLvlLbl val="0"/>
      </c:cat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solidFill>
            <a:schemeClr val="bg2">
              <a:lumMod val="25000"/>
            </a:schemeClr>
          </a:solidFill>
          <a:latin typeface="Arial Narrow" panose="020B0606020202030204" pitchFamily="34" charset="0"/>
        </a:defRPr>
      </a:pPr>
      <a:endParaRPr lang="pt-BR"/>
    </a:p>
  </c:txPr>
  <c:printSettings>
    <c:headerFooter/>
    <c:pageMargins b="0.78740157499999996" l="0.511811024" r="0.511811024" t="0.78740157499999996" header="0.31496062000000002" footer="0.31496062000000002"/>
    <c:pageSetup/>
  </c:printSettings>
</c:chartSpace>
</file>

<file path=xl/charts/chart10.xml><?xml version="1.0" encoding="utf-8"?>
<cx:chartSpace xmlns:a="http://schemas.openxmlformats.org/drawingml/2006/main" xmlns:r="http://schemas.openxmlformats.org/officeDocument/2006/relationships" xmlns:cx="http://schemas.microsoft.com/office/drawing/2014/chartex">
  <cx:chartData>
    <cx:data id="0">
      <cx:strDim type="cat">
        <cx:f>_xlchart.0</cx:f>
      </cx:strDim>
      <cx:numDim type="size">
        <cx:f>_xlchart.2</cx:f>
      </cx:numDim>
    </cx:data>
  </cx:chartData>
  <cx:chart>
    <cx:title pos="t" align="ctr" overlay="0">
      <cx:tx>
        <cx:rich>
          <a:bodyPr spcFirstLastPara="1" vertOverflow="ellipsis" wrap="square" lIns="0" tIns="0" rIns="0" bIns="0" anchor="ctr" anchorCtr="1"/>
          <a:lstStyle/>
          <a:p>
            <a:pPr algn="ctr">
              <a:defRPr/>
            </a:pPr>
            <a:r>
              <a:rPr lang="pt-BR" sz="1200"/>
              <a:t>Motivações para cursar uma pós-graduação</a:t>
            </a:r>
          </a:p>
        </cx:rich>
      </cx:tx>
    </cx:title>
    <cx:plotArea>
      <cx:plotAreaRegion>
        <cx:series layoutId="treemap" uniqueId="{446CFC7E-49FE-400D-9BA7-9167470DD4CE}" formatIdx="0">
          <cx:tx>
            <cx:txData>
              <cx:f>_xlchart.1</cx:f>
              <cx:v>%</cx:v>
            </cx:txData>
          </cx:tx>
          <cx:dataLabels pos="inEnd">
            <cx:txPr>
              <a:bodyPr spcFirstLastPara="1" vertOverflow="ellipsis" wrap="square" lIns="0" tIns="0" rIns="0" bIns="0" anchor="ctr" anchorCtr="1">
                <a:spAutoFit/>
              </a:bodyPr>
              <a:lstStyle/>
              <a:p>
                <a:pPr>
                  <a:defRPr lang="pt-BR" sz="1000" b="1" i="0" u="none" strike="noStrike" kern="1200" baseline="0">
                    <a:solidFill>
                      <a:sysClr val="window" lastClr="FFFFFF"/>
                    </a:solidFill>
                    <a:latin typeface="Arial Narrow" panose="020B0606020202030204" pitchFamily="34" charset="0"/>
                    <a:ea typeface="Arial Narrow" panose="020B0606020202030204" pitchFamily="34" charset="0"/>
                    <a:cs typeface="Arial Narrow" panose="020B0606020202030204" pitchFamily="34" charset="0"/>
                  </a:defRPr>
                </a:pPr>
                <a:endParaRPr lang="pt-BR" sz="1000" b="1">
                  <a:latin typeface="Arial Narrow" panose="020B0606020202030204" pitchFamily="34" charset="0"/>
                </a:endParaRPr>
              </a:p>
            </cx:txPr>
            <cx:visibility seriesName="0" categoryName="1" value="1"/>
            <cx:separator>; </cx:separator>
          </cx:dataLabels>
          <cx:dataId val="0"/>
          <cx:layoutPr>
            <cx:parentLabelLayout val="overlapping"/>
          </cx:layoutPr>
        </cx:series>
      </cx:plotAreaRegion>
    </cx:plotArea>
  </cx:chart>
  <cx:spPr>
    <a:ln>
      <a:noFill/>
    </a:ln>
  </cx:spPr>
</cx: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8"/>
    </mc:Choice>
    <mc:Fallback>
      <c:style val="8"/>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200" b="0" i="0" u="none" strike="noStrike" kern="1200" cap="none" spc="20" baseline="0">
                <a:solidFill>
                  <a:schemeClr val="bg2">
                    <a:lumMod val="25000"/>
                  </a:schemeClr>
                </a:solidFill>
                <a:latin typeface="Arial Narrow" panose="020B0606020202030204" pitchFamily="34" charset="0"/>
                <a:ea typeface="+mn-ea"/>
                <a:cs typeface="+mn-cs"/>
              </a:defRPr>
            </a:pPr>
            <a:r>
              <a:rPr lang="pt-BR" sz="1200"/>
              <a:t>Maior</a:t>
            </a:r>
            <a:r>
              <a:rPr lang="pt-BR" sz="1200" baseline="0"/>
              <a:t> qualificação ANTES de iniciar a graduação</a:t>
            </a:r>
            <a:endParaRPr lang="pt-BR" sz="1200"/>
          </a:p>
        </c:rich>
      </c:tx>
      <c:layout/>
      <c:overlay val="0"/>
      <c:spPr>
        <a:noFill/>
        <a:ln>
          <a:noFill/>
        </a:ln>
        <a:effectLst/>
      </c:spPr>
      <c:txPr>
        <a:bodyPr rot="0" spcFirstLastPara="1" vertOverflow="ellipsis" vert="horz" wrap="square" anchor="ctr" anchorCtr="1"/>
        <a:lstStyle/>
        <a:p>
          <a:pPr>
            <a:defRPr sz="1200" b="0" i="0" u="none" strike="noStrike" kern="1200" cap="none" spc="20" baseline="0">
              <a:solidFill>
                <a:schemeClr val="bg2">
                  <a:lumMod val="25000"/>
                </a:schemeClr>
              </a:solidFill>
              <a:latin typeface="Arial Narrow" panose="020B0606020202030204" pitchFamily="34" charset="0"/>
              <a:ea typeface="+mn-ea"/>
              <a:cs typeface="+mn-cs"/>
            </a:defRPr>
          </a:pPr>
          <a:endParaRPr lang="pt-BR"/>
        </a:p>
      </c:txPr>
    </c:title>
    <c:autoTitleDeleted val="0"/>
    <c:plotArea>
      <c:layout/>
      <c:barChart>
        <c:barDir val="col"/>
        <c:grouping val="clustered"/>
        <c:varyColors val="0"/>
        <c:ser>
          <c:idx val="0"/>
          <c:order val="0"/>
          <c:tx>
            <c:strRef>
              <c:f>ContEstudos!$U$8</c:f>
              <c:strCache>
                <c:ptCount val="1"/>
                <c:pt idx="0">
                  <c:v>%</c:v>
                </c:pt>
              </c:strCache>
            </c:strRef>
          </c:tx>
          <c:spPr>
            <a:gradFill rotWithShape="1">
              <a:gsLst>
                <a:gs pos="0">
                  <a:schemeClr val="accent6">
                    <a:tint val="77000"/>
                    <a:lumMod val="110000"/>
                    <a:satMod val="105000"/>
                    <a:tint val="67000"/>
                  </a:schemeClr>
                </a:gs>
                <a:gs pos="50000">
                  <a:schemeClr val="accent6">
                    <a:tint val="77000"/>
                    <a:lumMod val="105000"/>
                    <a:satMod val="103000"/>
                    <a:tint val="73000"/>
                  </a:schemeClr>
                </a:gs>
                <a:gs pos="100000">
                  <a:schemeClr val="accent6">
                    <a:tint val="77000"/>
                    <a:lumMod val="105000"/>
                    <a:satMod val="109000"/>
                    <a:tint val="81000"/>
                  </a:schemeClr>
                </a:gs>
              </a:gsLst>
              <a:lin ang="5400000" scaled="0"/>
            </a:gradFill>
            <a:ln w="9525" cap="flat" cmpd="sng" algn="ctr">
              <a:solidFill>
                <a:schemeClr val="accent6">
                  <a:tint val="77000"/>
                  <a:shade val="95000"/>
                </a:schemeClr>
              </a:solidFill>
              <a:round/>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bg2">
                        <a:lumMod val="25000"/>
                      </a:schemeClr>
                    </a:solidFill>
                    <a:latin typeface="Arial Narrow" panose="020B0606020202030204" pitchFamily="34" charset="0"/>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strRef>
              <c:f>ContEstudos!$S$9:$S$13</c:f>
              <c:strCache>
                <c:ptCount val="5"/>
                <c:pt idx="0">
                  <c:v>Ensino médio</c:v>
                </c:pt>
                <c:pt idx="1">
                  <c:v>Ensino técnico</c:v>
                </c:pt>
                <c:pt idx="2">
                  <c:v>Graduação incompleta</c:v>
                </c:pt>
                <c:pt idx="3">
                  <c:v>Graduação completa</c:v>
                </c:pt>
                <c:pt idx="4">
                  <c:v>Pós graduação</c:v>
                </c:pt>
              </c:strCache>
            </c:strRef>
          </c:cat>
          <c:val>
            <c:numRef>
              <c:f>ContEstudos!$U$9:$U$13</c:f>
              <c:numCache>
                <c:formatCode>0.0%</c:formatCode>
                <c:ptCount val="5"/>
                <c:pt idx="0">
                  <c:v>0.64575645756457567</c:v>
                </c:pt>
                <c:pt idx="1">
                  <c:v>0.2140221402214022</c:v>
                </c:pt>
                <c:pt idx="2">
                  <c:v>8.8560885608856083E-2</c:v>
                </c:pt>
                <c:pt idx="3">
                  <c:v>4.0590405904059039E-2</c:v>
                </c:pt>
                <c:pt idx="4">
                  <c:v>1.107011070110701E-2</c:v>
                </c:pt>
              </c:numCache>
            </c:numRef>
          </c:val>
          <c:extLst>
            <c:ext xmlns:c16="http://schemas.microsoft.com/office/drawing/2014/chart" uri="{C3380CC4-5D6E-409C-BE32-E72D297353CC}">
              <c16:uniqueId val="{00000000-D05D-4992-878B-7F17A84E75C2}"/>
            </c:ext>
          </c:extLst>
        </c:ser>
        <c:dLbls>
          <c:showLegendKey val="0"/>
          <c:showVal val="0"/>
          <c:showCatName val="0"/>
          <c:showSerName val="0"/>
          <c:showPercent val="0"/>
          <c:showBubbleSize val="0"/>
        </c:dLbls>
        <c:gapWidth val="219"/>
        <c:axId val="404937632"/>
        <c:axId val="404943120"/>
      </c:barChart>
      <c:valAx>
        <c:axId val="404943120"/>
        <c:scaling>
          <c:orientation val="minMax"/>
        </c:scaling>
        <c:delete val="0"/>
        <c:axPos val="l"/>
        <c:numFmt formatCode="0.0%"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bg2">
                    <a:lumMod val="25000"/>
                  </a:schemeClr>
                </a:solidFill>
                <a:latin typeface="Arial Narrow" panose="020B0606020202030204" pitchFamily="34" charset="0"/>
                <a:ea typeface="+mn-ea"/>
                <a:cs typeface="+mn-cs"/>
              </a:defRPr>
            </a:pPr>
            <a:endParaRPr lang="pt-BR"/>
          </a:p>
        </c:txPr>
        <c:crossAx val="404937632"/>
        <c:crosses val="autoZero"/>
        <c:crossBetween val="between"/>
      </c:valAx>
      <c:catAx>
        <c:axId val="4049376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bg2">
                    <a:lumMod val="25000"/>
                  </a:schemeClr>
                </a:solidFill>
                <a:latin typeface="Arial Narrow" panose="020B0606020202030204" pitchFamily="34" charset="0"/>
                <a:ea typeface="+mn-ea"/>
                <a:cs typeface="+mn-cs"/>
              </a:defRPr>
            </a:pPr>
            <a:endParaRPr lang="pt-BR"/>
          </a:p>
        </c:txPr>
        <c:crossAx val="404943120"/>
        <c:crosses val="autoZero"/>
        <c:auto val="1"/>
        <c:lblAlgn val="ctr"/>
        <c:lblOffset val="100"/>
        <c:noMultiLvlLbl val="0"/>
      </c:cat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solidFill>
            <a:schemeClr val="bg2">
              <a:lumMod val="25000"/>
            </a:schemeClr>
          </a:solidFill>
          <a:latin typeface="Arial Narrow" panose="020B0606020202030204" pitchFamily="34" charset="0"/>
        </a:defRPr>
      </a:pPr>
      <a:endParaRPr lang="pt-BR"/>
    </a:p>
  </c:txPr>
  <c:printSettings>
    <c:headerFooter/>
    <c:pageMargins b="0.78740157499999996" l="0.511811024" r="0.511811024" t="0.78740157499999996" header="0.31496062000000002" footer="0.31496062000000002"/>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200" b="0" i="0" u="none" strike="noStrike" kern="1200" cap="none" spc="20" baseline="0">
                <a:solidFill>
                  <a:schemeClr val="bg2">
                    <a:lumMod val="25000"/>
                  </a:schemeClr>
                </a:solidFill>
                <a:latin typeface="Arial Narrow" panose="020B0606020202030204" pitchFamily="34" charset="0"/>
                <a:ea typeface="+mn-ea"/>
                <a:cs typeface="+mn-cs"/>
              </a:defRPr>
            </a:pPr>
            <a:r>
              <a:rPr lang="pt-BR" sz="1200"/>
              <a:t>Maior</a:t>
            </a:r>
            <a:r>
              <a:rPr lang="pt-BR" sz="1200" baseline="0"/>
              <a:t> qualificação ANTES de iniciar a graduação</a:t>
            </a:r>
            <a:endParaRPr lang="pt-BR" sz="1200"/>
          </a:p>
        </c:rich>
      </c:tx>
      <c:layout/>
      <c:overlay val="0"/>
      <c:spPr>
        <a:noFill/>
        <a:ln>
          <a:noFill/>
        </a:ln>
        <a:effectLst/>
      </c:spPr>
      <c:txPr>
        <a:bodyPr rot="0" spcFirstLastPara="1" vertOverflow="ellipsis" vert="horz" wrap="square" anchor="ctr" anchorCtr="1"/>
        <a:lstStyle/>
        <a:p>
          <a:pPr>
            <a:defRPr sz="1200" b="0" i="0" u="none" strike="noStrike" kern="1200" cap="none" spc="20" baseline="0">
              <a:solidFill>
                <a:schemeClr val="bg2">
                  <a:lumMod val="25000"/>
                </a:schemeClr>
              </a:solidFill>
              <a:latin typeface="Arial Narrow" panose="020B0606020202030204" pitchFamily="34" charset="0"/>
              <a:ea typeface="+mn-ea"/>
              <a:cs typeface="+mn-cs"/>
            </a:defRPr>
          </a:pPr>
          <a:endParaRPr lang="pt-BR"/>
        </a:p>
      </c:txPr>
    </c:title>
    <c:autoTitleDeleted val="0"/>
    <c:plotArea>
      <c:layout/>
      <c:barChart>
        <c:barDir val="col"/>
        <c:grouping val="clustered"/>
        <c:varyColors val="0"/>
        <c:ser>
          <c:idx val="0"/>
          <c:order val="0"/>
          <c:tx>
            <c:strRef>
              <c:f>ContEstudos!$U$31</c:f>
              <c:strCache>
                <c:ptCount val="1"/>
                <c:pt idx="0">
                  <c:v>%</c:v>
                </c:pt>
              </c:strCache>
            </c:strRef>
          </c:tx>
          <c:spPr>
            <a:solidFill>
              <a:schemeClr val="accent5">
                <a:lumMod val="40000"/>
                <a:lumOff val="60000"/>
              </a:schemeClr>
            </a:solidFill>
            <a:ln w="9525" cap="flat" cmpd="sng" algn="ctr">
              <a:solidFill>
                <a:schemeClr val="accent5">
                  <a:lumMod val="50000"/>
                </a:schemeClr>
              </a:solidFill>
              <a:round/>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bg2">
                        <a:lumMod val="25000"/>
                      </a:schemeClr>
                    </a:solidFill>
                    <a:latin typeface="Arial Narrow" panose="020B0606020202030204" pitchFamily="34" charset="0"/>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strRef>
              <c:f>ContEstudos!$S$32:$S$36</c:f>
              <c:strCache>
                <c:ptCount val="5"/>
                <c:pt idx="0">
                  <c:v>Ensino médio</c:v>
                </c:pt>
                <c:pt idx="1">
                  <c:v>Ensino técnico</c:v>
                </c:pt>
                <c:pt idx="2">
                  <c:v>Graduação incompleta</c:v>
                </c:pt>
                <c:pt idx="3">
                  <c:v>Graduação completa</c:v>
                </c:pt>
                <c:pt idx="4">
                  <c:v>Pós graduação</c:v>
                </c:pt>
              </c:strCache>
            </c:strRef>
          </c:cat>
          <c:val>
            <c:numRef>
              <c:f>ContEstudos!$U$32:$U$36</c:f>
              <c:numCache>
                <c:formatCode>0.0%</c:formatCode>
                <c:ptCount val="5"/>
                <c:pt idx="0">
                  <c:v>0.5</c:v>
                </c:pt>
                <c:pt idx="1">
                  <c:v>0.3125</c:v>
                </c:pt>
                <c:pt idx="2">
                  <c:v>0.1875</c:v>
                </c:pt>
                <c:pt idx="3">
                  <c:v>0</c:v>
                </c:pt>
                <c:pt idx="4">
                  <c:v>0</c:v>
                </c:pt>
              </c:numCache>
            </c:numRef>
          </c:val>
          <c:extLst>
            <c:ext xmlns:c16="http://schemas.microsoft.com/office/drawing/2014/chart" uri="{C3380CC4-5D6E-409C-BE32-E72D297353CC}">
              <c16:uniqueId val="{00000000-5B6B-4181-85DA-026C4B26EBAE}"/>
            </c:ext>
          </c:extLst>
        </c:ser>
        <c:dLbls>
          <c:showLegendKey val="0"/>
          <c:showVal val="0"/>
          <c:showCatName val="0"/>
          <c:showSerName val="0"/>
          <c:showPercent val="0"/>
          <c:showBubbleSize val="0"/>
        </c:dLbls>
        <c:gapWidth val="219"/>
        <c:axId val="404939200"/>
        <c:axId val="404941160"/>
      </c:barChart>
      <c:valAx>
        <c:axId val="404941160"/>
        <c:scaling>
          <c:orientation val="minMax"/>
        </c:scaling>
        <c:delete val="0"/>
        <c:axPos val="l"/>
        <c:numFmt formatCode="0.0%"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bg2">
                    <a:lumMod val="25000"/>
                  </a:schemeClr>
                </a:solidFill>
                <a:latin typeface="Arial Narrow" panose="020B0606020202030204" pitchFamily="34" charset="0"/>
                <a:ea typeface="+mn-ea"/>
                <a:cs typeface="+mn-cs"/>
              </a:defRPr>
            </a:pPr>
            <a:endParaRPr lang="pt-BR"/>
          </a:p>
        </c:txPr>
        <c:crossAx val="404939200"/>
        <c:crosses val="autoZero"/>
        <c:crossBetween val="between"/>
      </c:valAx>
      <c:catAx>
        <c:axId val="4049392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bg2">
                    <a:lumMod val="25000"/>
                  </a:schemeClr>
                </a:solidFill>
                <a:latin typeface="Arial Narrow" panose="020B0606020202030204" pitchFamily="34" charset="0"/>
                <a:ea typeface="+mn-ea"/>
                <a:cs typeface="+mn-cs"/>
              </a:defRPr>
            </a:pPr>
            <a:endParaRPr lang="pt-BR"/>
          </a:p>
        </c:txPr>
        <c:crossAx val="404941160"/>
        <c:crosses val="autoZero"/>
        <c:auto val="1"/>
        <c:lblAlgn val="ctr"/>
        <c:lblOffset val="100"/>
        <c:noMultiLvlLbl val="0"/>
      </c:cat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solidFill>
            <a:schemeClr val="bg2">
              <a:lumMod val="25000"/>
            </a:schemeClr>
          </a:solidFill>
          <a:latin typeface="Arial Narrow" panose="020B0606020202030204" pitchFamily="34" charset="0"/>
        </a:defRPr>
      </a:pPr>
      <a:endParaRPr lang="pt-BR"/>
    </a:p>
  </c:txPr>
  <c:printSettings>
    <c:headerFooter/>
    <c:pageMargins b="0.78740157499999996" l="0.511811024" r="0.511811024" t="0.78740157499999996" header="0.31496062000000002" footer="0.31496062000000002"/>
    <c:pageSetup/>
  </c:printSettings>
</c:chartSpace>
</file>

<file path=xl/charts/chart13.xml><?xml version="1.0" encoding="utf-8"?>
<cx:chartSpace xmlns:a="http://schemas.openxmlformats.org/drawingml/2006/main" xmlns:r="http://schemas.openxmlformats.org/officeDocument/2006/relationships" xmlns:cx="http://schemas.microsoft.com/office/drawing/2014/chartex">
  <cx:chartData>
    <cx:data id="0">
      <cx:strDim type="cat">
        <cx:f>_xlchart.9</cx:f>
      </cx:strDim>
      <cx:numDim type="size">
        <cx:f>_xlchart.11</cx:f>
      </cx:numDim>
    </cx:data>
  </cx:chartData>
  <cx:chart>
    <cx:title pos="t" align="ctr" overlay="0">
      <cx:tx>
        <cx:rich>
          <a:bodyPr spcFirstLastPara="1" vertOverflow="ellipsis" wrap="square" lIns="0" tIns="0" rIns="0" bIns="0" anchor="ctr" anchorCtr="1"/>
          <a:lstStyle/>
          <a:p>
            <a:pPr algn="ctr">
              <a:defRPr/>
            </a:pPr>
            <a:r>
              <a:rPr lang="pt-BR" sz="1200"/>
              <a:t>Motivações para cursar uma pós-graduação</a:t>
            </a:r>
          </a:p>
        </cx:rich>
      </cx:tx>
    </cx:title>
    <cx:plotArea>
      <cx:plotAreaRegion>
        <cx:series layoutId="treemap" uniqueId="{446CFC7E-49FE-400D-9BA7-9167470DD4CE}" formatIdx="0">
          <cx:tx>
            <cx:txData>
              <cx:f>_xlchart.10</cx:f>
              <cx:v>%</cx:v>
            </cx:txData>
          </cx:tx>
          <cx:dataLabels pos="inEnd">
            <cx:txPr>
              <a:bodyPr spcFirstLastPara="1" vertOverflow="ellipsis" wrap="square" lIns="0" tIns="0" rIns="0" bIns="0" anchor="ctr" anchorCtr="1">
                <a:spAutoFit/>
              </a:bodyPr>
              <a:lstStyle/>
              <a:p>
                <a:pPr>
                  <a:defRPr lang="pt-BR" sz="1000" b="1" i="0" u="none" strike="noStrike" kern="1200" baseline="0">
                    <a:solidFill>
                      <a:sysClr val="window" lastClr="FFFFFF"/>
                    </a:solidFill>
                    <a:latin typeface="Arial Narrow" panose="020B0606020202030204" pitchFamily="34" charset="0"/>
                    <a:ea typeface="Arial Narrow" panose="020B0606020202030204" pitchFamily="34" charset="0"/>
                    <a:cs typeface="Arial Narrow" panose="020B0606020202030204" pitchFamily="34" charset="0"/>
                  </a:defRPr>
                </a:pPr>
                <a:endParaRPr lang="pt-BR" sz="1000" b="1">
                  <a:latin typeface="Arial Narrow" panose="020B0606020202030204" pitchFamily="34" charset="0"/>
                </a:endParaRPr>
              </a:p>
            </cx:txPr>
            <cx:visibility seriesName="0" categoryName="1" value="1"/>
            <cx:separator>; </cx:separator>
          </cx:dataLabels>
          <cx:dataId val="0"/>
          <cx:layoutPr>
            <cx:parentLabelLayout val="overlapping"/>
          </cx:layoutPr>
        </cx:series>
      </cx:plotAreaRegion>
    </cx:plotArea>
  </cx:chart>
  <cx:spPr>
    <a:ln>
      <a:noFill/>
    </a:ln>
  </cx:spPr>
  <cx:clrMapOvr bg1="lt1" tx1="dk1" bg2="lt2" tx2="dk2" accent1="accent1" accent2="accent2" accent3="accent3" accent4="accent4" accent5="accent5" accent6="accent6" hlink="hlink" folHlink="folHlink"/>
</cx:chartSpace>
</file>

<file path=xl/charts/chart14.xml><?xml version="1.0" encoding="utf-8"?>
<cx:chartSpace xmlns:a="http://schemas.openxmlformats.org/drawingml/2006/main" xmlns:r="http://schemas.openxmlformats.org/officeDocument/2006/relationships" xmlns:cx="http://schemas.microsoft.com/office/drawing/2014/chartex">
  <cx:chartData>
    <cx:data id="0">
      <cx:strDim type="cat">
        <cx:f>_xlchart.6</cx:f>
      </cx:strDim>
      <cx:numDim type="size">
        <cx:f>_xlchart.8</cx:f>
      </cx:numDim>
    </cx:data>
  </cx:chartData>
  <cx:chart>
    <cx:title pos="t" align="ctr" overlay="0">
      <cx:tx>
        <cx:rich>
          <a:bodyPr spcFirstLastPara="1" vertOverflow="ellipsis" wrap="square" lIns="0" tIns="0" rIns="0" bIns="0" anchor="ctr" anchorCtr="1"/>
          <a:lstStyle/>
          <a:p>
            <a:pPr algn="ctr">
              <a:defRPr/>
            </a:pPr>
            <a:r>
              <a:rPr lang="pt-BR" sz="1200"/>
              <a:t>Motivações para cursar uma pós-graduação</a:t>
            </a:r>
          </a:p>
        </cx:rich>
      </cx:tx>
    </cx:title>
    <cx:plotArea>
      <cx:plotAreaRegion>
        <cx:series layoutId="treemap" uniqueId="{446CFC7E-49FE-400D-9BA7-9167470DD4CE}" formatIdx="0">
          <cx:tx>
            <cx:txData>
              <cx:f>_xlchart.7</cx:f>
              <cx:v>%</cx:v>
            </cx:txData>
          </cx:tx>
          <cx:dataLabels pos="inEnd">
            <cx:txPr>
              <a:bodyPr spcFirstLastPara="1" vertOverflow="ellipsis" wrap="square" lIns="0" tIns="0" rIns="0" bIns="0" anchor="ctr" anchorCtr="1">
                <a:spAutoFit/>
              </a:bodyPr>
              <a:lstStyle/>
              <a:p>
                <a:pPr>
                  <a:defRPr lang="pt-BR" sz="1000" b="1" i="0" u="none" strike="noStrike" kern="1200" baseline="0">
                    <a:solidFill>
                      <a:sysClr val="window" lastClr="FFFFFF"/>
                    </a:solidFill>
                    <a:latin typeface="Arial Narrow" panose="020B0606020202030204" pitchFamily="34" charset="0"/>
                    <a:ea typeface="Arial Narrow" panose="020B0606020202030204" pitchFamily="34" charset="0"/>
                    <a:cs typeface="Arial Narrow" panose="020B0606020202030204" pitchFamily="34" charset="0"/>
                  </a:defRPr>
                </a:pPr>
                <a:endParaRPr lang="pt-BR" sz="1000" b="1">
                  <a:latin typeface="Arial Narrow" panose="020B0606020202030204" pitchFamily="34" charset="0"/>
                </a:endParaRPr>
              </a:p>
            </cx:txPr>
            <cx:visibility seriesName="0" categoryName="1" value="1"/>
            <cx:separator>; </cx:separator>
          </cx:dataLabels>
          <cx:dataId val="0"/>
          <cx:layoutPr>
            <cx:parentLabelLayout val="overlapping"/>
          </cx:layoutPr>
        </cx:series>
      </cx:plotAreaRegion>
    </cx:plotArea>
  </cx:chart>
  <cx:spPr>
    <a:ln>
      <a:noFill/>
    </a:ln>
  </cx:spPr>
  <cx:clrMapOvr bg1="lt1" tx1="dk1" bg2="lt2" tx2="dk2" accent1="accent1" accent2="accent2" accent3="accent3" accent4="accent4" accent5="accent5" accent6="accent6" hlink="hlink" folHlink="folHlink"/>
</cx: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Arial Narrow" panose="020B0606020202030204" pitchFamily="34" charset="0"/>
                <a:ea typeface="+mn-ea"/>
                <a:cs typeface="+mn-cs"/>
              </a:defRPr>
            </a:pPr>
            <a:r>
              <a:rPr lang="en-US" sz="1200"/>
              <a:t>Já teve algum emprego desde que se formou?</a:t>
            </a:r>
          </a:p>
        </c:rich>
      </c:tx>
      <c:layout/>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Arial Narrow" panose="020B0606020202030204" pitchFamily="34" charset="0"/>
              <a:ea typeface="+mn-ea"/>
              <a:cs typeface="+mn-cs"/>
            </a:defRPr>
          </a:pPr>
          <a:endParaRPr lang="pt-BR"/>
        </a:p>
      </c:txPr>
    </c:title>
    <c:autoTitleDeleted val="0"/>
    <c:plotArea>
      <c:layout/>
      <c:doughnutChart>
        <c:varyColors val="1"/>
        <c:ser>
          <c:idx val="0"/>
          <c:order val="0"/>
          <c:tx>
            <c:strRef>
              <c:f>TransEstTrab!$J$8</c:f>
              <c:strCache>
                <c:ptCount val="1"/>
                <c:pt idx="0">
                  <c:v>f</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F9F6-49D1-9618-EA37B346A196}"/>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F9F6-49D1-9618-EA37B346A196}"/>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F9F6-49D1-9618-EA37B346A196}"/>
              </c:ext>
            </c:extLst>
          </c:dPt>
          <c:dLbls>
            <c:dLbl>
              <c:idx val="0"/>
              <c:layout>
                <c:manualLayout>
                  <c:x val="0.11666666666666657"/>
                  <c:y val="-0.10648148148148148"/>
                </c:manualLayout>
              </c:layout>
              <c:showLegendKey val="1"/>
              <c:showVal val="1"/>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1-F9F6-49D1-9618-EA37B346A196}"/>
                </c:ext>
              </c:extLst>
            </c:dLbl>
            <c:dLbl>
              <c:idx val="1"/>
              <c:layout>
                <c:manualLayout>
                  <c:x val="-8.8888888888888934E-2"/>
                  <c:y val="6.9444444444444448E-2"/>
                </c:manualLayout>
              </c:layout>
              <c:showLegendKey val="1"/>
              <c:showVal val="1"/>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3-F9F6-49D1-9618-EA37B346A196}"/>
                </c:ext>
              </c:extLst>
            </c:dLbl>
            <c:dLbl>
              <c:idx val="2"/>
              <c:layout>
                <c:manualLayout>
                  <c:x val="-9.999999999999995E-2"/>
                  <c:y val="-6.0185185185185182E-2"/>
                </c:manualLayout>
              </c:layout>
              <c:showLegendKey val="1"/>
              <c:showVal val="1"/>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5-F9F6-49D1-9618-EA37B346A196}"/>
                </c:ext>
              </c:extLst>
            </c:dLbl>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Narrow" panose="020B0606020202030204" pitchFamily="34" charset="0"/>
                    <a:ea typeface="+mn-ea"/>
                    <a:cs typeface="+mn-cs"/>
                  </a:defRPr>
                </a:pPr>
                <a:endParaRPr lang="pt-BR"/>
              </a:p>
            </c:txPr>
            <c:showLegendKey val="1"/>
            <c:showVal val="1"/>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TransEstTrab!$I$9:$I$11</c:f>
              <c:strCache>
                <c:ptCount val="3"/>
                <c:pt idx="0">
                  <c:v>Não</c:v>
                </c:pt>
                <c:pt idx="1">
                  <c:v>Sim, iniciei em um novo emprego após concluir a graduação</c:v>
                </c:pt>
                <c:pt idx="2">
                  <c:v>Sim, continuei no emprego em que eu já estava durante a graduação</c:v>
                </c:pt>
              </c:strCache>
            </c:strRef>
          </c:cat>
          <c:val>
            <c:numRef>
              <c:f>TransEstTrab!$J$9:$J$11</c:f>
              <c:numCache>
                <c:formatCode>#,##0</c:formatCode>
                <c:ptCount val="3"/>
                <c:pt idx="0">
                  <c:v>97</c:v>
                </c:pt>
                <c:pt idx="1">
                  <c:v>100</c:v>
                </c:pt>
                <c:pt idx="2">
                  <c:v>74</c:v>
                </c:pt>
              </c:numCache>
            </c:numRef>
          </c:val>
          <c:extLst>
            <c:ext xmlns:c16="http://schemas.microsoft.com/office/drawing/2014/chart" uri="{C3380CC4-5D6E-409C-BE32-E72D297353CC}">
              <c16:uniqueId val="{00000006-F9F6-49D1-9618-EA37B346A196}"/>
            </c:ext>
          </c:extLst>
        </c:ser>
        <c:dLbls>
          <c:showLegendKey val="0"/>
          <c:showVal val="0"/>
          <c:showCatName val="0"/>
          <c:showSerName val="0"/>
          <c:showPercent val="1"/>
          <c:showBubbleSize val="0"/>
          <c:showLeaderLines val="1"/>
        </c:dLbls>
        <c:firstSliceAng val="0"/>
        <c:holeSize val="60"/>
      </c:doughnutChart>
      <c:spPr>
        <a:noFill/>
        <a:ln>
          <a:noFill/>
        </a:ln>
        <a:effectLst/>
      </c:spPr>
    </c:plotArea>
    <c:legend>
      <c:legendPos val="b"/>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Arial Narrow" panose="020B0606020202030204" pitchFamily="34" charset="0"/>
              <a:ea typeface="+mn-ea"/>
              <a:cs typeface="+mn-cs"/>
            </a:defRPr>
          </a:pPr>
          <a:endParaRPr lang="pt-BR"/>
        </a:p>
      </c:txPr>
    </c:legend>
    <c:plotVisOnly val="1"/>
    <c:dispBlanksAs val="gap"/>
    <c:showDLblsOverMax val="0"/>
  </c:chart>
  <c:spPr>
    <a:solidFill>
      <a:schemeClr val="bg1"/>
    </a:solidFill>
    <a:ln w="9525" cap="flat" cmpd="sng" algn="ctr">
      <a:noFill/>
      <a:round/>
    </a:ln>
    <a:effectLst/>
  </c:spPr>
  <c:txPr>
    <a:bodyPr/>
    <a:lstStyle/>
    <a:p>
      <a:pPr>
        <a:defRPr>
          <a:latin typeface="Arial Narrow" panose="020B0606020202030204" pitchFamily="34" charset="0"/>
        </a:defRPr>
      </a:pPr>
      <a:endParaRPr lang="pt-BR"/>
    </a:p>
  </c:txPr>
  <c:printSettings>
    <c:headerFooter/>
    <c:pageMargins b="0.78740157499999996" l="0.511811024" r="0.511811024" t="0.78740157499999996" header="0.31496062000000002" footer="0.31496062000000002"/>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Arial Narrow" panose="020B0606020202030204" pitchFamily="34" charset="0"/>
                <a:ea typeface="+mn-ea"/>
                <a:cs typeface="+mn-cs"/>
              </a:defRPr>
            </a:pPr>
            <a:r>
              <a:rPr lang="pt-BR" sz="1200"/>
              <a:t>Já teve algum emprego remunerado desde que se formou?</a:t>
            </a:r>
          </a:p>
        </c:rich>
      </c:tx>
      <c:layout/>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Arial Narrow" panose="020B0606020202030204" pitchFamily="34" charset="0"/>
              <a:ea typeface="+mn-ea"/>
              <a:cs typeface="+mn-cs"/>
            </a:defRPr>
          </a:pPr>
          <a:endParaRPr lang="pt-BR"/>
        </a:p>
      </c:txPr>
    </c:title>
    <c:autoTitleDeleted val="0"/>
    <c:plotArea>
      <c:layout/>
      <c:doughnutChart>
        <c:varyColors val="1"/>
        <c:ser>
          <c:idx val="0"/>
          <c:order val="0"/>
          <c:tx>
            <c:strRef>
              <c:f>TransEstTrab!$J$31</c:f>
              <c:strCache>
                <c:ptCount val="1"/>
                <c:pt idx="0">
                  <c:v>f</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BDA5-444E-9363-0C1187DD2866}"/>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BDA5-444E-9363-0C1187DD2866}"/>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BDA5-444E-9363-0C1187DD2866}"/>
              </c:ext>
            </c:extLst>
          </c:dPt>
          <c:dLbls>
            <c:dLbl>
              <c:idx val="0"/>
              <c:layout>
                <c:manualLayout>
                  <c:x val="9.7222222222222224E-2"/>
                  <c:y val="-9.2457420924574235E-2"/>
                </c:manualLayout>
              </c:layout>
              <c:spPr>
                <a:noFill/>
                <a:ln>
                  <a:noFill/>
                </a:ln>
                <a:effectLst/>
              </c:spPr>
              <c:txPr>
                <a:bodyPr rot="0" spcFirstLastPara="1" vertOverflow="overflow" horzOverflow="overflow" vert="horz" wrap="square" lIns="38100" tIns="19050" rIns="38100" bIns="19050" anchor="ctr" anchorCtr="0">
                  <a:spAutoFit/>
                </a:bodyPr>
                <a:lstStyle/>
                <a:p>
                  <a:pPr>
                    <a:defRPr sz="900" b="0" i="0" u="none" strike="noStrike" kern="1200" baseline="0">
                      <a:solidFill>
                        <a:schemeClr val="tx1">
                          <a:lumMod val="75000"/>
                          <a:lumOff val="25000"/>
                        </a:schemeClr>
                      </a:solidFill>
                      <a:latin typeface="Arial Narrow" panose="020B0606020202030204" pitchFamily="34" charset="0"/>
                      <a:ea typeface="+mn-ea"/>
                      <a:cs typeface="+mn-cs"/>
                    </a:defRPr>
                  </a:pPr>
                  <a:endParaRPr lang="pt-BR"/>
                </a:p>
              </c:txPr>
              <c:showLegendKey val="1"/>
              <c:showVal val="1"/>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1-BDA5-444E-9363-0C1187DD2866}"/>
                </c:ext>
              </c:extLst>
            </c:dLbl>
            <c:dLbl>
              <c:idx val="1"/>
              <c:layout>
                <c:manualLayout>
                  <c:x val="0.10833333333333334"/>
                  <c:y val="4.8661800486618449E-3"/>
                </c:manualLayout>
              </c:layout>
              <c:showLegendKey val="1"/>
              <c:showVal val="1"/>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3-BDA5-444E-9363-0C1187DD2866}"/>
                </c:ext>
              </c:extLst>
            </c:dLbl>
            <c:dLbl>
              <c:idx val="2"/>
              <c:layout>
                <c:manualLayout>
                  <c:x val="-0.11666666666666672"/>
                  <c:y val="-6.8126520681265207E-2"/>
                </c:manualLayout>
              </c:layout>
              <c:showLegendKey val="1"/>
              <c:showVal val="1"/>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5-BDA5-444E-9363-0C1187DD286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Narrow" panose="020B0606020202030204" pitchFamily="34" charset="0"/>
                    <a:ea typeface="+mn-ea"/>
                    <a:cs typeface="+mn-cs"/>
                  </a:defRPr>
                </a:pPr>
                <a:endParaRPr lang="pt-BR"/>
              </a:p>
            </c:txPr>
            <c:showLegendKey val="1"/>
            <c:showVal val="1"/>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TransEstTrab!$I$32:$I$34</c:f>
              <c:strCache>
                <c:ptCount val="3"/>
                <c:pt idx="0">
                  <c:v>Não</c:v>
                </c:pt>
                <c:pt idx="1">
                  <c:v>Sim, iniciei em um novo emprego após concluir a graduação</c:v>
                </c:pt>
                <c:pt idx="2">
                  <c:v>Sim, continuei no emprego em que eu já estava durante a graduação</c:v>
                </c:pt>
              </c:strCache>
            </c:strRef>
          </c:cat>
          <c:val>
            <c:numRef>
              <c:f>TransEstTrab!$J$32:$J$34</c:f>
              <c:numCache>
                <c:formatCode>#,##0</c:formatCode>
                <c:ptCount val="3"/>
                <c:pt idx="0">
                  <c:v>1</c:v>
                </c:pt>
                <c:pt idx="1">
                  <c:v>7</c:v>
                </c:pt>
                <c:pt idx="2">
                  <c:v>11</c:v>
                </c:pt>
              </c:numCache>
            </c:numRef>
          </c:val>
          <c:extLst>
            <c:ext xmlns:c16="http://schemas.microsoft.com/office/drawing/2014/chart" uri="{C3380CC4-5D6E-409C-BE32-E72D297353CC}">
              <c16:uniqueId val="{00000006-BDA5-444E-9363-0C1187DD2866}"/>
            </c:ext>
          </c:extLst>
        </c:ser>
        <c:dLbls>
          <c:showLegendKey val="0"/>
          <c:showVal val="0"/>
          <c:showCatName val="0"/>
          <c:showSerName val="0"/>
          <c:showPercent val="1"/>
          <c:showBubbleSize val="0"/>
          <c:showLeaderLines val="1"/>
        </c:dLbls>
        <c:firstSliceAng val="0"/>
        <c:holeSize val="60"/>
      </c:doughnutChart>
      <c:spPr>
        <a:noFill/>
        <a:ln>
          <a:noFill/>
        </a:ln>
        <a:effectLst/>
      </c:spPr>
    </c:plotArea>
    <c:legend>
      <c:legendPos val="b"/>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Arial Narrow" panose="020B0606020202030204" pitchFamily="34" charset="0"/>
              <a:ea typeface="+mn-ea"/>
              <a:cs typeface="+mn-cs"/>
            </a:defRPr>
          </a:pPr>
          <a:endParaRPr lang="pt-BR"/>
        </a:p>
      </c:txPr>
    </c:legend>
    <c:plotVisOnly val="1"/>
    <c:dispBlanksAs val="gap"/>
    <c:showDLblsOverMax val="0"/>
  </c:chart>
  <c:spPr>
    <a:solidFill>
      <a:schemeClr val="bg1"/>
    </a:solidFill>
    <a:ln w="9525" cap="flat" cmpd="sng" algn="ctr">
      <a:noFill/>
      <a:round/>
    </a:ln>
    <a:effectLst/>
  </c:spPr>
  <c:txPr>
    <a:bodyPr/>
    <a:lstStyle/>
    <a:p>
      <a:pPr>
        <a:defRPr>
          <a:latin typeface="Arial Narrow" panose="020B0606020202030204" pitchFamily="34" charset="0"/>
        </a:defRPr>
      </a:pPr>
      <a:endParaRPr lang="pt-BR"/>
    </a:p>
  </c:txPr>
  <c:printSettings>
    <c:headerFooter/>
    <c:pageMargins b="0.78740157499999996" l="0.511811024" r="0.511811024" t="0.78740157499999996" header="0.31496062000000002" footer="0.31496062000000002"/>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8"/>
    </mc:Choice>
    <mc:Fallback>
      <c:style val="8"/>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200" b="0" i="0" u="none" strike="noStrike" kern="1200" cap="none" spc="20" baseline="0">
                <a:solidFill>
                  <a:schemeClr val="bg2">
                    <a:lumMod val="25000"/>
                  </a:schemeClr>
                </a:solidFill>
                <a:latin typeface="Arial Narrow" panose="020B0606020202030204" pitchFamily="34" charset="0"/>
                <a:ea typeface="+mn-ea"/>
                <a:cs typeface="+mn-cs"/>
              </a:defRPr>
            </a:pPr>
            <a:r>
              <a:rPr lang="pt-BR" sz="1200"/>
              <a:t>Tempo</a:t>
            </a:r>
            <a:r>
              <a:rPr lang="pt-BR" sz="1200" baseline="0"/>
              <a:t> de formado até entrar no Mercado de Trabalho</a:t>
            </a:r>
            <a:endParaRPr lang="pt-BR" sz="1200"/>
          </a:p>
        </c:rich>
      </c:tx>
      <c:layout/>
      <c:overlay val="0"/>
      <c:spPr>
        <a:noFill/>
        <a:ln>
          <a:noFill/>
        </a:ln>
        <a:effectLst/>
      </c:spPr>
      <c:txPr>
        <a:bodyPr rot="0" spcFirstLastPara="1" vertOverflow="ellipsis" vert="horz" wrap="square" anchor="ctr" anchorCtr="1"/>
        <a:lstStyle/>
        <a:p>
          <a:pPr>
            <a:defRPr sz="1200" b="0" i="0" u="none" strike="noStrike" kern="1200" cap="none" spc="20" baseline="0">
              <a:solidFill>
                <a:schemeClr val="bg2">
                  <a:lumMod val="25000"/>
                </a:schemeClr>
              </a:solidFill>
              <a:latin typeface="Arial Narrow" panose="020B0606020202030204" pitchFamily="34" charset="0"/>
              <a:ea typeface="+mn-ea"/>
              <a:cs typeface="+mn-cs"/>
            </a:defRPr>
          </a:pPr>
          <a:endParaRPr lang="pt-BR"/>
        </a:p>
      </c:txPr>
    </c:title>
    <c:autoTitleDeleted val="0"/>
    <c:plotArea>
      <c:layout/>
      <c:barChart>
        <c:barDir val="col"/>
        <c:grouping val="clustered"/>
        <c:varyColors val="0"/>
        <c:ser>
          <c:idx val="0"/>
          <c:order val="0"/>
          <c:tx>
            <c:strRef>
              <c:f>TransEstTrab!$P$8</c:f>
              <c:strCache>
                <c:ptCount val="1"/>
                <c:pt idx="0">
                  <c:v>%</c:v>
                </c:pt>
              </c:strCache>
            </c:strRef>
          </c:tx>
          <c:spPr>
            <a:gradFill rotWithShape="1">
              <a:gsLst>
                <a:gs pos="0">
                  <a:schemeClr val="accent6">
                    <a:tint val="77000"/>
                    <a:lumMod val="110000"/>
                    <a:satMod val="105000"/>
                    <a:tint val="67000"/>
                  </a:schemeClr>
                </a:gs>
                <a:gs pos="50000">
                  <a:schemeClr val="accent6">
                    <a:tint val="77000"/>
                    <a:lumMod val="105000"/>
                    <a:satMod val="103000"/>
                    <a:tint val="73000"/>
                  </a:schemeClr>
                </a:gs>
                <a:gs pos="100000">
                  <a:schemeClr val="accent6">
                    <a:tint val="77000"/>
                    <a:lumMod val="105000"/>
                    <a:satMod val="109000"/>
                    <a:tint val="81000"/>
                  </a:schemeClr>
                </a:gs>
              </a:gsLst>
              <a:lin ang="5400000" scaled="0"/>
            </a:gradFill>
            <a:ln w="9525" cap="flat" cmpd="sng" algn="ctr">
              <a:solidFill>
                <a:schemeClr val="accent6">
                  <a:tint val="77000"/>
                  <a:shade val="95000"/>
                </a:schemeClr>
              </a:solidFill>
              <a:round/>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bg2">
                        <a:lumMod val="25000"/>
                      </a:schemeClr>
                    </a:solidFill>
                    <a:latin typeface="Arial Narrow" panose="020B0606020202030204" pitchFamily="34" charset="0"/>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strRef>
              <c:f>TransEstTrab!$N$9:$N$12</c:f>
              <c:strCache>
                <c:ptCount val="4"/>
                <c:pt idx="0">
                  <c:v>Até 6 meses</c:v>
                </c:pt>
                <c:pt idx="1">
                  <c:v>De 6 meses a 1 ano</c:v>
                </c:pt>
                <c:pt idx="2">
                  <c:v>De 1 a 2 anos</c:v>
                </c:pt>
                <c:pt idx="3">
                  <c:v>Mais de 2 anos</c:v>
                </c:pt>
              </c:strCache>
            </c:strRef>
          </c:cat>
          <c:val>
            <c:numRef>
              <c:f>TransEstTrab!$P$9:$P$12</c:f>
              <c:numCache>
                <c:formatCode>0.0%</c:formatCode>
                <c:ptCount val="4"/>
                <c:pt idx="0">
                  <c:v>0.52</c:v>
                </c:pt>
                <c:pt idx="1">
                  <c:v>0.28000000000000003</c:v>
                </c:pt>
                <c:pt idx="2">
                  <c:v>0.15</c:v>
                </c:pt>
                <c:pt idx="3">
                  <c:v>0.05</c:v>
                </c:pt>
              </c:numCache>
            </c:numRef>
          </c:val>
          <c:extLst>
            <c:ext xmlns:c16="http://schemas.microsoft.com/office/drawing/2014/chart" uri="{C3380CC4-5D6E-409C-BE32-E72D297353CC}">
              <c16:uniqueId val="{00000000-310B-450D-BFDC-037443F6024B}"/>
            </c:ext>
          </c:extLst>
        </c:ser>
        <c:dLbls>
          <c:showLegendKey val="0"/>
          <c:showVal val="0"/>
          <c:showCatName val="0"/>
          <c:showSerName val="0"/>
          <c:showPercent val="0"/>
          <c:showBubbleSize val="0"/>
        </c:dLbls>
        <c:gapWidth val="219"/>
        <c:axId val="404941552"/>
        <c:axId val="404940376"/>
      </c:barChart>
      <c:valAx>
        <c:axId val="404940376"/>
        <c:scaling>
          <c:orientation val="minMax"/>
        </c:scaling>
        <c:delete val="0"/>
        <c:axPos val="l"/>
        <c:numFmt formatCode="0.0%"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bg2">
                    <a:lumMod val="25000"/>
                  </a:schemeClr>
                </a:solidFill>
                <a:latin typeface="Arial Narrow" panose="020B0606020202030204" pitchFamily="34" charset="0"/>
                <a:ea typeface="+mn-ea"/>
                <a:cs typeface="+mn-cs"/>
              </a:defRPr>
            </a:pPr>
            <a:endParaRPr lang="pt-BR"/>
          </a:p>
        </c:txPr>
        <c:crossAx val="404941552"/>
        <c:crosses val="autoZero"/>
        <c:crossBetween val="between"/>
      </c:valAx>
      <c:catAx>
        <c:axId val="4049415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bg2">
                    <a:lumMod val="25000"/>
                  </a:schemeClr>
                </a:solidFill>
                <a:latin typeface="Arial Narrow" panose="020B0606020202030204" pitchFamily="34" charset="0"/>
                <a:ea typeface="+mn-ea"/>
                <a:cs typeface="+mn-cs"/>
              </a:defRPr>
            </a:pPr>
            <a:endParaRPr lang="pt-BR"/>
          </a:p>
        </c:txPr>
        <c:crossAx val="404940376"/>
        <c:crosses val="autoZero"/>
        <c:auto val="1"/>
        <c:lblAlgn val="ctr"/>
        <c:lblOffset val="100"/>
        <c:noMultiLvlLbl val="0"/>
      </c:cat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solidFill>
            <a:schemeClr val="bg2">
              <a:lumMod val="25000"/>
            </a:schemeClr>
          </a:solidFill>
          <a:latin typeface="Arial Narrow" panose="020B0606020202030204" pitchFamily="34" charset="0"/>
        </a:defRPr>
      </a:pPr>
      <a:endParaRPr lang="pt-BR"/>
    </a:p>
  </c:txPr>
  <c:printSettings>
    <c:headerFooter/>
    <c:pageMargins b="0.78740157499999996" l="0.511811024" r="0.511811024" t="0.78740157499999996" header="0.31496062000000002" footer="0.31496062000000002"/>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8"/>
    </mc:Choice>
    <mc:Fallback>
      <c:style val="8"/>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200" b="0" i="0" u="none" strike="noStrike" kern="1200" cap="none" spc="20" baseline="0">
                <a:solidFill>
                  <a:schemeClr val="bg2">
                    <a:lumMod val="25000"/>
                  </a:schemeClr>
                </a:solidFill>
                <a:latin typeface="Arial Narrow" panose="020B0606020202030204" pitchFamily="34" charset="0"/>
                <a:ea typeface="+mn-ea"/>
                <a:cs typeface="+mn-cs"/>
              </a:defRPr>
            </a:pPr>
            <a:r>
              <a:rPr lang="pt-BR" sz="1200"/>
              <a:t>Tempo de formado até entrar no Mercado de Trabalho</a:t>
            </a:r>
          </a:p>
        </c:rich>
      </c:tx>
      <c:layout/>
      <c:overlay val="0"/>
      <c:spPr>
        <a:noFill/>
        <a:ln>
          <a:noFill/>
        </a:ln>
        <a:effectLst/>
      </c:spPr>
      <c:txPr>
        <a:bodyPr rot="0" spcFirstLastPara="1" vertOverflow="ellipsis" vert="horz" wrap="square" anchor="ctr" anchorCtr="1"/>
        <a:lstStyle/>
        <a:p>
          <a:pPr>
            <a:defRPr sz="1200" b="0" i="0" u="none" strike="noStrike" kern="1200" cap="none" spc="20" baseline="0">
              <a:solidFill>
                <a:schemeClr val="bg2">
                  <a:lumMod val="25000"/>
                </a:schemeClr>
              </a:solidFill>
              <a:latin typeface="Arial Narrow" panose="020B0606020202030204" pitchFamily="34" charset="0"/>
              <a:ea typeface="+mn-ea"/>
              <a:cs typeface="+mn-cs"/>
            </a:defRPr>
          </a:pPr>
          <a:endParaRPr lang="pt-BR"/>
        </a:p>
      </c:txPr>
    </c:title>
    <c:autoTitleDeleted val="0"/>
    <c:plotArea>
      <c:layout/>
      <c:barChart>
        <c:barDir val="col"/>
        <c:grouping val="clustered"/>
        <c:varyColors val="0"/>
        <c:ser>
          <c:idx val="0"/>
          <c:order val="0"/>
          <c:tx>
            <c:strRef>
              <c:f>TransEstTrab!$P$31</c:f>
              <c:strCache>
                <c:ptCount val="1"/>
                <c:pt idx="0">
                  <c:v>%</c:v>
                </c:pt>
              </c:strCache>
            </c:strRef>
          </c:tx>
          <c:spPr>
            <a:solidFill>
              <a:srgbClr val="4472C4">
                <a:lumMod val="40000"/>
                <a:lumOff val="60000"/>
              </a:srgbClr>
            </a:solidFill>
            <a:ln w="9525" cap="flat" cmpd="sng" algn="ctr">
              <a:solidFill>
                <a:srgbClr val="4472C4">
                  <a:lumMod val="50000"/>
                </a:srgbClr>
              </a:solidFill>
              <a:round/>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bg2">
                        <a:lumMod val="25000"/>
                      </a:schemeClr>
                    </a:solidFill>
                    <a:latin typeface="Arial Narrow" panose="020B0606020202030204" pitchFamily="34" charset="0"/>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strRef>
              <c:f>TransEstTrab!$N$32:$N$35</c:f>
              <c:strCache>
                <c:ptCount val="4"/>
                <c:pt idx="0">
                  <c:v>Até 6 meses</c:v>
                </c:pt>
                <c:pt idx="1">
                  <c:v>De 6 meses a 1 ano</c:v>
                </c:pt>
                <c:pt idx="2">
                  <c:v>De 1 a 2 anos</c:v>
                </c:pt>
                <c:pt idx="3">
                  <c:v>Mais de 2 anos</c:v>
                </c:pt>
              </c:strCache>
            </c:strRef>
          </c:cat>
          <c:val>
            <c:numRef>
              <c:f>TransEstTrab!$P$32:$P$35</c:f>
              <c:numCache>
                <c:formatCode>0.0%</c:formatCode>
                <c:ptCount val="4"/>
                <c:pt idx="0">
                  <c:v>0.75</c:v>
                </c:pt>
                <c:pt idx="1">
                  <c:v>0.16666666666666666</c:v>
                </c:pt>
                <c:pt idx="2">
                  <c:v>8.3333333333333329E-2</c:v>
                </c:pt>
                <c:pt idx="3">
                  <c:v>0</c:v>
                </c:pt>
              </c:numCache>
            </c:numRef>
          </c:val>
          <c:extLst>
            <c:ext xmlns:c16="http://schemas.microsoft.com/office/drawing/2014/chart" uri="{C3380CC4-5D6E-409C-BE32-E72D297353CC}">
              <c16:uniqueId val="{00000000-6149-411D-861E-8331FB9D0BD2}"/>
            </c:ext>
          </c:extLst>
        </c:ser>
        <c:dLbls>
          <c:showLegendKey val="0"/>
          <c:showVal val="0"/>
          <c:showCatName val="0"/>
          <c:showSerName val="0"/>
          <c:showPercent val="0"/>
          <c:showBubbleSize val="0"/>
        </c:dLbls>
        <c:gapWidth val="219"/>
        <c:axId val="404943512"/>
        <c:axId val="404942728"/>
      </c:barChart>
      <c:valAx>
        <c:axId val="404942728"/>
        <c:scaling>
          <c:orientation val="minMax"/>
        </c:scaling>
        <c:delete val="0"/>
        <c:axPos val="l"/>
        <c:numFmt formatCode="0.0%"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bg2">
                    <a:lumMod val="25000"/>
                  </a:schemeClr>
                </a:solidFill>
                <a:latin typeface="Arial Narrow" panose="020B0606020202030204" pitchFamily="34" charset="0"/>
                <a:ea typeface="+mn-ea"/>
                <a:cs typeface="+mn-cs"/>
              </a:defRPr>
            </a:pPr>
            <a:endParaRPr lang="pt-BR"/>
          </a:p>
        </c:txPr>
        <c:crossAx val="404943512"/>
        <c:crosses val="autoZero"/>
        <c:crossBetween val="between"/>
      </c:valAx>
      <c:catAx>
        <c:axId val="4049435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bg2">
                    <a:lumMod val="25000"/>
                  </a:schemeClr>
                </a:solidFill>
                <a:latin typeface="Arial Narrow" panose="020B0606020202030204" pitchFamily="34" charset="0"/>
                <a:ea typeface="+mn-ea"/>
                <a:cs typeface="+mn-cs"/>
              </a:defRPr>
            </a:pPr>
            <a:endParaRPr lang="pt-BR"/>
          </a:p>
        </c:txPr>
        <c:crossAx val="404942728"/>
        <c:crosses val="autoZero"/>
        <c:auto val="1"/>
        <c:lblAlgn val="ctr"/>
        <c:lblOffset val="100"/>
        <c:noMultiLvlLbl val="0"/>
      </c:cat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solidFill>
            <a:schemeClr val="bg2">
              <a:lumMod val="25000"/>
            </a:schemeClr>
          </a:solidFill>
          <a:latin typeface="Arial Narrow" panose="020B0606020202030204" pitchFamily="34" charset="0"/>
        </a:defRPr>
      </a:pPr>
      <a:endParaRPr lang="pt-BR"/>
    </a:p>
  </c:txPr>
  <c:printSettings>
    <c:headerFooter/>
    <c:pageMargins b="0.78740157499999996" l="0.511811024" r="0.511811024" t="0.78740157499999996" header="0.31496062000000002" footer="0.31496062000000002"/>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8"/>
    </mc:Choice>
    <mc:Fallback>
      <c:style val="8"/>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200" b="0" i="0" u="none" strike="noStrike" kern="1200" cap="none" spc="20" baseline="0">
                <a:solidFill>
                  <a:schemeClr val="bg2">
                    <a:lumMod val="25000"/>
                  </a:schemeClr>
                </a:solidFill>
                <a:latin typeface="Arial Narrow" panose="020B0606020202030204" pitchFamily="34" charset="0"/>
                <a:ea typeface="+mn-ea"/>
                <a:cs typeface="+mn-cs"/>
              </a:defRPr>
            </a:pPr>
            <a:r>
              <a:rPr lang="pt-BR" sz="1200"/>
              <a:t>Tempo</a:t>
            </a:r>
            <a:r>
              <a:rPr lang="pt-BR" sz="1200" baseline="0"/>
              <a:t> em que começaram a procurar por um emprego</a:t>
            </a:r>
            <a:endParaRPr lang="pt-BR" sz="1200"/>
          </a:p>
        </c:rich>
      </c:tx>
      <c:layout/>
      <c:overlay val="0"/>
      <c:spPr>
        <a:noFill/>
        <a:ln>
          <a:noFill/>
        </a:ln>
        <a:effectLst/>
      </c:spPr>
      <c:txPr>
        <a:bodyPr rot="0" spcFirstLastPara="1" vertOverflow="ellipsis" vert="horz" wrap="square" anchor="ctr" anchorCtr="1"/>
        <a:lstStyle/>
        <a:p>
          <a:pPr>
            <a:defRPr sz="1200" b="0" i="0" u="none" strike="noStrike" kern="1200" cap="none" spc="20" baseline="0">
              <a:solidFill>
                <a:schemeClr val="bg2">
                  <a:lumMod val="25000"/>
                </a:schemeClr>
              </a:solidFill>
              <a:latin typeface="Arial Narrow" panose="020B0606020202030204" pitchFamily="34" charset="0"/>
              <a:ea typeface="+mn-ea"/>
              <a:cs typeface="+mn-cs"/>
            </a:defRPr>
          </a:pPr>
          <a:endParaRPr lang="pt-BR"/>
        </a:p>
      </c:txPr>
    </c:title>
    <c:autoTitleDeleted val="0"/>
    <c:plotArea>
      <c:layout/>
      <c:barChart>
        <c:barDir val="col"/>
        <c:grouping val="clustered"/>
        <c:varyColors val="0"/>
        <c:ser>
          <c:idx val="0"/>
          <c:order val="0"/>
          <c:tx>
            <c:strRef>
              <c:f>TransEstTrab!$U$8</c:f>
              <c:strCache>
                <c:ptCount val="1"/>
                <c:pt idx="0">
                  <c:v>%</c:v>
                </c:pt>
              </c:strCache>
            </c:strRef>
          </c:tx>
          <c:spPr>
            <a:gradFill rotWithShape="1">
              <a:gsLst>
                <a:gs pos="0">
                  <a:schemeClr val="accent6">
                    <a:tint val="77000"/>
                    <a:lumMod val="110000"/>
                    <a:satMod val="105000"/>
                    <a:tint val="67000"/>
                  </a:schemeClr>
                </a:gs>
                <a:gs pos="50000">
                  <a:schemeClr val="accent6">
                    <a:tint val="77000"/>
                    <a:lumMod val="105000"/>
                    <a:satMod val="103000"/>
                    <a:tint val="73000"/>
                  </a:schemeClr>
                </a:gs>
                <a:gs pos="100000">
                  <a:schemeClr val="accent6">
                    <a:tint val="77000"/>
                    <a:lumMod val="105000"/>
                    <a:satMod val="109000"/>
                    <a:tint val="81000"/>
                  </a:schemeClr>
                </a:gs>
              </a:gsLst>
              <a:lin ang="5400000" scaled="0"/>
            </a:gradFill>
            <a:ln w="9525" cap="flat" cmpd="sng" algn="ctr">
              <a:solidFill>
                <a:schemeClr val="accent6">
                  <a:tint val="77000"/>
                  <a:shade val="95000"/>
                </a:schemeClr>
              </a:solidFill>
              <a:round/>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bg2">
                        <a:lumMod val="25000"/>
                      </a:schemeClr>
                    </a:solidFill>
                    <a:latin typeface="Arial Narrow" panose="020B0606020202030204" pitchFamily="34" charset="0"/>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strRef>
              <c:f>TransEstTrab!$S$9:$S$12</c:f>
              <c:strCache>
                <c:ptCount val="4"/>
                <c:pt idx="0">
                  <c:v>Mais de um ano antes de concluir a graduação</c:v>
                </c:pt>
                <c:pt idx="1">
                  <c:v>No último ano da graduação</c:v>
                </c:pt>
                <c:pt idx="2">
                  <c:v>Após concluir a graduação</c:v>
                </c:pt>
                <c:pt idx="3">
                  <c:v>Comecei a trabalhar sem estar procurando na época</c:v>
                </c:pt>
              </c:strCache>
            </c:strRef>
          </c:cat>
          <c:val>
            <c:numRef>
              <c:f>TransEstTrab!$U$9:$U$12</c:f>
              <c:numCache>
                <c:formatCode>0.0%</c:formatCode>
                <c:ptCount val="4"/>
                <c:pt idx="0">
                  <c:v>0.24</c:v>
                </c:pt>
                <c:pt idx="1">
                  <c:v>0.25</c:v>
                </c:pt>
                <c:pt idx="2">
                  <c:v>0.35</c:v>
                </c:pt>
                <c:pt idx="3">
                  <c:v>0.16</c:v>
                </c:pt>
              </c:numCache>
            </c:numRef>
          </c:val>
          <c:extLst>
            <c:ext xmlns:c16="http://schemas.microsoft.com/office/drawing/2014/chart" uri="{C3380CC4-5D6E-409C-BE32-E72D297353CC}">
              <c16:uniqueId val="{00000000-6A05-40D6-AB91-DA46DB6BC9A6}"/>
            </c:ext>
          </c:extLst>
        </c:ser>
        <c:dLbls>
          <c:showLegendKey val="0"/>
          <c:showVal val="0"/>
          <c:showCatName val="0"/>
          <c:showSerName val="0"/>
          <c:showPercent val="0"/>
          <c:showBubbleSize val="0"/>
        </c:dLbls>
        <c:gapWidth val="219"/>
        <c:axId val="404937240"/>
        <c:axId val="404936848"/>
      </c:barChart>
      <c:valAx>
        <c:axId val="404936848"/>
        <c:scaling>
          <c:orientation val="minMax"/>
        </c:scaling>
        <c:delete val="0"/>
        <c:axPos val="l"/>
        <c:numFmt formatCode="0.0%"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bg2">
                    <a:lumMod val="25000"/>
                  </a:schemeClr>
                </a:solidFill>
                <a:latin typeface="Arial Narrow" panose="020B0606020202030204" pitchFamily="34" charset="0"/>
                <a:ea typeface="+mn-ea"/>
                <a:cs typeface="+mn-cs"/>
              </a:defRPr>
            </a:pPr>
            <a:endParaRPr lang="pt-BR"/>
          </a:p>
        </c:txPr>
        <c:crossAx val="404937240"/>
        <c:crosses val="autoZero"/>
        <c:crossBetween val="between"/>
      </c:valAx>
      <c:catAx>
        <c:axId val="4049372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bg2">
                    <a:lumMod val="25000"/>
                  </a:schemeClr>
                </a:solidFill>
                <a:latin typeface="Arial Narrow" panose="020B0606020202030204" pitchFamily="34" charset="0"/>
                <a:ea typeface="+mn-ea"/>
                <a:cs typeface="+mn-cs"/>
              </a:defRPr>
            </a:pPr>
            <a:endParaRPr lang="pt-BR"/>
          </a:p>
        </c:txPr>
        <c:crossAx val="404936848"/>
        <c:crosses val="autoZero"/>
        <c:auto val="1"/>
        <c:lblAlgn val="ctr"/>
        <c:lblOffset val="100"/>
        <c:noMultiLvlLbl val="0"/>
      </c:cat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solidFill>
            <a:schemeClr val="bg2">
              <a:lumMod val="25000"/>
            </a:schemeClr>
          </a:solidFill>
          <a:latin typeface="Arial Narrow" panose="020B0606020202030204" pitchFamily="34" charset="0"/>
        </a:defRPr>
      </a:pPr>
      <a:endParaRPr lang="pt-BR"/>
    </a:p>
  </c:txPr>
  <c:printSettings>
    <c:headerFooter/>
    <c:pageMargins b="0.78740157499999996" l="0.511811024" r="0.511811024" t="0.78740157499999996" header="0.31496062000000002" footer="0.3149606200000000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8"/>
    </mc:Choice>
    <mc:Fallback>
      <c:style val="8"/>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200" b="0" i="0" u="none" strike="noStrike" kern="1200" cap="none" spc="20" baseline="0">
                <a:solidFill>
                  <a:schemeClr val="bg2">
                    <a:lumMod val="25000"/>
                  </a:schemeClr>
                </a:solidFill>
                <a:latin typeface="Arial Narrow" panose="020B0606020202030204" pitchFamily="34" charset="0"/>
                <a:ea typeface="+mn-ea"/>
                <a:cs typeface="+mn-cs"/>
              </a:defRPr>
            </a:pPr>
            <a:r>
              <a:rPr lang="pt-BR" sz="1200"/>
              <a:t>Egressos</a:t>
            </a:r>
            <a:r>
              <a:rPr lang="pt-BR" sz="1200" baseline="0"/>
              <a:t> participantes - por curso</a:t>
            </a:r>
            <a:endParaRPr lang="pt-BR" sz="1200"/>
          </a:p>
        </c:rich>
      </c:tx>
      <c:layout/>
      <c:overlay val="0"/>
      <c:spPr>
        <a:noFill/>
        <a:ln>
          <a:noFill/>
        </a:ln>
        <a:effectLst/>
      </c:spPr>
      <c:txPr>
        <a:bodyPr rot="0" spcFirstLastPara="1" vertOverflow="ellipsis" vert="horz" wrap="square" anchor="ctr" anchorCtr="1"/>
        <a:lstStyle/>
        <a:p>
          <a:pPr>
            <a:defRPr sz="1200" b="0" i="0" u="none" strike="noStrike" kern="1200" cap="none" spc="20" baseline="0">
              <a:solidFill>
                <a:schemeClr val="bg2">
                  <a:lumMod val="25000"/>
                </a:schemeClr>
              </a:solidFill>
              <a:latin typeface="Arial Narrow" panose="020B0606020202030204" pitchFamily="34" charset="0"/>
              <a:ea typeface="+mn-ea"/>
              <a:cs typeface="+mn-cs"/>
            </a:defRPr>
          </a:pPr>
          <a:endParaRPr lang="pt-BR"/>
        </a:p>
      </c:txPr>
    </c:title>
    <c:autoTitleDeleted val="0"/>
    <c:plotArea>
      <c:layout/>
      <c:barChart>
        <c:barDir val="col"/>
        <c:grouping val="clustered"/>
        <c:varyColors val="0"/>
        <c:ser>
          <c:idx val="0"/>
          <c:order val="0"/>
          <c:tx>
            <c:strRef>
              <c:f>CaractAmostra!$F$8</c:f>
              <c:strCache>
                <c:ptCount val="1"/>
                <c:pt idx="0">
                  <c:v>Egressos Participantes</c:v>
                </c:pt>
              </c:strCache>
            </c:strRef>
          </c:tx>
          <c:spPr>
            <a:gradFill rotWithShape="1">
              <a:gsLst>
                <a:gs pos="0">
                  <a:schemeClr val="accent6">
                    <a:tint val="77000"/>
                    <a:lumMod val="110000"/>
                    <a:satMod val="105000"/>
                    <a:tint val="67000"/>
                  </a:schemeClr>
                </a:gs>
                <a:gs pos="50000">
                  <a:schemeClr val="accent6">
                    <a:tint val="77000"/>
                    <a:lumMod val="105000"/>
                    <a:satMod val="103000"/>
                    <a:tint val="73000"/>
                  </a:schemeClr>
                </a:gs>
                <a:gs pos="100000">
                  <a:schemeClr val="accent6">
                    <a:tint val="77000"/>
                    <a:lumMod val="105000"/>
                    <a:satMod val="109000"/>
                    <a:tint val="81000"/>
                  </a:schemeClr>
                </a:gs>
              </a:gsLst>
              <a:lin ang="5400000" scaled="0"/>
            </a:gradFill>
            <a:ln w="9525" cap="flat" cmpd="sng" algn="ctr">
              <a:solidFill>
                <a:schemeClr val="accent6">
                  <a:tint val="77000"/>
                  <a:shade val="95000"/>
                </a:schemeClr>
              </a:solidFill>
              <a:round/>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bg2">
                        <a:lumMod val="25000"/>
                      </a:schemeClr>
                    </a:solidFill>
                    <a:latin typeface="Arial Narrow" panose="020B0606020202030204" pitchFamily="34" charset="0"/>
                    <a:ea typeface="+mn-ea"/>
                    <a:cs typeface="+mn-cs"/>
                  </a:defRPr>
                </a:pPr>
                <a:endParaRPr lang="pt-BR"/>
              </a:p>
            </c:txPr>
            <c:dLblPos val="inBase"/>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strRef>
              <c:f>CaractAmostra!$E$9:$E$20</c:f>
              <c:strCache>
                <c:ptCount val="12"/>
                <c:pt idx="0">
                  <c:v>Licenciatura em Física</c:v>
                </c:pt>
                <c:pt idx="1">
                  <c:v>Bacharelado em Sistemas de Informação</c:v>
                </c:pt>
                <c:pt idx="2">
                  <c:v>Tecnologia em Automação Industrial</c:v>
                </c:pt>
                <c:pt idx="3">
                  <c:v>Tecnologia em Logística</c:v>
                </c:pt>
                <c:pt idx="4">
                  <c:v>Tecnologia em Agroecologia</c:v>
                </c:pt>
                <c:pt idx="5">
                  <c:v>Tecnologia em Saneamento Ambiental</c:v>
                </c:pt>
                <c:pt idx="6">
                  <c:v>Bacharelado em Engenharia Civil</c:v>
                </c:pt>
                <c:pt idx="7">
                  <c:v>Licenciatura em Química</c:v>
                </c:pt>
                <c:pt idx="8">
                  <c:v>Licenciatura em Matemática</c:v>
                </c:pt>
                <c:pt idx="9">
                  <c:v>Tecnologia em Laticínios</c:v>
                </c:pt>
                <c:pt idx="10">
                  <c:v>Tecnologia em Gestão de Turismo</c:v>
                </c:pt>
                <c:pt idx="11">
                  <c:v>Tecnologia em Alimentos</c:v>
                </c:pt>
              </c:strCache>
            </c:strRef>
          </c:cat>
          <c:val>
            <c:numRef>
              <c:f>CaractAmostra!$F$9:$F$20</c:f>
              <c:numCache>
                <c:formatCode>#,##0</c:formatCode>
                <c:ptCount val="12"/>
                <c:pt idx="0">
                  <c:v>8</c:v>
                </c:pt>
                <c:pt idx="1">
                  <c:v>19</c:v>
                </c:pt>
                <c:pt idx="2">
                  <c:v>17</c:v>
                </c:pt>
                <c:pt idx="3">
                  <c:v>17</c:v>
                </c:pt>
                <c:pt idx="4">
                  <c:v>16</c:v>
                </c:pt>
                <c:pt idx="5">
                  <c:v>45</c:v>
                </c:pt>
                <c:pt idx="6">
                  <c:v>48</c:v>
                </c:pt>
                <c:pt idx="7">
                  <c:v>28</c:v>
                </c:pt>
                <c:pt idx="8">
                  <c:v>22</c:v>
                </c:pt>
                <c:pt idx="9">
                  <c:v>13</c:v>
                </c:pt>
                <c:pt idx="10">
                  <c:v>35</c:v>
                </c:pt>
                <c:pt idx="11">
                  <c:v>3</c:v>
                </c:pt>
              </c:numCache>
            </c:numRef>
          </c:val>
          <c:extLst>
            <c:ext xmlns:c16="http://schemas.microsoft.com/office/drawing/2014/chart" uri="{C3380CC4-5D6E-409C-BE32-E72D297353CC}">
              <c16:uniqueId val="{00000000-75E1-41B0-BC5E-58160614DDB2}"/>
            </c:ext>
          </c:extLst>
        </c:ser>
        <c:dLbls>
          <c:showLegendKey val="0"/>
          <c:showVal val="0"/>
          <c:showCatName val="0"/>
          <c:showSerName val="0"/>
          <c:showPercent val="0"/>
          <c:showBubbleSize val="0"/>
        </c:dLbls>
        <c:gapWidth val="120"/>
        <c:axId val="401206880"/>
        <c:axId val="401206096"/>
      </c:barChart>
      <c:lineChart>
        <c:grouping val="standard"/>
        <c:varyColors val="0"/>
        <c:ser>
          <c:idx val="1"/>
          <c:order val="1"/>
          <c:tx>
            <c:strRef>
              <c:f>CaractAmostra!$H$8</c:f>
              <c:strCache>
                <c:ptCount val="1"/>
                <c:pt idx="0">
                  <c:v>%</c:v>
                </c:pt>
              </c:strCache>
            </c:strRef>
          </c:tx>
          <c:spPr>
            <a:ln w="15875" cap="rnd">
              <a:solidFill>
                <a:schemeClr val="accent6">
                  <a:shade val="76000"/>
                </a:schemeClr>
              </a:solidFill>
              <a:round/>
            </a:ln>
            <a:effectLst/>
          </c:spPr>
          <c:marker>
            <c:symbol val="none"/>
          </c:marker>
          <c:dLbls>
            <c:spPr>
              <a:noFill/>
              <a:ln>
                <a:noFill/>
              </a:ln>
              <a:effectLst/>
            </c:spPr>
            <c:txPr>
              <a:bodyPr rot="0" spcFirstLastPara="1" vertOverflow="ellipsis" vert="horz" wrap="square" anchor="ctr" anchorCtr="1"/>
              <a:lstStyle/>
              <a:p>
                <a:pPr>
                  <a:defRPr sz="900" b="0" i="0" u="none" strike="noStrike" kern="1200" baseline="0">
                    <a:solidFill>
                      <a:schemeClr val="bg2">
                        <a:lumMod val="25000"/>
                      </a:schemeClr>
                    </a:solidFill>
                    <a:latin typeface="Arial Narrow" panose="020B0606020202030204" pitchFamily="34" charset="0"/>
                    <a:ea typeface="+mn-ea"/>
                    <a:cs typeface="+mn-cs"/>
                  </a:defRPr>
                </a:pPr>
                <a:endParaRPr lang="pt-BR"/>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strRef>
              <c:f>CaractAmostra!$E$9:$E$20</c:f>
              <c:strCache>
                <c:ptCount val="12"/>
                <c:pt idx="0">
                  <c:v>Licenciatura em Física</c:v>
                </c:pt>
                <c:pt idx="1">
                  <c:v>Bacharelado em Sistemas de Informação</c:v>
                </c:pt>
                <c:pt idx="2">
                  <c:v>Tecnologia em Automação Industrial</c:v>
                </c:pt>
                <c:pt idx="3">
                  <c:v>Tecnologia em Logística</c:v>
                </c:pt>
                <c:pt idx="4">
                  <c:v>Tecnologia em Agroecologia</c:v>
                </c:pt>
                <c:pt idx="5">
                  <c:v>Tecnologia em Saneamento Ambiental</c:v>
                </c:pt>
                <c:pt idx="6">
                  <c:v>Bacharelado em Engenharia Civil</c:v>
                </c:pt>
                <c:pt idx="7">
                  <c:v>Licenciatura em Química</c:v>
                </c:pt>
                <c:pt idx="8">
                  <c:v>Licenciatura em Matemática</c:v>
                </c:pt>
                <c:pt idx="9">
                  <c:v>Tecnologia em Laticínios</c:v>
                </c:pt>
                <c:pt idx="10">
                  <c:v>Tecnologia em Gestão de Turismo</c:v>
                </c:pt>
                <c:pt idx="11">
                  <c:v>Tecnologia em Alimentos</c:v>
                </c:pt>
              </c:strCache>
            </c:strRef>
          </c:cat>
          <c:val>
            <c:numRef>
              <c:f>CaractAmostra!$H$9:$H$20</c:f>
              <c:numCache>
                <c:formatCode>0.0%</c:formatCode>
                <c:ptCount val="12"/>
                <c:pt idx="0">
                  <c:v>0.88888888888888884</c:v>
                </c:pt>
                <c:pt idx="1">
                  <c:v>0.61290322580645162</c:v>
                </c:pt>
                <c:pt idx="2">
                  <c:v>0.56666666666666665</c:v>
                </c:pt>
                <c:pt idx="3">
                  <c:v>0.47222222222222221</c:v>
                </c:pt>
                <c:pt idx="4">
                  <c:v>0.47058823529411764</c:v>
                </c:pt>
                <c:pt idx="5">
                  <c:v>0.46875</c:v>
                </c:pt>
                <c:pt idx="6">
                  <c:v>0.43636363636363634</c:v>
                </c:pt>
                <c:pt idx="7">
                  <c:v>0.39436619718309857</c:v>
                </c:pt>
                <c:pt idx="8">
                  <c:v>0.35483870967741937</c:v>
                </c:pt>
                <c:pt idx="9">
                  <c:v>0.31707317073170732</c:v>
                </c:pt>
                <c:pt idx="10">
                  <c:v>0.25925925925925924</c:v>
                </c:pt>
                <c:pt idx="11">
                  <c:v>0.17647058823529413</c:v>
                </c:pt>
              </c:numCache>
            </c:numRef>
          </c:val>
          <c:smooth val="0"/>
          <c:extLst>
            <c:ext xmlns:c16="http://schemas.microsoft.com/office/drawing/2014/chart" uri="{C3380CC4-5D6E-409C-BE32-E72D297353CC}">
              <c16:uniqueId val="{00000001-75E1-41B0-BC5E-58160614DDB2}"/>
            </c:ext>
          </c:extLst>
        </c:ser>
        <c:dLbls>
          <c:showLegendKey val="0"/>
          <c:showVal val="0"/>
          <c:showCatName val="0"/>
          <c:showSerName val="0"/>
          <c:showPercent val="0"/>
          <c:showBubbleSize val="0"/>
        </c:dLbls>
        <c:marker val="1"/>
        <c:smooth val="0"/>
        <c:axId val="401208840"/>
        <c:axId val="401208448"/>
      </c:lineChart>
      <c:valAx>
        <c:axId val="401208448"/>
        <c:scaling>
          <c:orientation val="minMax"/>
        </c:scaling>
        <c:delete val="0"/>
        <c:axPos val="l"/>
        <c:numFmt formatCode="0.0%"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bg2">
                    <a:lumMod val="25000"/>
                  </a:schemeClr>
                </a:solidFill>
                <a:latin typeface="Arial Narrow" panose="020B0606020202030204" pitchFamily="34" charset="0"/>
                <a:ea typeface="+mn-ea"/>
                <a:cs typeface="+mn-cs"/>
              </a:defRPr>
            </a:pPr>
            <a:endParaRPr lang="pt-BR"/>
          </a:p>
        </c:txPr>
        <c:crossAx val="401208840"/>
        <c:crosses val="autoZero"/>
        <c:crossBetween val="between"/>
      </c:valAx>
      <c:catAx>
        <c:axId val="4012088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bg2">
                    <a:lumMod val="25000"/>
                  </a:schemeClr>
                </a:solidFill>
                <a:latin typeface="Arial Narrow" panose="020B0606020202030204" pitchFamily="34" charset="0"/>
                <a:ea typeface="+mn-ea"/>
                <a:cs typeface="+mn-cs"/>
              </a:defRPr>
            </a:pPr>
            <a:endParaRPr lang="pt-BR"/>
          </a:p>
        </c:txPr>
        <c:crossAx val="401208448"/>
        <c:crosses val="autoZero"/>
        <c:auto val="1"/>
        <c:lblAlgn val="ctr"/>
        <c:lblOffset val="100"/>
        <c:noMultiLvlLbl val="0"/>
      </c:catAx>
      <c:valAx>
        <c:axId val="401206096"/>
        <c:scaling>
          <c:orientation val="minMax"/>
        </c:scaling>
        <c:delete val="0"/>
        <c:axPos val="r"/>
        <c:numFmt formatCode="#,##0"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bg2">
                    <a:lumMod val="25000"/>
                  </a:schemeClr>
                </a:solidFill>
                <a:latin typeface="Arial Narrow" panose="020B0606020202030204" pitchFamily="34" charset="0"/>
                <a:ea typeface="+mn-ea"/>
                <a:cs typeface="+mn-cs"/>
              </a:defRPr>
            </a:pPr>
            <a:endParaRPr lang="pt-BR"/>
          </a:p>
        </c:txPr>
        <c:crossAx val="401206880"/>
        <c:crosses val="max"/>
        <c:crossBetween val="between"/>
      </c:valAx>
      <c:catAx>
        <c:axId val="401206880"/>
        <c:scaling>
          <c:orientation val="minMax"/>
        </c:scaling>
        <c:delete val="1"/>
        <c:axPos val="b"/>
        <c:numFmt formatCode="General" sourceLinked="1"/>
        <c:majorTickMark val="none"/>
        <c:minorTickMark val="none"/>
        <c:tickLblPos val="nextTo"/>
        <c:crossAx val="401206096"/>
        <c:crosses val="autoZero"/>
        <c:auto val="1"/>
        <c:lblAlgn val="ctr"/>
        <c:lblOffset val="100"/>
        <c:noMultiLvlLbl val="0"/>
      </c:cat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solidFill>
            <a:schemeClr val="bg2">
              <a:lumMod val="25000"/>
            </a:schemeClr>
          </a:solidFill>
          <a:latin typeface="Arial Narrow" panose="020B0606020202030204" pitchFamily="34" charset="0"/>
        </a:defRPr>
      </a:pPr>
      <a:endParaRPr lang="pt-BR"/>
    </a:p>
  </c:txPr>
  <c:printSettings>
    <c:headerFooter/>
    <c:pageMargins b="0.78740157499999996" l="0.511811024" r="0.511811024" t="0.78740157499999996" header="0.31496062000000002" footer="0.31496062000000002"/>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8"/>
    </mc:Choice>
    <mc:Fallback>
      <c:style val="8"/>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200" b="0" i="0" u="none" strike="noStrike" kern="1200" cap="none" spc="20" baseline="0">
                <a:solidFill>
                  <a:schemeClr val="bg2">
                    <a:lumMod val="25000"/>
                  </a:schemeClr>
                </a:solidFill>
                <a:latin typeface="Arial Narrow" panose="020B0606020202030204" pitchFamily="34" charset="0"/>
                <a:ea typeface="+mn-ea"/>
                <a:cs typeface="+mn-cs"/>
              </a:defRPr>
            </a:pPr>
            <a:r>
              <a:rPr lang="pt-BR" sz="1200"/>
              <a:t>Tempo em que começaram a procurar por um emprego</a:t>
            </a:r>
          </a:p>
        </c:rich>
      </c:tx>
      <c:layout/>
      <c:overlay val="0"/>
      <c:spPr>
        <a:noFill/>
        <a:ln>
          <a:noFill/>
        </a:ln>
        <a:effectLst/>
      </c:spPr>
      <c:txPr>
        <a:bodyPr rot="0" spcFirstLastPara="1" vertOverflow="ellipsis" vert="horz" wrap="square" anchor="ctr" anchorCtr="1"/>
        <a:lstStyle/>
        <a:p>
          <a:pPr>
            <a:defRPr sz="1200" b="0" i="0" u="none" strike="noStrike" kern="1200" cap="none" spc="20" baseline="0">
              <a:solidFill>
                <a:schemeClr val="bg2">
                  <a:lumMod val="25000"/>
                </a:schemeClr>
              </a:solidFill>
              <a:latin typeface="Arial Narrow" panose="020B0606020202030204" pitchFamily="34" charset="0"/>
              <a:ea typeface="+mn-ea"/>
              <a:cs typeface="+mn-cs"/>
            </a:defRPr>
          </a:pPr>
          <a:endParaRPr lang="pt-BR"/>
        </a:p>
      </c:txPr>
    </c:title>
    <c:autoTitleDeleted val="0"/>
    <c:plotArea>
      <c:layout/>
      <c:barChart>
        <c:barDir val="col"/>
        <c:grouping val="clustered"/>
        <c:varyColors val="0"/>
        <c:ser>
          <c:idx val="0"/>
          <c:order val="0"/>
          <c:tx>
            <c:strRef>
              <c:f>TransEstTrab!$U$31</c:f>
              <c:strCache>
                <c:ptCount val="1"/>
                <c:pt idx="0">
                  <c:v>%</c:v>
                </c:pt>
              </c:strCache>
            </c:strRef>
          </c:tx>
          <c:spPr>
            <a:solidFill>
              <a:srgbClr val="4472C4">
                <a:lumMod val="40000"/>
                <a:lumOff val="60000"/>
              </a:srgbClr>
            </a:solidFill>
            <a:ln w="9525" cap="flat" cmpd="sng" algn="ctr">
              <a:solidFill>
                <a:srgbClr val="4472C4">
                  <a:lumMod val="50000"/>
                </a:srgbClr>
              </a:solidFill>
              <a:round/>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bg2">
                        <a:lumMod val="25000"/>
                      </a:schemeClr>
                    </a:solidFill>
                    <a:latin typeface="Arial Narrow" panose="020B0606020202030204" pitchFamily="34" charset="0"/>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strRef>
              <c:f>TransEstTrab!$S$32:$S$35</c:f>
              <c:strCache>
                <c:ptCount val="4"/>
                <c:pt idx="0">
                  <c:v>Mais de um ano antes de concluir a graduação</c:v>
                </c:pt>
                <c:pt idx="1">
                  <c:v>No último ano da graduação</c:v>
                </c:pt>
                <c:pt idx="2">
                  <c:v>Após concluir a graduação</c:v>
                </c:pt>
                <c:pt idx="3">
                  <c:v>Comecei a trabalhar sem estar procurando na época</c:v>
                </c:pt>
              </c:strCache>
            </c:strRef>
          </c:cat>
          <c:val>
            <c:numRef>
              <c:f>TransEstTrab!$U$32:$U$35</c:f>
              <c:numCache>
                <c:formatCode>0.0%</c:formatCode>
                <c:ptCount val="4"/>
                <c:pt idx="0">
                  <c:v>0</c:v>
                </c:pt>
                <c:pt idx="1">
                  <c:v>0</c:v>
                </c:pt>
                <c:pt idx="2">
                  <c:v>0.14285714285714285</c:v>
                </c:pt>
                <c:pt idx="3">
                  <c:v>0.8571428571428571</c:v>
                </c:pt>
              </c:numCache>
            </c:numRef>
          </c:val>
          <c:extLst>
            <c:ext xmlns:c16="http://schemas.microsoft.com/office/drawing/2014/chart" uri="{C3380CC4-5D6E-409C-BE32-E72D297353CC}">
              <c16:uniqueId val="{00000000-B76E-49B8-9C9B-3FE88CAE0679}"/>
            </c:ext>
          </c:extLst>
        </c:ser>
        <c:dLbls>
          <c:showLegendKey val="0"/>
          <c:showVal val="0"/>
          <c:showCatName val="0"/>
          <c:showSerName val="0"/>
          <c:showPercent val="0"/>
          <c:showBubbleSize val="0"/>
        </c:dLbls>
        <c:gapWidth val="219"/>
        <c:axId val="408376152"/>
        <c:axId val="408382032"/>
      </c:barChart>
      <c:valAx>
        <c:axId val="408382032"/>
        <c:scaling>
          <c:orientation val="minMax"/>
        </c:scaling>
        <c:delete val="0"/>
        <c:axPos val="l"/>
        <c:numFmt formatCode="0.0%"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bg2">
                    <a:lumMod val="25000"/>
                  </a:schemeClr>
                </a:solidFill>
                <a:latin typeface="Arial Narrow" panose="020B0606020202030204" pitchFamily="34" charset="0"/>
                <a:ea typeface="+mn-ea"/>
                <a:cs typeface="+mn-cs"/>
              </a:defRPr>
            </a:pPr>
            <a:endParaRPr lang="pt-BR"/>
          </a:p>
        </c:txPr>
        <c:crossAx val="408376152"/>
        <c:crosses val="autoZero"/>
        <c:crossBetween val="between"/>
      </c:valAx>
      <c:catAx>
        <c:axId val="408376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bg2">
                    <a:lumMod val="25000"/>
                  </a:schemeClr>
                </a:solidFill>
                <a:latin typeface="Arial Narrow" panose="020B0606020202030204" pitchFamily="34" charset="0"/>
                <a:ea typeface="+mn-ea"/>
                <a:cs typeface="+mn-cs"/>
              </a:defRPr>
            </a:pPr>
            <a:endParaRPr lang="pt-BR"/>
          </a:p>
        </c:txPr>
        <c:crossAx val="408382032"/>
        <c:crosses val="autoZero"/>
        <c:auto val="1"/>
        <c:lblAlgn val="ctr"/>
        <c:lblOffset val="100"/>
        <c:noMultiLvlLbl val="0"/>
      </c:cat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solidFill>
            <a:schemeClr val="bg2">
              <a:lumMod val="25000"/>
            </a:schemeClr>
          </a:solidFill>
          <a:latin typeface="Arial Narrow" panose="020B0606020202030204" pitchFamily="34" charset="0"/>
        </a:defRPr>
      </a:pPr>
      <a:endParaRPr lang="pt-BR"/>
    </a:p>
  </c:txPr>
  <c:printSettings>
    <c:headerFooter/>
    <c:pageMargins b="0.78740157499999996" l="0.511811024" r="0.511811024" t="0.78740157499999996" header="0.31496062000000002" footer="0.31496062000000002"/>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8"/>
    </mc:Choice>
    <mc:Fallback>
      <c:style val="8"/>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200" b="0" i="0" u="none" strike="noStrike" kern="1200" cap="none" spc="20" baseline="0">
                <a:solidFill>
                  <a:schemeClr val="bg2">
                    <a:lumMod val="25000"/>
                  </a:schemeClr>
                </a:solidFill>
                <a:latin typeface="Arial Narrow" panose="020B0606020202030204" pitchFamily="34" charset="0"/>
                <a:ea typeface="+mn-ea"/>
                <a:cs typeface="+mn-cs"/>
              </a:defRPr>
            </a:pPr>
            <a:r>
              <a:rPr lang="pt-BR" sz="1200"/>
              <a:t>Canais</a:t>
            </a:r>
            <a:r>
              <a:rPr lang="pt-BR" sz="1200" baseline="0"/>
              <a:t> de acesso ao Mercado de Trabalho</a:t>
            </a:r>
            <a:endParaRPr lang="pt-BR" sz="1200"/>
          </a:p>
        </c:rich>
      </c:tx>
      <c:layout/>
      <c:overlay val="0"/>
      <c:spPr>
        <a:noFill/>
        <a:ln>
          <a:noFill/>
        </a:ln>
        <a:effectLst/>
      </c:spPr>
      <c:txPr>
        <a:bodyPr rot="0" spcFirstLastPara="1" vertOverflow="ellipsis" vert="horz" wrap="square" anchor="ctr" anchorCtr="1"/>
        <a:lstStyle/>
        <a:p>
          <a:pPr>
            <a:defRPr sz="1200" b="0" i="0" u="none" strike="noStrike" kern="1200" cap="none" spc="20" baseline="0">
              <a:solidFill>
                <a:schemeClr val="bg2">
                  <a:lumMod val="25000"/>
                </a:schemeClr>
              </a:solidFill>
              <a:latin typeface="Arial Narrow" panose="020B0606020202030204" pitchFamily="34" charset="0"/>
              <a:ea typeface="+mn-ea"/>
              <a:cs typeface="+mn-cs"/>
            </a:defRPr>
          </a:pPr>
          <a:endParaRPr lang="pt-BR"/>
        </a:p>
      </c:txPr>
    </c:title>
    <c:autoTitleDeleted val="0"/>
    <c:plotArea>
      <c:layout/>
      <c:barChart>
        <c:barDir val="col"/>
        <c:grouping val="clustered"/>
        <c:varyColors val="0"/>
        <c:ser>
          <c:idx val="0"/>
          <c:order val="0"/>
          <c:tx>
            <c:strRef>
              <c:f>TransEstTrab!$Z$8</c:f>
              <c:strCache>
                <c:ptCount val="1"/>
                <c:pt idx="0">
                  <c:v>%</c:v>
                </c:pt>
              </c:strCache>
            </c:strRef>
          </c:tx>
          <c:spPr>
            <a:gradFill rotWithShape="1">
              <a:gsLst>
                <a:gs pos="0">
                  <a:schemeClr val="accent6">
                    <a:tint val="77000"/>
                    <a:lumMod val="110000"/>
                    <a:satMod val="105000"/>
                    <a:tint val="67000"/>
                  </a:schemeClr>
                </a:gs>
                <a:gs pos="50000">
                  <a:schemeClr val="accent6">
                    <a:tint val="77000"/>
                    <a:lumMod val="105000"/>
                    <a:satMod val="103000"/>
                    <a:tint val="73000"/>
                  </a:schemeClr>
                </a:gs>
                <a:gs pos="100000">
                  <a:schemeClr val="accent6">
                    <a:tint val="77000"/>
                    <a:lumMod val="105000"/>
                    <a:satMod val="109000"/>
                    <a:tint val="81000"/>
                  </a:schemeClr>
                </a:gs>
              </a:gsLst>
              <a:lin ang="5400000" scaled="0"/>
            </a:gradFill>
            <a:ln w="9525" cap="flat" cmpd="sng" algn="ctr">
              <a:solidFill>
                <a:schemeClr val="accent6">
                  <a:tint val="77000"/>
                  <a:shade val="95000"/>
                </a:schemeClr>
              </a:solidFill>
              <a:round/>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bg2">
                        <a:lumMod val="25000"/>
                      </a:schemeClr>
                    </a:solidFill>
                    <a:latin typeface="Arial Narrow" panose="020B0606020202030204" pitchFamily="34" charset="0"/>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strRef>
              <c:f>TransEstTrab!$X$9:$X$19</c:f>
              <c:strCache>
                <c:ptCount val="11"/>
                <c:pt idx="0">
                  <c:v>Através de anúncios em jornais</c:v>
                </c:pt>
                <c:pt idx="1">
                  <c:v>Através de agência de emprego</c:v>
                </c:pt>
                <c:pt idx="2">
                  <c:v>Através de redes sociais</c:v>
                </c:pt>
                <c:pt idx="3">
                  <c:v>Tomei a iniciativa de entrar em contato com o empregador</c:v>
                </c:pt>
                <c:pt idx="4">
                  <c:v>Fui procurado pelo empregador</c:v>
                </c:pt>
                <c:pt idx="5">
                  <c:v>Através de estágio durante a graduação</c:v>
                </c:pt>
                <c:pt idx="6">
                  <c:v>Através de familiares, amigos ou conhecidos</c:v>
                </c:pt>
                <c:pt idx="7">
                  <c:v>Através da ajuda do Instituto Federal de Sergipe</c:v>
                </c:pt>
                <c:pt idx="8">
                  <c:v>Criei meu próprio negócio</c:v>
                </c:pt>
                <c:pt idx="9">
                  <c:v>Prestei concurso</c:v>
                </c:pt>
                <c:pt idx="10">
                  <c:v>Outros</c:v>
                </c:pt>
              </c:strCache>
            </c:strRef>
          </c:cat>
          <c:val>
            <c:numRef>
              <c:f>TransEstTrab!$Z$9:$Z$19</c:f>
              <c:numCache>
                <c:formatCode>0.0%</c:formatCode>
                <c:ptCount val="11"/>
                <c:pt idx="0">
                  <c:v>0.02</c:v>
                </c:pt>
                <c:pt idx="1">
                  <c:v>0.02</c:v>
                </c:pt>
                <c:pt idx="2">
                  <c:v>7.0000000000000007E-2</c:v>
                </c:pt>
                <c:pt idx="3">
                  <c:v>0.13</c:v>
                </c:pt>
                <c:pt idx="4">
                  <c:v>0.08</c:v>
                </c:pt>
                <c:pt idx="5">
                  <c:v>0.09</c:v>
                </c:pt>
                <c:pt idx="6">
                  <c:v>0.37</c:v>
                </c:pt>
                <c:pt idx="7">
                  <c:v>0.04</c:v>
                </c:pt>
                <c:pt idx="8">
                  <c:v>0.01</c:v>
                </c:pt>
                <c:pt idx="9">
                  <c:v>0.16</c:v>
                </c:pt>
                <c:pt idx="10">
                  <c:v>0.01</c:v>
                </c:pt>
              </c:numCache>
            </c:numRef>
          </c:val>
          <c:extLst>
            <c:ext xmlns:c16="http://schemas.microsoft.com/office/drawing/2014/chart" uri="{C3380CC4-5D6E-409C-BE32-E72D297353CC}">
              <c16:uniqueId val="{00000000-5539-4AA7-AB36-7D8C698EB697}"/>
            </c:ext>
          </c:extLst>
        </c:ser>
        <c:dLbls>
          <c:showLegendKey val="0"/>
          <c:showVal val="0"/>
          <c:showCatName val="0"/>
          <c:showSerName val="0"/>
          <c:showPercent val="0"/>
          <c:showBubbleSize val="0"/>
        </c:dLbls>
        <c:gapWidth val="219"/>
        <c:axId val="408375368"/>
        <c:axId val="408378112"/>
      </c:barChart>
      <c:valAx>
        <c:axId val="408378112"/>
        <c:scaling>
          <c:orientation val="minMax"/>
        </c:scaling>
        <c:delete val="0"/>
        <c:axPos val="l"/>
        <c:numFmt formatCode="0.0%"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bg2">
                    <a:lumMod val="25000"/>
                  </a:schemeClr>
                </a:solidFill>
                <a:latin typeface="Arial Narrow" panose="020B0606020202030204" pitchFamily="34" charset="0"/>
                <a:ea typeface="+mn-ea"/>
                <a:cs typeface="+mn-cs"/>
              </a:defRPr>
            </a:pPr>
            <a:endParaRPr lang="pt-BR"/>
          </a:p>
        </c:txPr>
        <c:crossAx val="408375368"/>
        <c:crosses val="autoZero"/>
        <c:crossBetween val="between"/>
      </c:valAx>
      <c:catAx>
        <c:axId val="4083753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bg2">
                    <a:lumMod val="25000"/>
                  </a:schemeClr>
                </a:solidFill>
                <a:latin typeface="Arial Narrow" panose="020B0606020202030204" pitchFamily="34" charset="0"/>
                <a:ea typeface="+mn-ea"/>
                <a:cs typeface="+mn-cs"/>
              </a:defRPr>
            </a:pPr>
            <a:endParaRPr lang="pt-BR"/>
          </a:p>
        </c:txPr>
        <c:crossAx val="408378112"/>
        <c:crosses val="autoZero"/>
        <c:auto val="1"/>
        <c:lblAlgn val="ctr"/>
        <c:lblOffset val="100"/>
        <c:noMultiLvlLbl val="0"/>
      </c:cat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solidFill>
            <a:schemeClr val="bg2">
              <a:lumMod val="25000"/>
            </a:schemeClr>
          </a:solidFill>
          <a:latin typeface="Arial Narrow" panose="020B0606020202030204" pitchFamily="34" charset="0"/>
        </a:defRPr>
      </a:pPr>
      <a:endParaRPr lang="pt-BR"/>
    </a:p>
  </c:txPr>
  <c:printSettings>
    <c:headerFooter/>
    <c:pageMargins b="0.78740157499999996" l="0.511811024" r="0.511811024" t="0.78740157499999996" header="0.31496062000000002" footer="0.31496062000000002"/>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8"/>
    </mc:Choice>
    <mc:Fallback>
      <c:style val="8"/>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200" b="0" i="0" u="none" strike="noStrike" kern="1200" cap="none" spc="20" baseline="0">
                <a:solidFill>
                  <a:schemeClr val="bg2">
                    <a:lumMod val="25000"/>
                  </a:schemeClr>
                </a:solidFill>
                <a:latin typeface="Arial Narrow" panose="020B0606020202030204" pitchFamily="34" charset="0"/>
                <a:ea typeface="+mn-ea"/>
                <a:cs typeface="+mn-cs"/>
              </a:defRPr>
            </a:pPr>
            <a:r>
              <a:rPr lang="pt-BR" sz="1200"/>
              <a:t>Canais</a:t>
            </a:r>
            <a:r>
              <a:rPr lang="pt-BR" sz="1200" baseline="0"/>
              <a:t> de acesso ao Mercado de Trabalho</a:t>
            </a:r>
            <a:endParaRPr lang="pt-BR" sz="1200"/>
          </a:p>
        </c:rich>
      </c:tx>
      <c:layout/>
      <c:overlay val="0"/>
      <c:spPr>
        <a:noFill/>
        <a:ln>
          <a:noFill/>
        </a:ln>
        <a:effectLst/>
      </c:spPr>
      <c:txPr>
        <a:bodyPr rot="0" spcFirstLastPara="1" vertOverflow="ellipsis" vert="horz" wrap="square" anchor="ctr" anchorCtr="1"/>
        <a:lstStyle/>
        <a:p>
          <a:pPr>
            <a:defRPr sz="1200" b="0" i="0" u="none" strike="noStrike" kern="1200" cap="none" spc="20" baseline="0">
              <a:solidFill>
                <a:schemeClr val="bg2">
                  <a:lumMod val="25000"/>
                </a:schemeClr>
              </a:solidFill>
              <a:latin typeface="Arial Narrow" panose="020B0606020202030204" pitchFamily="34" charset="0"/>
              <a:ea typeface="+mn-ea"/>
              <a:cs typeface="+mn-cs"/>
            </a:defRPr>
          </a:pPr>
          <a:endParaRPr lang="pt-BR"/>
        </a:p>
      </c:txPr>
    </c:title>
    <c:autoTitleDeleted val="0"/>
    <c:plotArea>
      <c:layout/>
      <c:barChart>
        <c:barDir val="col"/>
        <c:grouping val="clustered"/>
        <c:varyColors val="0"/>
        <c:ser>
          <c:idx val="0"/>
          <c:order val="0"/>
          <c:tx>
            <c:strRef>
              <c:f>TransEstTrab!$Z$31</c:f>
              <c:strCache>
                <c:ptCount val="1"/>
                <c:pt idx="0">
                  <c:v>%</c:v>
                </c:pt>
              </c:strCache>
            </c:strRef>
          </c:tx>
          <c:spPr>
            <a:solidFill>
              <a:srgbClr val="4472C4">
                <a:lumMod val="40000"/>
                <a:lumOff val="60000"/>
              </a:srgbClr>
            </a:solidFill>
            <a:ln w="9525" cap="flat" cmpd="sng" algn="ctr">
              <a:solidFill>
                <a:srgbClr val="4472C4">
                  <a:lumMod val="50000"/>
                </a:srgbClr>
              </a:solidFill>
              <a:round/>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bg2">
                        <a:lumMod val="25000"/>
                      </a:schemeClr>
                    </a:solidFill>
                    <a:latin typeface="Arial Narrow" panose="020B0606020202030204" pitchFamily="34" charset="0"/>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strRef>
              <c:f>TransEstTrab!$X$32:$X$41</c:f>
              <c:strCache>
                <c:ptCount val="10"/>
                <c:pt idx="0">
                  <c:v>Através de anúncios em jornais</c:v>
                </c:pt>
                <c:pt idx="1">
                  <c:v>Através de agência de emprego</c:v>
                </c:pt>
                <c:pt idx="2">
                  <c:v>Através de redes sociais</c:v>
                </c:pt>
                <c:pt idx="3">
                  <c:v>Tomei a iniciativa de entrar em contato com o empregador</c:v>
                </c:pt>
                <c:pt idx="4">
                  <c:v>Fui procurado pelo empregador</c:v>
                </c:pt>
                <c:pt idx="5">
                  <c:v>Através de estágio durante a graduação</c:v>
                </c:pt>
                <c:pt idx="6">
                  <c:v>Através de familiares, amigos ou conhecidos</c:v>
                </c:pt>
                <c:pt idx="7">
                  <c:v>Através da ajuda do Instituto Federal de Sergipe</c:v>
                </c:pt>
                <c:pt idx="8">
                  <c:v>Criei meu próprio negócio</c:v>
                </c:pt>
                <c:pt idx="9">
                  <c:v>Prestei concurso</c:v>
                </c:pt>
              </c:strCache>
            </c:strRef>
          </c:cat>
          <c:val>
            <c:numRef>
              <c:f>TransEstTrab!$Z$32:$Z$41</c:f>
              <c:numCache>
                <c:formatCode>0.0%</c:formatCode>
                <c:ptCount val="10"/>
                <c:pt idx="0">
                  <c:v>0.14285714285714285</c:v>
                </c:pt>
                <c:pt idx="1">
                  <c:v>0</c:v>
                </c:pt>
                <c:pt idx="2">
                  <c:v>0.2857142857142857</c:v>
                </c:pt>
                <c:pt idx="3">
                  <c:v>0</c:v>
                </c:pt>
                <c:pt idx="4">
                  <c:v>0</c:v>
                </c:pt>
                <c:pt idx="5">
                  <c:v>0.14285714285714285</c:v>
                </c:pt>
                <c:pt idx="6">
                  <c:v>0.14285714285714285</c:v>
                </c:pt>
                <c:pt idx="7">
                  <c:v>0</c:v>
                </c:pt>
                <c:pt idx="8">
                  <c:v>0.14285714285714285</c:v>
                </c:pt>
                <c:pt idx="9">
                  <c:v>0.14285714285714285</c:v>
                </c:pt>
              </c:numCache>
            </c:numRef>
          </c:val>
          <c:extLst>
            <c:ext xmlns:c16="http://schemas.microsoft.com/office/drawing/2014/chart" uri="{C3380CC4-5D6E-409C-BE32-E72D297353CC}">
              <c16:uniqueId val="{00000000-24A0-4658-A454-34AB59FAC491}"/>
            </c:ext>
          </c:extLst>
        </c:ser>
        <c:dLbls>
          <c:showLegendKey val="0"/>
          <c:showVal val="0"/>
          <c:showCatName val="0"/>
          <c:showSerName val="0"/>
          <c:showPercent val="0"/>
          <c:showBubbleSize val="0"/>
        </c:dLbls>
        <c:gapWidth val="219"/>
        <c:axId val="408379288"/>
        <c:axId val="408376544"/>
      </c:barChart>
      <c:valAx>
        <c:axId val="408376544"/>
        <c:scaling>
          <c:orientation val="minMax"/>
        </c:scaling>
        <c:delete val="0"/>
        <c:axPos val="l"/>
        <c:numFmt formatCode="0.0%"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bg2">
                    <a:lumMod val="25000"/>
                  </a:schemeClr>
                </a:solidFill>
                <a:latin typeface="Arial Narrow" panose="020B0606020202030204" pitchFamily="34" charset="0"/>
                <a:ea typeface="+mn-ea"/>
                <a:cs typeface="+mn-cs"/>
              </a:defRPr>
            </a:pPr>
            <a:endParaRPr lang="pt-BR"/>
          </a:p>
        </c:txPr>
        <c:crossAx val="408379288"/>
        <c:crosses val="autoZero"/>
        <c:crossBetween val="between"/>
      </c:valAx>
      <c:catAx>
        <c:axId val="4083792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bg2">
                    <a:lumMod val="25000"/>
                  </a:schemeClr>
                </a:solidFill>
                <a:latin typeface="Arial Narrow" panose="020B0606020202030204" pitchFamily="34" charset="0"/>
                <a:ea typeface="+mn-ea"/>
                <a:cs typeface="+mn-cs"/>
              </a:defRPr>
            </a:pPr>
            <a:endParaRPr lang="pt-BR"/>
          </a:p>
        </c:txPr>
        <c:crossAx val="408376544"/>
        <c:crosses val="autoZero"/>
        <c:auto val="1"/>
        <c:lblAlgn val="ctr"/>
        <c:lblOffset val="100"/>
        <c:noMultiLvlLbl val="0"/>
      </c:cat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solidFill>
            <a:schemeClr val="bg2">
              <a:lumMod val="25000"/>
            </a:schemeClr>
          </a:solidFill>
          <a:latin typeface="Arial Narrow" panose="020B0606020202030204" pitchFamily="34" charset="0"/>
        </a:defRPr>
      </a:pPr>
      <a:endParaRPr lang="pt-BR"/>
    </a:p>
  </c:txPr>
  <c:printSettings>
    <c:headerFooter/>
    <c:pageMargins b="0.78740157499999996" l="0.511811024" r="0.511811024" t="0.78740157499999996" header="0.31496062000000002" footer="0.31496062000000002"/>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8"/>
    </mc:Choice>
    <mc:Fallback>
      <c:style val="8"/>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200" b="0" i="0" u="none" strike="noStrike" kern="1200" cap="none" spc="20" baseline="0">
                <a:solidFill>
                  <a:schemeClr val="bg2">
                    <a:lumMod val="25000"/>
                  </a:schemeClr>
                </a:solidFill>
                <a:latin typeface="Arial Narrow" panose="020B0606020202030204" pitchFamily="34" charset="0"/>
                <a:ea typeface="+mn-ea"/>
                <a:cs typeface="+mn-cs"/>
              </a:defRPr>
            </a:pPr>
            <a:r>
              <a:rPr lang="pt-BR" sz="1200"/>
              <a:t>Canais</a:t>
            </a:r>
            <a:r>
              <a:rPr lang="pt-BR" sz="1200" baseline="0"/>
              <a:t> de acesso ao Mercado de Trabalho</a:t>
            </a:r>
            <a:endParaRPr lang="pt-BR" sz="1200"/>
          </a:p>
        </c:rich>
      </c:tx>
      <c:layout/>
      <c:overlay val="0"/>
      <c:spPr>
        <a:noFill/>
        <a:ln>
          <a:noFill/>
        </a:ln>
        <a:effectLst/>
      </c:spPr>
      <c:txPr>
        <a:bodyPr rot="0" spcFirstLastPara="1" vertOverflow="ellipsis" vert="horz" wrap="square" anchor="ctr" anchorCtr="1"/>
        <a:lstStyle/>
        <a:p>
          <a:pPr>
            <a:defRPr sz="1200" b="0" i="0" u="none" strike="noStrike" kern="1200" cap="none" spc="20" baseline="0">
              <a:solidFill>
                <a:schemeClr val="bg2">
                  <a:lumMod val="25000"/>
                </a:schemeClr>
              </a:solidFill>
              <a:latin typeface="Arial Narrow" panose="020B0606020202030204" pitchFamily="34" charset="0"/>
              <a:ea typeface="+mn-ea"/>
              <a:cs typeface="+mn-cs"/>
            </a:defRPr>
          </a:pPr>
          <a:endParaRPr lang="pt-BR"/>
        </a:p>
      </c:txPr>
    </c:title>
    <c:autoTitleDeleted val="0"/>
    <c:plotArea>
      <c:layout/>
      <c:barChart>
        <c:barDir val="col"/>
        <c:grouping val="clustered"/>
        <c:varyColors val="0"/>
        <c:ser>
          <c:idx val="0"/>
          <c:order val="0"/>
          <c:tx>
            <c:strRef>
              <c:f>TransEstTrab!$AE$8</c:f>
              <c:strCache>
                <c:ptCount val="1"/>
                <c:pt idx="0">
                  <c:v>%</c:v>
                </c:pt>
              </c:strCache>
            </c:strRef>
          </c:tx>
          <c:spPr>
            <a:gradFill rotWithShape="1">
              <a:gsLst>
                <a:gs pos="0">
                  <a:schemeClr val="accent6">
                    <a:tint val="77000"/>
                    <a:lumMod val="110000"/>
                    <a:satMod val="105000"/>
                    <a:tint val="67000"/>
                  </a:schemeClr>
                </a:gs>
                <a:gs pos="50000">
                  <a:schemeClr val="accent6">
                    <a:tint val="77000"/>
                    <a:lumMod val="105000"/>
                    <a:satMod val="103000"/>
                    <a:tint val="73000"/>
                  </a:schemeClr>
                </a:gs>
                <a:gs pos="100000">
                  <a:schemeClr val="accent6">
                    <a:tint val="77000"/>
                    <a:lumMod val="105000"/>
                    <a:satMod val="109000"/>
                    <a:tint val="81000"/>
                  </a:schemeClr>
                </a:gs>
              </a:gsLst>
              <a:lin ang="5400000" scaled="0"/>
            </a:gradFill>
            <a:ln w="9525" cap="flat" cmpd="sng" algn="ctr">
              <a:solidFill>
                <a:schemeClr val="accent6">
                  <a:tint val="77000"/>
                  <a:shade val="95000"/>
                </a:schemeClr>
              </a:solidFill>
              <a:round/>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bg2">
                        <a:lumMod val="25000"/>
                      </a:schemeClr>
                    </a:solidFill>
                    <a:latin typeface="Arial Narrow" panose="020B0606020202030204" pitchFamily="34" charset="0"/>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strRef>
              <c:f>TransEstTrab!$AC$9:$AC$19</c:f>
              <c:strCache>
                <c:ptCount val="11"/>
                <c:pt idx="0">
                  <c:v>Através de anúncios em jornais</c:v>
                </c:pt>
                <c:pt idx="1">
                  <c:v>Através de agência de emprego</c:v>
                </c:pt>
                <c:pt idx="2">
                  <c:v>Através de redes sociais</c:v>
                </c:pt>
                <c:pt idx="3">
                  <c:v>Tomei a iniciativa de entrar em contato com o empregador</c:v>
                </c:pt>
                <c:pt idx="4">
                  <c:v>Fui procurado pelo empregador</c:v>
                </c:pt>
                <c:pt idx="5">
                  <c:v>Através de estágio durante graduação</c:v>
                </c:pt>
                <c:pt idx="6">
                  <c:v>Através de familiares, amigos ou conhecidos</c:v>
                </c:pt>
                <c:pt idx="7">
                  <c:v>Através da ajuda do Instituto Federal de Sergipe</c:v>
                </c:pt>
                <c:pt idx="8">
                  <c:v>Criei meu próprio negócio</c:v>
                </c:pt>
                <c:pt idx="9">
                  <c:v>Prestei concurso público</c:v>
                </c:pt>
                <c:pt idx="10">
                  <c:v>Outros</c:v>
                </c:pt>
              </c:strCache>
            </c:strRef>
          </c:cat>
          <c:val>
            <c:numRef>
              <c:f>TransEstTrab!$AE$9:$AE$19</c:f>
              <c:numCache>
                <c:formatCode>0.0%</c:formatCode>
                <c:ptCount val="11"/>
                <c:pt idx="0">
                  <c:v>2.7027027027027029E-2</c:v>
                </c:pt>
                <c:pt idx="1">
                  <c:v>1.3513513513513514E-2</c:v>
                </c:pt>
                <c:pt idx="2">
                  <c:v>2.7027027027027029E-2</c:v>
                </c:pt>
                <c:pt idx="3">
                  <c:v>0.12162162162162163</c:v>
                </c:pt>
                <c:pt idx="4">
                  <c:v>5.4054054054054057E-2</c:v>
                </c:pt>
                <c:pt idx="5">
                  <c:v>0.17567567567567569</c:v>
                </c:pt>
                <c:pt idx="6">
                  <c:v>0.27027027027027029</c:v>
                </c:pt>
                <c:pt idx="7">
                  <c:v>1.3513513513513514E-2</c:v>
                </c:pt>
                <c:pt idx="8">
                  <c:v>5.4054054054054057E-2</c:v>
                </c:pt>
                <c:pt idx="9">
                  <c:v>0.24324324324324326</c:v>
                </c:pt>
                <c:pt idx="10">
                  <c:v>0</c:v>
                </c:pt>
              </c:numCache>
            </c:numRef>
          </c:val>
          <c:extLst>
            <c:ext xmlns:c16="http://schemas.microsoft.com/office/drawing/2014/chart" uri="{C3380CC4-5D6E-409C-BE32-E72D297353CC}">
              <c16:uniqueId val="{00000000-85F9-4EAC-B23B-CD38B45A7D8D}"/>
            </c:ext>
          </c:extLst>
        </c:ser>
        <c:dLbls>
          <c:showLegendKey val="0"/>
          <c:showVal val="0"/>
          <c:showCatName val="0"/>
          <c:showSerName val="0"/>
          <c:showPercent val="0"/>
          <c:showBubbleSize val="0"/>
        </c:dLbls>
        <c:gapWidth val="219"/>
        <c:axId val="408382424"/>
        <c:axId val="408378896"/>
      </c:barChart>
      <c:valAx>
        <c:axId val="408378896"/>
        <c:scaling>
          <c:orientation val="minMax"/>
        </c:scaling>
        <c:delete val="0"/>
        <c:axPos val="l"/>
        <c:numFmt formatCode="0.0%"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bg2">
                    <a:lumMod val="25000"/>
                  </a:schemeClr>
                </a:solidFill>
                <a:latin typeface="Arial Narrow" panose="020B0606020202030204" pitchFamily="34" charset="0"/>
                <a:ea typeface="+mn-ea"/>
                <a:cs typeface="+mn-cs"/>
              </a:defRPr>
            </a:pPr>
            <a:endParaRPr lang="pt-BR"/>
          </a:p>
        </c:txPr>
        <c:crossAx val="408382424"/>
        <c:crosses val="autoZero"/>
        <c:crossBetween val="between"/>
      </c:valAx>
      <c:catAx>
        <c:axId val="4083824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bg2">
                    <a:lumMod val="25000"/>
                  </a:schemeClr>
                </a:solidFill>
                <a:latin typeface="Arial Narrow" panose="020B0606020202030204" pitchFamily="34" charset="0"/>
                <a:ea typeface="+mn-ea"/>
                <a:cs typeface="+mn-cs"/>
              </a:defRPr>
            </a:pPr>
            <a:endParaRPr lang="pt-BR"/>
          </a:p>
        </c:txPr>
        <c:crossAx val="408378896"/>
        <c:crosses val="autoZero"/>
        <c:auto val="1"/>
        <c:lblAlgn val="ctr"/>
        <c:lblOffset val="100"/>
        <c:noMultiLvlLbl val="0"/>
      </c:cat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solidFill>
            <a:schemeClr val="bg2">
              <a:lumMod val="25000"/>
            </a:schemeClr>
          </a:solidFill>
          <a:latin typeface="Arial Narrow" panose="020B0606020202030204" pitchFamily="34" charset="0"/>
        </a:defRPr>
      </a:pPr>
      <a:endParaRPr lang="pt-BR"/>
    </a:p>
  </c:txPr>
  <c:printSettings>
    <c:headerFooter/>
    <c:pageMargins b="0.78740157499999996" l="0.511811024" r="0.511811024" t="0.78740157499999996" header="0.31496062000000002" footer="0.31496062000000002"/>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8"/>
    </mc:Choice>
    <mc:Fallback>
      <c:style val="8"/>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200" b="0" i="0" u="none" strike="noStrike" kern="1200" cap="none" spc="20" baseline="0">
                <a:solidFill>
                  <a:schemeClr val="bg2">
                    <a:lumMod val="25000"/>
                  </a:schemeClr>
                </a:solidFill>
                <a:latin typeface="Arial Narrow" panose="020B0606020202030204" pitchFamily="34" charset="0"/>
                <a:ea typeface="+mn-ea"/>
                <a:cs typeface="+mn-cs"/>
              </a:defRPr>
            </a:pPr>
            <a:r>
              <a:rPr lang="pt-BR" sz="1200"/>
              <a:t>Canais de acesso ao Mercado de Trabalho</a:t>
            </a:r>
          </a:p>
        </c:rich>
      </c:tx>
      <c:layout/>
      <c:overlay val="0"/>
      <c:spPr>
        <a:noFill/>
        <a:ln>
          <a:noFill/>
        </a:ln>
        <a:effectLst/>
      </c:spPr>
      <c:txPr>
        <a:bodyPr rot="0" spcFirstLastPara="1" vertOverflow="ellipsis" vert="horz" wrap="square" anchor="ctr" anchorCtr="1"/>
        <a:lstStyle/>
        <a:p>
          <a:pPr>
            <a:defRPr sz="1200" b="0" i="0" u="none" strike="noStrike" kern="1200" cap="none" spc="20" baseline="0">
              <a:solidFill>
                <a:schemeClr val="bg2">
                  <a:lumMod val="25000"/>
                </a:schemeClr>
              </a:solidFill>
              <a:latin typeface="Arial Narrow" panose="020B0606020202030204" pitchFamily="34" charset="0"/>
              <a:ea typeface="+mn-ea"/>
              <a:cs typeface="+mn-cs"/>
            </a:defRPr>
          </a:pPr>
          <a:endParaRPr lang="pt-BR"/>
        </a:p>
      </c:txPr>
    </c:title>
    <c:autoTitleDeleted val="0"/>
    <c:plotArea>
      <c:layout/>
      <c:barChart>
        <c:barDir val="col"/>
        <c:grouping val="clustered"/>
        <c:varyColors val="0"/>
        <c:ser>
          <c:idx val="0"/>
          <c:order val="0"/>
          <c:tx>
            <c:strRef>
              <c:f>TransEstTrab!$AE$31</c:f>
              <c:strCache>
                <c:ptCount val="1"/>
                <c:pt idx="0">
                  <c:v>%</c:v>
                </c:pt>
              </c:strCache>
            </c:strRef>
          </c:tx>
          <c:spPr>
            <a:solidFill>
              <a:srgbClr val="4472C4">
                <a:lumMod val="40000"/>
                <a:lumOff val="60000"/>
              </a:srgbClr>
            </a:solidFill>
            <a:ln w="9525" cap="flat" cmpd="sng" algn="ctr">
              <a:solidFill>
                <a:srgbClr val="4472C4">
                  <a:lumMod val="50000"/>
                </a:srgbClr>
              </a:solidFill>
              <a:round/>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bg2">
                        <a:lumMod val="25000"/>
                      </a:schemeClr>
                    </a:solidFill>
                    <a:latin typeface="Arial Narrow" panose="020B0606020202030204" pitchFamily="34" charset="0"/>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strRef>
              <c:f>TransEstTrab!$AC$32:$AC$41</c:f>
              <c:strCache>
                <c:ptCount val="10"/>
                <c:pt idx="0">
                  <c:v>Através de anúncios em jornais</c:v>
                </c:pt>
                <c:pt idx="1">
                  <c:v>Através de agência de emprego</c:v>
                </c:pt>
                <c:pt idx="2">
                  <c:v>Através de redes sociais</c:v>
                </c:pt>
                <c:pt idx="3">
                  <c:v>Tomei a iniciativa de entrar em contato com o empregador</c:v>
                </c:pt>
                <c:pt idx="4">
                  <c:v>Fui procurado pelo empregador</c:v>
                </c:pt>
                <c:pt idx="5">
                  <c:v>Através de estágio durante graduação</c:v>
                </c:pt>
                <c:pt idx="6">
                  <c:v>Através de familiares, amigos ou conhecidos</c:v>
                </c:pt>
                <c:pt idx="7">
                  <c:v>Através da ajuda do Instituto Federal de Sergipe</c:v>
                </c:pt>
                <c:pt idx="8">
                  <c:v>Criei meu próprio negócio</c:v>
                </c:pt>
                <c:pt idx="9">
                  <c:v>Prestei concurso público</c:v>
                </c:pt>
              </c:strCache>
            </c:strRef>
          </c:cat>
          <c:val>
            <c:numRef>
              <c:f>TransEstTrab!$AE$32:$AE$41</c:f>
              <c:numCache>
                <c:formatCode>0.0%</c:formatCode>
                <c:ptCount val="10"/>
                <c:pt idx="0">
                  <c:v>0</c:v>
                </c:pt>
                <c:pt idx="1">
                  <c:v>0</c:v>
                </c:pt>
                <c:pt idx="2">
                  <c:v>0.18181818181818182</c:v>
                </c:pt>
                <c:pt idx="3">
                  <c:v>9.0909090909090912E-2</c:v>
                </c:pt>
                <c:pt idx="4">
                  <c:v>0</c:v>
                </c:pt>
                <c:pt idx="5">
                  <c:v>9.0909090909090912E-2</c:v>
                </c:pt>
                <c:pt idx="6">
                  <c:v>0.45454545454545453</c:v>
                </c:pt>
                <c:pt idx="7">
                  <c:v>0</c:v>
                </c:pt>
                <c:pt idx="8">
                  <c:v>0</c:v>
                </c:pt>
                <c:pt idx="9">
                  <c:v>0.18181818181818182</c:v>
                </c:pt>
              </c:numCache>
            </c:numRef>
          </c:val>
          <c:extLst>
            <c:ext xmlns:c16="http://schemas.microsoft.com/office/drawing/2014/chart" uri="{C3380CC4-5D6E-409C-BE32-E72D297353CC}">
              <c16:uniqueId val="{00000000-DA0F-416B-93BB-3C83EFEA3170}"/>
            </c:ext>
          </c:extLst>
        </c:ser>
        <c:dLbls>
          <c:showLegendKey val="0"/>
          <c:showVal val="0"/>
          <c:showCatName val="0"/>
          <c:showSerName val="0"/>
          <c:showPercent val="0"/>
          <c:showBubbleSize val="0"/>
        </c:dLbls>
        <c:gapWidth val="219"/>
        <c:axId val="408377720"/>
        <c:axId val="408377328"/>
      </c:barChart>
      <c:valAx>
        <c:axId val="408377328"/>
        <c:scaling>
          <c:orientation val="minMax"/>
        </c:scaling>
        <c:delete val="0"/>
        <c:axPos val="l"/>
        <c:numFmt formatCode="0.0%"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bg2">
                    <a:lumMod val="25000"/>
                  </a:schemeClr>
                </a:solidFill>
                <a:latin typeface="Arial Narrow" panose="020B0606020202030204" pitchFamily="34" charset="0"/>
                <a:ea typeface="+mn-ea"/>
                <a:cs typeface="+mn-cs"/>
              </a:defRPr>
            </a:pPr>
            <a:endParaRPr lang="pt-BR"/>
          </a:p>
        </c:txPr>
        <c:crossAx val="408377720"/>
        <c:crosses val="autoZero"/>
        <c:crossBetween val="between"/>
      </c:valAx>
      <c:catAx>
        <c:axId val="4083777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bg2">
                    <a:lumMod val="25000"/>
                  </a:schemeClr>
                </a:solidFill>
                <a:latin typeface="Arial Narrow" panose="020B0606020202030204" pitchFamily="34" charset="0"/>
                <a:ea typeface="+mn-ea"/>
                <a:cs typeface="+mn-cs"/>
              </a:defRPr>
            </a:pPr>
            <a:endParaRPr lang="pt-BR"/>
          </a:p>
        </c:txPr>
        <c:crossAx val="408377328"/>
        <c:crosses val="autoZero"/>
        <c:auto val="1"/>
        <c:lblAlgn val="ctr"/>
        <c:lblOffset val="100"/>
        <c:noMultiLvlLbl val="0"/>
      </c:cat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solidFill>
            <a:schemeClr val="bg2">
              <a:lumMod val="25000"/>
            </a:schemeClr>
          </a:solidFill>
          <a:latin typeface="Arial Narrow" panose="020B0606020202030204" pitchFamily="34" charset="0"/>
        </a:defRPr>
      </a:pPr>
      <a:endParaRPr lang="pt-BR"/>
    </a:p>
  </c:txPr>
  <c:printSettings>
    <c:headerFooter/>
    <c:pageMargins b="0.78740157499999996" l="0.511811024" r="0.511811024" t="0.78740157499999996" header="0.31496062000000002" footer="0.31496062000000002"/>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8"/>
    </mc:Choice>
    <mc:Fallback>
      <c:style val="8"/>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200" b="0" i="0" u="none" strike="noStrike" kern="1200" cap="none" spc="20" baseline="0">
                <a:solidFill>
                  <a:schemeClr val="bg2">
                    <a:lumMod val="25000"/>
                  </a:schemeClr>
                </a:solidFill>
                <a:latin typeface="Arial Narrow" panose="020B0606020202030204" pitchFamily="34" charset="0"/>
                <a:ea typeface="+mn-ea"/>
                <a:cs typeface="+mn-cs"/>
              </a:defRPr>
            </a:pPr>
            <a:r>
              <a:rPr lang="pt-BR" sz="1200"/>
              <a:t>Nível</a:t>
            </a:r>
            <a:r>
              <a:rPr lang="pt-BR" sz="1200" baseline="0"/>
              <a:t> de associação entre as atividades do primeiro emprego e a graduação</a:t>
            </a:r>
            <a:endParaRPr lang="pt-BR" sz="1200"/>
          </a:p>
        </c:rich>
      </c:tx>
      <c:layout/>
      <c:overlay val="0"/>
      <c:spPr>
        <a:noFill/>
        <a:ln>
          <a:noFill/>
        </a:ln>
        <a:effectLst/>
      </c:spPr>
      <c:txPr>
        <a:bodyPr rot="0" spcFirstLastPara="1" vertOverflow="ellipsis" vert="horz" wrap="square" anchor="ctr" anchorCtr="1"/>
        <a:lstStyle/>
        <a:p>
          <a:pPr>
            <a:defRPr sz="1200" b="0" i="0" u="none" strike="noStrike" kern="1200" cap="none" spc="20" baseline="0">
              <a:solidFill>
                <a:schemeClr val="bg2">
                  <a:lumMod val="25000"/>
                </a:schemeClr>
              </a:solidFill>
              <a:latin typeface="Arial Narrow" panose="020B0606020202030204" pitchFamily="34" charset="0"/>
              <a:ea typeface="+mn-ea"/>
              <a:cs typeface="+mn-cs"/>
            </a:defRPr>
          </a:pPr>
          <a:endParaRPr lang="pt-BR"/>
        </a:p>
      </c:txPr>
    </c:title>
    <c:autoTitleDeleted val="0"/>
    <c:plotArea>
      <c:layout/>
      <c:barChart>
        <c:barDir val="col"/>
        <c:grouping val="clustered"/>
        <c:varyColors val="0"/>
        <c:ser>
          <c:idx val="0"/>
          <c:order val="0"/>
          <c:tx>
            <c:strRef>
              <c:f>'1Emp'!$U$8</c:f>
              <c:strCache>
                <c:ptCount val="1"/>
                <c:pt idx="0">
                  <c:v>%</c:v>
                </c:pt>
              </c:strCache>
            </c:strRef>
          </c:tx>
          <c:spPr>
            <a:gradFill rotWithShape="1">
              <a:gsLst>
                <a:gs pos="0">
                  <a:schemeClr val="accent6">
                    <a:tint val="77000"/>
                    <a:lumMod val="110000"/>
                    <a:satMod val="105000"/>
                    <a:tint val="67000"/>
                  </a:schemeClr>
                </a:gs>
                <a:gs pos="50000">
                  <a:schemeClr val="accent6">
                    <a:tint val="77000"/>
                    <a:lumMod val="105000"/>
                    <a:satMod val="103000"/>
                    <a:tint val="73000"/>
                  </a:schemeClr>
                </a:gs>
                <a:gs pos="100000">
                  <a:schemeClr val="accent6">
                    <a:tint val="77000"/>
                    <a:lumMod val="105000"/>
                    <a:satMod val="109000"/>
                    <a:tint val="81000"/>
                  </a:schemeClr>
                </a:gs>
              </a:gsLst>
              <a:lin ang="5400000" scaled="0"/>
            </a:gradFill>
            <a:ln w="9525" cap="flat" cmpd="sng" algn="ctr">
              <a:solidFill>
                <a:schemeClr val="accent6">
                  <a:tint val="77000"/>
                  <a:shade val="95000"/>
                </a:schemeClr>
              </a:solidFill>
              <a:round/>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bg2">
                        <a:lumMod val="25000"/>
                      </a:schemeClr>
                    </a:solidFill>
                    <a:latin typeface="Arial Narrow" panose="020B0606020202030204" pitchFamily="34" charset="0"/>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val>
            <c:numRef>
              <c:f>'1Emp'!$U$9:$U$13</c:f>
              <c:numCache>
                <c:formatCode>0.0%</c:formatCode>
                <c:ptCount val="5"/>
                <c:pt idx="0">
                  <c:v>0.19540229885057472</c:v>
                </c:pt>
                <c:pt idx="1">
                  <c:v>6.3218390804597707E-2</c:v>
                </c:pt>
                <c:pt idx="2">
                  <c:v>0.13218390804597702</c:v>
                </c:pt>
                <c:pt idx="3">
                  <c:v>0.17816091954022989</c:v>
                </c:pt>
                <c:pt idx="4">
                  <c:v>0.43103448275862066</c:v>
                </c:pt>
              </c:numCache>
            </c:numRef>
          </c:val>
          <c:extLst>
            <c:ext xmlns:c16="http://schemas.microsoft.com/office/drawing/2014/chart" uri="{C3380CC4-5D6E-409C-BE32-E72D297353CC}">
              <c16:uniqueId val="{00000000-08C3-4055-A73A-684AB2DD68D5}"/>
            </c:ext>
          </c:extLst>
        </c:ser>
        <c:dLbls>
          <c:showLegendKey val="0"/>
          <c:showVal val="0"/>
          <c:showCatName val="0"/>
          <c:showSerName val="0"/>
          <c:showPercent val="0"/>
          <c:showBubbleSize val="0"/>
        </c:dLbls>
        <c:gapWidth val="219"/>
        <c:axId val="408380072"/>
        <c:axId val="408379680"/>
      </c:barChart>
      <c:valAx>
        <c:axId val="408379680"/>
        <c:scaling>
          <c:orientation val="minMax"/>
        </c:scaling>
        <c:delete val="0"/>
        <c:axPos val="l"/>
        <c:numFmt formatCode="0.0%"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bg2">
                    <a:lumMod val="25000"/>
                  </a:schemeClr>
                </a:solidFill>
                <a:latin typeface="Arial Narrow" panose="020B0606020202030204" pitchFamily="34" charset="0"/>
                <a:ea typeface="+mn-ea"/>
                <a:cs typeface="+mn-cs"/>
              </a:defRPr>
            </a:pPr>
            <a:endParaRPr lang="pt-BR"/>
          </a:p>
        </c:txPr>
        <c:crossAx val="408380072"/>
        <c:crosses val="autoZero"/>
        <c:crossBetween val="between"/>
      </c:valAx>
      <c:catAx>
        <c:axId val="4083800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bg2">
                    <a:lumMod val="25000"/>
                  </a:schemeClr>
                </a:solidFill>
                <a:latin typeface="Arial Narrow" panose="020B0606020202030204" pitchFamily="34" charset="0"/>
                <a:ea typeface="+mn-ea"/>
                <a:cs typeface="+mn-cs"/>
              </a:defRPr>
            </a:pPr>
            <a:endParaRPr lang="pt-BR"/>
          </a:p>
        </c:txPr>
        <c:crossAx val="408379680"/>
        <c:crosses val="autoZero"/>
        <c:auto val="1"/>
        <c:lblAlgn val="ctr"/>
        <c:lblOffset val="100"/>
        <c:noMultiLvlLbl val="0"/>
      </c:cat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solidFill>
            <a:schemeClr val="bg2">
              <a:lumMod val="25000"/>
            </a:schemeClr>
          </a:solidFill>
          <a:latin typeface="Arial Narrow" panose="020B0606020202030204" pitchFamily="34" charset="0"/>
        </a:defRPr>
      </a:pPr>
      <a:endParaRPr lang="pt-BR"/>
    </a:p>
  </c:txPr>
  <c:printSettings>
    <c:headerFooter/>
    <c:pageMargins b="0.78740157499999996" l="0.511811024" r="0.511811024" t="0.78740157499999996" header="0.31496062000000002" footer="0.31496062000000002"/>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Arial Narrow" panose="020B0606020202030204" pitchFamily="34" charset="0"/>
                <a:ea typeface="+mn-ea"/>
                <a:cs typeface="+mn-cs"/>
              </a:defRPr>
            </a:pPr>
            <a:r>
              <a:rPr lang="pt-BR" sz="1200"/>
              <a:t>Nível de associação entre as atividades do primeiro emprego e a graduação</a:t>
            </a:r>
          </a:p>
        </c:rich>
      </c:tx>
      <c:layout/>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Arial Narrow" panose="020B0606020202030204" pitchFamily="34" charset="0"/>
              <a:ea typeface="+mn-ea"/>
              <a:cs typeface="+mn-cs"/>
            </a:defRPr>
          </a:pPr>
          <a:endParaRPr lang="pt-BR"/>
        </a:p>
      </c:txPr>
    </c:title>
    <c:autoTitleDeleted val="0"/>
    <c:plotArea>
      <c:layout/>
      <c:radarChart>
        <c:radarStyle val="marker"/>
        <c:varyColors val="0"/>
        <c:ser>
          <c:idx val="0"/>
          <c:order val="0"/>
          <c:tx>
            <c:strRef>
              <c:f>'1Emp'!$V$31</c:f>
              <c:strCache>
                <c:ptCount val="1"/>
                <c:pt idx="0">
                  <c:v>IFS</c:v>
                </c:pt>
              </c:strCache>
            </c:strRef>
          </c:tx>
          <c:spPr>
            <a:ln w="28575" cap="rnd">
              <a:solidFill>
                <a:schemeClr val="accent6"/>
              </a:solidFill>
              <a:prstDash val="solid"/>
              <a:round/>
            </a:ln>
            <a:effectLst/>
          </c:spPr>
          <c:marker>
            <c:symbol val="circle"/>
            <c:size val="5"/>
            <c:spPr>
              <a:solidFill>
                <a:schemeClr val="accent6"/>
              </a:solidFill>
              <a:ln w="9525">
                <a:solidFill>
                  <a:schemeClr val="accent6"/>
                </a:solidFill>
                <a:prstDash val="solid"/>
              </a:ln>
              <a:effectLst/>
            </c:spPr>
          </c:marker>
          <c:cat>
            <c:strRef>
              <c:f>'1Emp'!$S$15:$S$19</c:f>
              <c:strCache>
                <c:ptCount val="5"/>
                <c:pt idx="0">
                  <c:v>Média</c:v>
                </c:pt>
                <c:pt idx="1">
                  <c:v>Moda</c:v>
                </c:pt>
                <c:pt idx="2">
                  <c:v>Mediana</c:v>
                </c:pt>
                <c:pt idx="3">
                  <c:v>Desvio Padrão</c:v>
                </c:pt>
                <c:pt idx="4">
                  <c:v>Variância</c:v>
                </c:pt>
              </c:strCache>
            </c:strRef>
          </c:cat>
          <c:val>
            <c:numRef>
              <c:f>'1Emp'!$T$15:$T$19</c:f>
              <c:numCache>
                <c:formatCode>#,##0</c:formatCode>
                <c:ptCount val="5"/>
                <c:pt idx="0" formatCode="#,##0.0">
                  <c:v>3.5862068965517242</c:v>
                </c:pt>
                <c:pt idx="1">
                  <c:v>5</c:v>
                </c:pt>
                <c:pt idx="2">
                  <c:v>4</c:v>
                </c:pt>
                <c:pt idx="3" formatCode="#,##0.0">
                  <c:v>1.5547928816801488</c:v>
                </c:pt>
                <c:pt idx="4" formatCode="#,##0.0">
                  <c:v>2.4173809049232613</c:v>
                </c:pt>
              </c:numCache>
            </c:numRef>
          </c:val>
          <c:extLst>
            <c:ext xmlns:c16="http://schemas.microsoft.com/office/drawing/2014/chart" uri="{C3380CC4-5D6E-409C-BE32-E72D297353CC}">
              <c16:uniqueId val="{00000000-541A-4D20-BA11-4CEB691E726A}"/>
            </c:ext>
          </c:extLst>
        </c:ser>
        <c:ser>
          <c:idx val="1"/>
          <c:order val="1"/>
          <c:tx>
            <c:strRef>
              <c:f>'1Emp'!$T$31</c:f>
              <c:strCache>
                <c:ptCount val="1"/>
                <c:pt idx="0">
                  <c:v>Bacharelado em Sistemas de Informação</c:v>
                </c:pt>
              </c:strCache>
            </c:strRef>
          </c:tx>
          <c:spPr>
            <a:ln w="28575" cap="rnd">
              <a:solidFill>
                <a:schemeClr val="accent2"/>
              </a:solidFill>
              <a:prstDash val="sysDash"/>
              <a:round/>
            </a:ln>
            <a:effectLst/>
          </c:spPr>
          <c:marker>
            <c:symbol val="circle"/>
            <c:size val="5"/>
            <c:spPr>
              <a:solidFill>
                <a:schemeClr val="accent2"/>
              </a:solidFill>
              <a:ln w="9525">
                <a:solidFill>
                  <a:schemeClr val="accent2"/>
                </a:solidFill>
                <a:prstDash val="sysDash"/>
              </a:ln>
              <a:effectLst/>
            </c:spPr>
          </c:marker>
          <c:val>
            <c:numRef>
              <c:f>'1Emp'!$T$38:$T$42</c:f>
              <c:numCache>
                <c:formatCode>#,##0</c:formatCode>
                <c:ptCount val="5"/>
                <c:pt idx="0" formatCode="#,##0.0">
                  <c:v>4.7222222222222223</c:v>
                </c:pt>
                <c:pt idx="1">
                  <c:v>5</c:v>
                </c:pt>
                <c:pt idx="2">
                  <c:v>5</c:v>
                </c:pt>
                <c:pt idx="3" formatCode="#,##0.0">
                  <c:v>2.2028567970397765</c:v>
                </c:pt>
                <c:pt idx="4" formatCode="#,##0.0">
                  <c:v>4.8525780682643429</c:v>
                </c:pt>
              </c:numCache>
            </c:numRef>
          </c:val>
          <c:extLst>
            <c:ext xmlns:c16="http://schemas.microsoft.com/office/drawing/2014/chart" uri="{C3380CC4-5D6E-409C-BE32-E72D297353CC}">
              <c16:uniqueId val="{00000001-541A-4D20-BA11-4CEB691E726A}"/>
            </c:ext>
          </c:extLst>
        </c:ser>
        <c:dLbls>
          <c:showLegendKey val="0"/>
          <c:showVal val="0"/>
          <c:showCatName val="0"/>
          <c:showSerName val="0"/>
          <c:showPercent val="0"/>
          <c:showBubbleSize val="0"/>
        </c:dLbls>
        <c:axId val="408381248"/>
        <c:axId val="409246272"/>
      </c:radarChart>
      <c:catAx>
        <c:axId val="4083812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Narrow" panose="020B0606020202030204" pitchFamily="34" charset="0"/>
                <a:ea typeface="+mn-ea"/>
                <a:cs typeface="+mn-cs"/>
              </a:defRPr>
            </a:pPr>
            <a:endParaRPr lang="pt-BR"/>
          </a:p>
        </c:txPr>
        <c:crossAx val="409246272"/>
        <c:crosses val="autoZero"/>
        <c:auto val="1"/>
        <c:lblAlgn val="ctr"/>
        <c:lblOffset val="100"/>
        <c:noMultiLvlLbl val="0"/>
      </c:catAx>
      <c:valAx>
        <c:axId val="40924627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Narrow" panose="020B0606020202030204" pitchFamily="34" charset="0"/>
                <a:ea typeface="+mn-ea"/>
                <a:cs typeface="+mn-cs"/>
              </a:defRPr>
            </a:pPr>
            <a:endParaRPr lang="pt-BR"/>
          </a:p>
        </c:txPr>
        <c:crossAx val="408381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Arial Narrow" panose="020B0606020202030204" pitchFamily="34" charset="0"/>
        </a:defRPr>
      </a:pPr>
      <a:endParaRPr lang="pt-BR"/>
    </a:p>
  </c:txPr>
  <c:printSettings>
    <c:headerFooter/>
    <c:pageMargins b="0.78740157499999996" l="0.511811024" r="0.511811024" t="0.78740157499999996" header="0.31496062000000002" footer="0.31496062000000002"/>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200" b="0" i="0" u="none" strike="noStrike" kern="1200" cap="none" spc="20" baseline="0">
                <a:solidFill>
                  <a:schemeClr val="bg2">
                    <a:lumMod val="25000"/>
                  </a:schemeClr>
                </a:solidFill>
                <a:latin typeface="Arial Narrow" panose="020B0606020202030204" pitchFamily="34" charset="0"/>
                <a:ea typeface="+mn-ea"/>
                <a:cs typeface="+mn-cs"/>
              </a:defRPr>
            </a:pPr>
            <a:r>
              <a:rPr lang="pt-BR" sz="1200"/>
              <a:t>Nível</a:t>
            </a:r>
            <a:r>
              <a:rPr lang="pt-BR" sz="1200" baseline="0"/>
              <a:t> de associação entre as atividades do primeiro emprego e a graduação</a:t>
            </a:r>
            <a:endParaRPr lang="pt-BR" sz="1200"/>
          </a:p>
        </c:rich>
      </c:tx>
      <c:layout/>
      <c:overlay val="0"/>
      <c:spPr>
        <a:noFill/>
        <a:ln>
          <a:noFill/>
        </a:ln>
        <a:effectLst/>
      </c:spPr>
      <c:txPr>
        <a:bodyPr rot="0" spcFirstLastPara="1" vertOverflow="ellipsis" vert="horz" wrap="square" anchor="ctr" anchorCtr="1"/>
        <a:lstStyle/>
        <a:p>
          <a:pPr>
            <a:defRPr sz="1200" b="0" i="0" u="none" strike="noStrike" kern="1200" cap="none" spc="20" baseline="0">
              <a:solidFill>
                <a:schemeClr val="bg2">
                  <a:lumMod val="25000"/>
                </a:schemeClr>
              </a:solidFill>
              <a:latin typeface="Arial Narrow" panose="020B0606020202030204" pitchFamily="34" charset="0"/>
              <a:ea typeface="+mn-ea"/>
              <a:cs typeface="+mn-cs"/>
            </a:defRPr>
          </a:pPr>
          <a:endParaRPr lang="pt-BR"/>
        </a:p>
      </c:txPr>
    </c:title>
    <c:autoTitleDeleted val="0"/>
    <c:plotArea>
      <c:layout/>
      <c:barChart>
        <c:barDir val="col"/>
        <c:grouping val="clustered"/>
        <c:varyColors val="0"/>
        <c:ser>
          <c:idx val="0"/>
          <c:order val="0"/>
          <c:tx>
            <c:strRef>
              <c:f>'1Emp'!$T$31</c:f>
              <c:strCache>
                <c:ptCount val="1"/>
                <c:pt idx="0">
                  <c:v>Bacharelado em Sistemas de Informação</c:v>
                </c:pt>
              </c:strCache>
            </c:strRef>
          </c:tx>
          <c:spPr>
            <a:solidFill>
              <a:schemeClr val="accent5">
                <a:lumMod val="40000"/>
                <a:lumOff val="60000"/>
              </a:schemeClr>
            </a:solidFill>
            <a:ln w="9525" cap="flat" cmpd="sng" algn="ctr">
              <a:solidFill>
                <a:schemeClr val="accent5">
                  <a:lumMod val="50000"/>
                </a:schemeClr>
              </a:solidFill>
              <a:round/>
            </a:ln>
            <a:effectLst/>
          </c:spPr>
          <c:invertIfNegative val="0"/>
          <c:dLbls>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bg2">
                        <a:lumMod val="25000"/>
                      </a:schemeClr>
                    </a:solidFill>
                    <a:latin typeface="Arial Narrow" panose="020B0606020202030204" pitchFamily="34" charset="0"/>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strRef>
              <c:f>('1Emp'!$S$38,'1Emp'!$S$39,'1Emp'!$S$41)</c:f>
              <c:strCache>
                <c:ptCount val="3"/>
                <c:pt idx="0">
                  <c:v>Média</c:v>
                </c:pt>
                <c:pt idx="1">
                  <c:v>Moda</c:v>
                </c:pt>
                <c:pt idx="2">
                  <c:v>Desvio Padrão</c:v>
                </c:pt>
              </c:strCache>
            </c:strRef>
          </c:cat>
          <c:val>
            <c:numRef>
              <c:f>('1Emp'!$T$38:$T$39,'1Emp'!$T$41)</c:f>
              <c:numCache>
                <c:formatCode>#,##0</c:formatCode>
                <c:ptCount val="3"/>
                <c:pt idx="0" formatCode="#,##0.0">
                  <c:v>4.7222222222222223</c:v>
                </c:pt>
                <c:pt idx="1">
                  <c:v>5</c:v>
                </c:pt>
                <c:pt idx="2" formatCode="#,##0.0">
                  <c:v>2.2028567970397765</c:v>
                </c:pt>
              </c:numCache>
            </c:numRef>
          </c:val>
          <c:extLst>
            <c:ext xmlns:c16="http://schemas.microsoft.com/office/drawing/2014/chart" uri="{C3380CC4-5D6E-409C-BE32-E72D297353CC}">
              <c16:uniqueId val="{00000000-9A5B-4451-8B3E-D1CA10E3F7E8}"/>
            </c:ext>
          </c:extLst>
        </c:ser>
        <c:ser>
          <c:idx val="1"/>
          <c:order val="1"/>
          <c:tx>
            <c:strRef>
              <c:f>'1Emp'!$V$31</c:f>
              <c:strCache>
                <c:ptCount val="1"/>
                <c:pt idx="0">
                  <c:v>IFS</c:v>
                </c:pt>
              </c:strCache>
            </c:strRef>
          </c:tx>
          <c:spPr>
            <a:gradFill rotWithShape="1">
              <a:gsLst>
                <a:gs pos="0">
                  <a:schemeClr val="accent6">
                    <a:shade val="76000"/>
                    <a:lumMod val="110000"/>
                    <a:satMod val="105000"/>
                    <a:tint val="67000"/>
                  </a:schemeClr>
                </a:gs>
                <a:gs pos="50000">
                  <a:schemeClr val="accent6">
                    <a:shade val="76000"/>
                    <a:lumMod val="105000"/>
                    <a:satMod val="103000"/>
                    <a:tint val="73000"/>
                  </a:schemeClr>
                </a:gs>
                <a:gs pos="100000">
                  <a:schemeClr val="accent6">
                    <a:shade val="76000"/>
                    <a:lumMod val="105000"/>
                    <a:satMod val="109000"/>
                    <a:tint val="81000"/>
                  </a:schemeClr>
                </a:gs>
              </a:gsLst>
              <a:lin ang="5400000" scaled="0"/>
            </a:gradFill>
            <a:ln w="6350" cap="flat" cmpd="sng" algn="ctr">
              <a:solidFill>
                <a:schemeClr val="accent6">
                  <a:lumMod val="50000"/>
                </a:schemeClr>
              </a:solidFill>
              <a:round/>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2">
                        <a:lumMod val="25000"/>
                      </a:schemeClr>
                    </a:solidFill>
                    <a:latin typeface="Arial Narrow" panose="020B0606020202030204" pitchFamily="34" charset="0"/>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strRef>
              <c:f>('1Emp'!$S$38,'1Emp'!$S$39,'1Emp'!$S$41)</c:f>
              <c:strCache>
                <c:ptCount val="3"/>
                <c:pt idx="0">
                  <c:v>Média</c:v>
                </c:pt>
                <c:pt idx="1">
                  <c:v>Moda</c:v>
                </c:pt>
                <c:pt idx="2">
                  <c:v>Desvio Padrão</c:v>
                </c:pt>
              </c:strCache>
            </c:strRef>
          </c:cat>
          <c:val>
            <c:numRef>
              <c:f>('1Emp'!$V$38,'1Emp'!$V$39,'1Emp'!$V$41)</c:f>
              <c:numCache>
                <c:formatCode>#,##0</c:formatCode>
                <c:ptCount val="3"/>
                <c:pt idx="0" formatCode="#,##0.0">
                  <c:v>3.5862068965517242</c:v>
                </c:pt>
                <c:pt idx="1">
                  <c:v>5</c:v>
                </c:pt>
                <c:pt idx="2" formatCode="#,##0.0">
                  <c:v>1.5547928816801488</c:v>
                </c:pt>
              </c:numCache>
            </c:numRef>
          </c:val>
          <c:extLst>
            <c:ext xmlns:c16="http://schemas.microsoft.com/office/drawing/2014/chart" uri="{C3380CC4-5D6E-409C-BE32-E72D297353CC}">
              <c16:uniqueId val="{00000001-9A5B-4451-8B3E-D1CA10E3F7E8}"/>
            </c:ext>
          </c:extLst>
        </c:ser>
        <c:dLbls>
          <c:showLegendKey val="0"/>
          <c:showVal val="0"/>
          <c:showCatName val="0"/>
          <c:showSerName val="0"/>
          <c:showPercent val="0"/>
          <c:showBubbleSize val="0"/>
        </c:dLbls>
        <c:gapWidth val="219"/>
        <c:axId val="409240784"/>
        <c:axId val="409243920"/>
      </c:barChart>
      <c:valAx>
        <c:axId val="409243920"/>
        <c:scaling>
          <c:orientation val="minMax"/>
        </c:scaling>
        <c:delete val="0"/>
        <c:axPos val="l"/>
        <c:numFmt formatCode="#,##0.0"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bg2">
                    <a:lumMod val="25000"/>
                  </a:schemeClr>
                </a:solidFill>
                <a:latin typeface="Arial Narrow" panose="020B0606020202030204" pitchFamily="34" charset="0"/>
                <a:ea typeface="+mn-ea"/>
                <a:cs typeface="+mn-cs"/>
              </a:defRPr>
            </a:pPr>
            <a:endParaRPr lang="pt-BR"/>
          </a:p>
        </c:txPr>
        <c:crossAx val="409240784"/>
        <c:crosses val="autoZero"/>
        <c:crossBetween val="between"/>
      </c:valAx>
      <c:catAx>
        <c:axId val="4092407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bg2">
                    <a:lumMod val="25000"/>
                  </a:schemeClr>
                </a:solidFill>
                <a:latin typeface="Arial Narrow" panose="020B0606020202030204" pitchFamily="34" charset="0"/>
                <a:ea typeface="+mn-ea"/>
                <a:cs typeface="+mn-cs"/>
              </a:defRPr>
            </a:pPr>
            <a:endParaRPr lang="pt-BR"/>
          </a:p>
        </c:txPr>
        <c:crossAx val="409243920"/>
        <c:crosses val="autoZero"/>
        <c:auto val="1"/>
        <c:lblAlgn val="ctr"/>
        <c:lblOffset val="100"/>
        <c:noMultiLvlLbl val="0"/>
      </c:cat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1000" b="0" i="0" u="none" strike="noStrike" kern="1200" baseline="0">
              <a:solidFill>
                <a:schemeClr val="bg2">
                  <a:lumMod val="25000"/>
                </a:schemeClr>
              </a:solidFill>
              <a:latin typeface="Arial Narrow" panose="020B0606020202030204" pitchFamily="34" charset="0"/>
              <a:ea typeface="+mn-ea"/>
              <a:cs typeface="+mn-cs"/>
            </a:defRPr>
          </a:pPr>
          <a:endParaRPr lang="pt-BR"/>
        </a:p>
      </c:txPr>
    </c:legend>
    <c:plotVisOnly val="1"/>
    <c:dispBlanksAs val="gap"/>
    <c:showDLblsOverMax val="0"/>
  </c:chart>
  <c:spPr>
    <a:solidFill>
      <a:schemeClr val="bg1"/>
    </a:solidFill>
    <a:ln w="9525" cap="flat" cmpd="sng" algn="ctr">
      <a:noFill/>
      <a:round/>
    </a:ln>
    <a:effectLst/>
  </c:spPr>
  <c:txPr>
    <a:bodyPr/>
    <a:lstStyle/>
    <a:p>
      <a:pPr>
        <a:defRPr>
          <a:solidFill>
            <a:schemeClr val="bg2">
              <a:lumMod val="25000"/>
            </a:schemeClr>
          </a:solidFill>
          <a:latin typeface="Arial Narrow" panose="020B0606020202030204" pitchFamily="34" charset="0"/>
        </a:defRPr>
      </a:pPr>
      <a:endParaRPr lang="pt-BR"/>
    </a:p>
  </c:txPr>
  <c:printSettings>
    <c:headerFooter/>
    <c:pageMargins b="0.78740157499999996" l="0.511811024" r="0.511811024" t="0.78740157499999996" header="0.31496062000000002" footer="0.31496062000000002"/>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8"/>
    </mc:Choice>
    <mc:Fallback>
      <c:style val="8"/>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Arial Narrow" panose="020B0606020202030204" pitchFamily="34" charset="0"/>
                <a:ea typeface="+mn-ea"/>
                <a:cs typeface="+mn-cs"/>
              </a:defRPr>
            </a:pPr>
            <a:r>
              <a:rPr lang="pt-BR"/>
              <a:t>Nível de associação entre as atividades do primeiro emprego e a graduação</a:t>
            </a:r>
          </a:p>
        </c:rich>
      </c:tx>
      <c:layout/>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Arial Narrow" panose="020B0606020202030204" pitchFamily="34" charset="0"/>
              <a:ea typeface="+mn-ea"/>
              <a:cs typeface="+mn-cs"/>
            </a:defRPr>
          </a:pPr>
          <a:endParaRPr lang="pt-BR"/>
        </a:p>
      </c:txPr>
    </c:title>
    <c:autoTitleDeleted val="0"/>
    <c:plotArea>
      <c:layout/>
      <c:radarChart>
        <c:radarStyle val="marker"/>
        <c:varyColors val="0"/>
        <c:ser>
          <c:idx val="0"/>
          <c:order val="0"/>
          <c:spPr>
            <a:ln w="28575" cap="rnd">
              <a:solidFill>
                <a:schemeClr val="accent6"/>
              </a:solidFill>
              <a:prstDash val="solid"/>
              <a:round/>
            </a:ln>
            <a:effectLst/>
          </c:spPr>
          <c:marker>
            <c:symbol val="circle"/>
            <c:size val="5"/>
            <c:spPr>
              <a:solidFill>
                <a:schemeClr val="accent6"/>
              </a:solidFill>
              <a:ln w="9525">
                <a:solidFill>
                  <a:schemeClr val="accent6"/>
                </a:solidFill>
                <a:prstDash val="solid"/>
              </a:ln>
              <a:effectLst/>
            </c:spPr>
          </c:marker>
          <c:cat>
            <c:strRef>
              <c:f>'1Emp'!$S$15:$S$18</c:f>
              <c:strCache>
                <c:ptCount val="4"/>
                <c:pt idx="0">
                  <c:v>Média</c:v>
                </c:pt>
                <c:pt idx="1">
                  <c:v>Moda</c:v>
                </c:pt>
                <c:pt idx="2">
                  <c:v>Mediana</c:v>
                </c:pt>
                <c:pt idx="3">
                  <c:v>Desvio Padrão</c:v>
                </c:pt>
              </c:strCache>
            </c:strRef>
          </c:cat>
          <c:val>
            <c:numRef>
              <c:f>'1Emp'!$T$15:$T$18</c:f>
              <c:numCache>
                <c:formatCode>#,##0</c:formatCode>
                <c:ptCount val="4"/>
                <c:pt idx="0" formatCode="#,##0.0">
                  <c:v>3.5862068965517242</c:v>
                </c:pt>
                <c:pt idx="1">
                  <c:v>5</c:v>
                </c:pt>
                <c:pt idx="2">
                  <c:v>4</c:v>
                </c:pt>
                <c:pt idx="3" formatCode="#,##0.0">
                  <c:v>1.5547928816801488</c:v>
                </c:pt>
              </c:numCache>
            </c:numRef>
          </c:val>
          <c:extLst>
            <c:ext xmlns:c16="http://schemas.microsoft.com/office/drawing/2014/chart" uri="{C3380CC4-5D6E-409C-BE32-E72D297353CC}">
              <c16:uniqueId val="{00000000-2FA4-4BDC-BBEC-FB10329A9DE0}"/>
            </c:ext>
          </c:extLst>
        </c:ser>
        <c:dLbls>
          <c:showLegendKey val="0"/>
          <c:showVal val="0"/>
          <c:showCatName val="0"/>
          <c:showSerName val="0"/>
          <c:showPercent val="0"/>
          <c:showBubbleSize val="0"/>
        </c:dLbls>
        <c:axId val="409247448"/>
        <c:axId val="409243136"/>
      </c:radarChart>
      <c:catAx>
        <c:axId val="4092474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Narrow" panose="020B0606020202030204" pitchFamily="34" charset="0"/>
                <a:ea typeface="+mn-ea"/>
                <a:cs typeface="+mn-cs"/>
              </a:defRPr>
            </a:pPr>
            <a:endParaRPr lang="pt-BR"/>
          </a:p>
        </c:txPr>
        <c:crossAx val="409243136"/>
        <c:crosses val="autoZero"/>
        <c:auto val="1"/>
        <c:lblAlgn val="ctr"/>
        <c:lblOffset val="100"/>
        <c:noMultiLvlLbl val="0"/>
      </c:catAx>
      <c:valAx>
        <c:axId val="409243136"/>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Narrow" panose="020B0606020202030204" pitchFamily="34" charset="0"/>
                <a:ea typeface="+mn-ea"/>
                <a:cs typeface="+mn-cs"/>
              </a:defRPr>
            </a:pPr>
            <a:endParaRPr lang="pt-BR"/>
          </a:p>
        </c:txPr>
        <c:crossAx val="4092474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Arial Narrow" panose="020B0606020202030204" pitchFamily="34" charset="0"/>
        </a:defRPr>
      </a:pPr>
      <a:endParaRPr lang="pt-BR"/>
    </a:p>
  </c:txPr>
  <c:printSettings>
    <c:headerFooter/>
    <c:pageMargins b="0.78740157499999996" l="0.511811024" r="0.511811024" t="0.78740157499999996" header="0.31496062000000002" footer="0.31496062000000002"/>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Arial Narrow" panose="020B0606020202030204" pitchFamily="34" charset="0"/>
                <a:ea typeface="+mn-ea"/>
                <a:cs typeface="+mn-cs"/>
              </a:defRPr>
            </a:pPr>
            <a:r>
              <a:rPr lang="pt-BR" sz="1200"/>
              <a:t>Salário</a:t>
            </a:r>
            <a:r>
              <a:rPr lang="pt-BR" sz="1200" baseline="0"/>
              <a:t> Inicial (Primeiro emprego)</a:t>
            </a:r>
            <a:endParaRPr lang="pt-BR" sz="1200"/>
          </a:p>
        </c:rich>
      </c:tx>
      <c:layout/>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Arial Narrow" panose="020B0606020202030204" pitchFamily="34" charset="0"/>
              <a:ea typeface="+mn-ea"/>
              <a:cs typeface="+mn-cs"/>
            </a:defRPr>
          </a:pPr>
          <a:endParaRPr lang="pt-BR"/>
        </a:p>
      </c:txPr>
    </c:title>
    <c:autoTitleDeleted val="0"/>
    <c:plotArea>
      <c:layout/>
      <c:barChart>
        <c:barDir val="col"/>
        <c:grouping val="clustered"/>
        <c:varyColors val="0"/>
        <c:ser>
          <c:idx val="0"/>
          <c:order val="0"/>
          <c:tx>
            <c:strRef>
              <c:f>'1Emp'!$AG$31</c:f>
              <c:strCache>
                <c:ptCount val="1"/>
                <c:pt idx="0">
                  <c:v>Bacharelado em Sistemas de Informação</c:v>
                </c:pt>
              </c:strCache>
            </c:strRef>
          </c:tx>
          <c:spPr>
            <a:solidFill>
              <a:schemeClr val="accent5">
                <a:lumMod val="40000"/>
                <a:lumOff val="60000"/>
              </a:schemeClr>
            </a:solidFill>
            <a:ln>
              <a:solidFill>
                <a:schemeClr val="accent5">
                  <a:lumMod val="50000"/>
                </a:schemeClr>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000" b="0" i="0" u="none" strike="noStrike" kern="1200" baseline="0">
                    <a:solidFill>
                      <a:schemeClr val="tx1">
                        <a:lumMod val="75000"/>
                        <a:lumOff val="25000"/>
                      </a:schemeClr>
                    </a:solidFill>
                    <a:latin typeface="Arial Narrow" panose="020B0606020202030204" pitchFamily="34" charset="0"/>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'1Emp'!$AF$32:$AF$37</c:f>
              <c:strCache>
                <c:ptCount val="6"/>
                <c:pt idx="0">
                  <c:v>Média</c:v>
                </c:pt>
                <c:pt idx="1">
                  <c:v>Máximo</c:v>
                </c:pt>
                <c:pt idx="2">
                  <c:v>Mínimo</c:v>
                </c:pt>
                <c:pt idx="3">
                  <c:v>Moda</c:v>
                </c:pt>
                <c:pt idx="4">
                  <c:v>Mediana</c:v>
                </c:pt>
                <c:pt idx="5">
                  <c:v>Desvio Padrão</c:v>
                </c:pt>
              </c:strCache>
            </c:strRef>
          </c:cat>
          <c:val>
            <c:numRef>
              <c:f>'1Emp'!$AG$32:$AG$37</c:f>
              <c:numCache>
                <c:formatCode>_("R$"* #,##0_);_("R$"* \(#,##0\);_("R$"* "-"_);_(@_)</c:formatCode>
                <c:ptCount val="6"/>
                <c:pt idx="0">
                  <c:v>2788.2352941176468</c:v>
                </c:pt>
                <c:pt idx="1">
                  <c:v>8000</c:v>
                </c:pt>
                <c:pt idx="2">
                  <c:v>1500</c:v>
                </c:pt>
                <c:pt idx="3">
                  <c:v>2500</c:v>
                </c:pt>
                <c:pt idx="4">
                  <c:v>2500</c:v>
                </c:pt>
                <c:pt idx="5">
                  <c:v>1601.1255232418446</c:v>
                </c:pt>
              </c:numCache>
            </c:numRef>
          </c:val>
          <c:extLst>
            <c:ext xmlns:c16="http://schemas.microsoft.com/office/drawing/2014/chart" uri="{C3380CC4-5D6E-409C-BE32-E72D297353CC}">
              <c16:uniqueId val="{00000000-DBEC-40F9-94A4-E6E0B457DBB5}"/>
            </c:ext>
          </c:extLst>
        </c:ser>
        <c:ser>
          <c:idx val="1"/>
          <c:order val="1"/>
          <c:tx>
            <c:strRef>
              <c:f>'1Emp'!$AH$31</c:f>
              <c:strCache>
                <c:ptCount val="1"/>
                <c:pt idx="0">
                  <c:v>IFS</c:v>
                </c:pt>
              </c:strCache>
            </c:strRef>
          </c:tx>
          <c:spPr>
            <a:solidFill>
              <a:schemeClr val="accent6">
                <a:lumMod val="40000"/>
                <a:lumOff val="60000"/>
              </a:schemeClr>
            </a:solidFill>
            <a:ln>
              <a:solidFill>
                <a:schemeClr val="accent6">
                  <a:lumMod val="50000"/>
                </a:schemeClr>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000" b="0" i="0" u="none" strike="noStrike" kern="1200" baseline="0">
                    <a:solidFill>
                      <a:schemeClr val="tx1">
                        <a:lumMod val="75000"/>
                        <a:lumOff val="25000"/>
                      </a:schemeClr>
                    </a:solidFill>
                    <a:latin typeface="Arial Narrow" panose="020B0606020202030204" pitchFamily="34" charset="0"/>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'1Emp'!$AF$32:$AF$37</c:f>
              <c:strCache>
                <c:ptCount val="6"/>
                <c:pt idx="0">
                  <c:v>Média</c:v>
                </c:pt>
                <c:pt idx="1">
                  <c:v>Máximo</c:v>
                </c:pt>
                <c:pt idx="2">
                  <c:v>Mínimo</c:v>
                </c:pt>
                <c:pt idx="3">
                  <c:v>Moda</c:v>
                </c:pt>
                <c:pt idx="4">
                  <c:v>Mediana</c:v>
                </c:pt>
                <c:pt idx="5">
                  <c:v>Desvio Padrão</c:v>
                </c:pt>
              </c:strCache>
            </c:strRef>
          </c:cat>
          <c:val>
            <c:numRef>
              <c:f>'1Emp'!$AH$32:$AH$37</c:f>
              <c:numCache>
                <c:formatCode>_("R$"* #,##0_);_("R$"* \(#,##0\);_("R$"* "-"_);_(@_)</c:formatCode>
                <c:ptCount val="6"/>
                <c:pt idx="0">
                  <c:v>1982.6707317073171</c:v>
                </c:pt>
                <c:pt idx="2">
                  <c:v>400</c:v>
                </c:pt>
                <c:pt idx="3">
                  <c:v>1500</c:v>
                </c:pt>
                <c:pt idx="4">
                  <c:v>1500</c:v>
                </c:pt>
                <c:pt idx="5">
                  <c:v>1895.7417931068505</c:v>
                </c:pt>
              </c:numCache>
            </c:numRef>
          </c:val>
          <c:extLst>
            <c:ext xmlns:c16="http://schemas.microsoft.com/office/drawing/2014/chart" uri="{C3380CC4-5D6E-409C-BE32-E72D297353CC}">
              <c16:uniqueId val="{00000001-DBEC-40F9-94A4-E6E0B457DBB5}"/>
            </c:ext>
          </c:extLst>
        </c:ser>
        <c:dLbls>
          <c:showLegendKey val="0"/>
          <c:showVal val="0"/>
          <c:showCatName val="0"/>
          <c:showSerName val="0"/>
          <c:showPercent val="0"/>
          <c:showBubbleSize val="0"/>
        </c:dLbls>
        <c:gapWidth val="80"/>
        <c:overlap val="-27"/>
        <c:axId val="409244704"/>
        <c:axId val="409241176"/>
      </c:barChart>
      <c:catAx>
        <c:axId val="4092447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Narrow" panose="020B0606020202030204" pitchFamily="34" charset="0"/>
                <a:ea typeface="+mn-ea"/>
                <a:cs typeface="+mn-cs"/>
              </a:defRPr>
            </a:pPr>
            <a:endParaRPr lang="pt-BR"/>
          </a:p>
        </c:txPr>
        <c:crossAx val="409241176"/>
        <c:crosses val="autoZero"/>
        <c:auto val="1"/>
        <c:lblAlgn val="ctr"/>
        <c:lblOffset val="100"/>
        <c:noMultiLvlLbl val="0"/>
      </c:catAx>
      <c:valAx>
        <c:axId val="409241176"/>
        <c:scaling>
          <c:orientation val="minMax"/>
        </c:scaling>
        <c:delete val="1"/>
        <c:axPos val="l"/>
        <c:numFmt formatCode="_(&quot;R$&quot;* #,##0_);_(&quot;R$&quot;* \(#,##0\);_(&quot;R$&quot;* &quot;-&quot;_);_(@_)" sourceLinked="1"/>
        <c:majorTickMark val="none"/>
        <c:minorTickMark val="none"/>
        <c:tickLblPos val="nextTo"/>
        <c:crossAx val="409244704"/>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Narrow" panose="020B0606020202030204" pitchFamily="34" charset="0"/>
              <a:ea typeface="+mn-ea"/>
              <a:cs typeface="+mn-cs"/>
            </a:defRPr>
          </a:pPr>
          <a:endParaRPr lang="pt-BR"/>
        </a:p>
      </c:txPr>
    </c:legend>
    <c:plotVisOnly val="1"/>
    <c:dispBlanksAs val="gap"/>
    <c:showDLblsOverMax val="0"/>
  </c:chart>
  <c:spPr>
    <a:solidFill>
      <a:schemeClr val="bg1"/>
    </a:solidFill>
    <a:ln w="9525" cap="flat" cmpd="sng" algn="ctr">
      <a:noFill/>
      <a:round/>
    </a:ln>
    <a:effectLst/>
  </c:spPr>
  <c:txPr>
    <a:bodyPr/>
    <a:lstStyle/>
    <a:p>
      <a:pPr>
        <a:defRPr>
          <a:latin typeface="Arial Narrow" panose="020B0606020202030204" pitchFamily="34" charset="0"/>
        </a:defRPr>
      </a:pPr>
      <a:endParaRPr lang="pt-BR"/>
    </a:p>
  </c:txPr>
  <c:printSettings>
    <c:headerFooter/>
    <c:pageMargins b="0.78740157499999996" l="0.511811024" r="0.511811024" t="0.78740157499999996" header="0.31496062000000002" footer="0.3149606200000000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8"/>
    </mc:Choice>
    <mc:Fallback>
      <c:style val="8"/>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050" b="0" i="0" u="none" strike="noStrike" kern="1200" cap="none" spc="20" baseline="0">
                <a:solidFill>
                  <a:schemeClr val="bg2">
                    <a:lumMod val="25000"/>
                  </a:schemeClr>
                </a:solidFill>
                <a:latin typeface="Arial Narrow" panose="020B0606020202030204" pitchFamily="34" charset="0"/>
                <a:ea typeface="+mn-ea"/>
                <a:cs typeface="+mn-cs"/>
              </a:defRPr>
            </a:pPr>
            <a:r>
              <a:rPr lang="pt-BR"/>
              <a:t>Grau</a:t>
            </a:r>
            <a:r>
              <a:rPr lang="pt-BR" baseline="0"/>
              <a:t> de Instrução de pais e mães</a:t>
            </a:r>
            <a:endParaRPr lang="pt-BR"/>
          </a:p>
        </c:rich>
      </c:tx>
      <c:overlay val="0"/>
      <c:spPr>
        <a:noFill/>
        <a:ln>
          <a:noFill/>
        </a:ln>
        <a:effectLst/>
      </c:spPr>
      <c:txPr>
        <a:bodyPr rot="0" spcFirstLastPara="1" vertOverflow="ellipsis" vert="horz" wrap="square" anchor="ctr" anchorCtr="1"/>
        <a:lstStyle/>
        <a:p>
          <a:pPr>
            <a:defRPr sz="1050" b="0" i="0" u="none" strike="noStrike" kern="1200" cap="none" spc="20" baseline="0">
              <a:solidFill>
                <a:schemeClr val="bg2">
                  <a:lumMod val="25000"/>
                </a:schemeClr>
              </a:solidFill>
              <a:latin typeface="Arial Narrow" panose="020B0606020202030204" pitchFamily="34" charset="0"/>
              <a:ea typeface="+mn-ea"/>
              <a:cs typeface="+mn-cs"/>
            </a:defRPr>
          </a:pPr>
          <a:endParaRPr lang="pt-BR"/>
        </a:p>
      </c:txPr>
    </c:title>
    <c:autoTitleDeleted val="0"/>
    <c:plotArea>
      <c:layout/>
      <c:barChart>
        <c:barDir val="col"/>
        <c:grouping val="clustered"/>
        <c:varyColors val="0"/>
        <c:ser>
          <c:idx val="0"/>
          <c:order val="0"/>
          <c:tx>
            <c:strRef>
              <c:f>CaractAmostra!$BR$30</c:f>
              <c:strCache>
                <c:ptCount val="1"/>
                <c:pt idx="0">
                  <c:v>Pai</c:v>
                </c:pt>
              </c:strCache>
            </c:strRef>
          </c:tx>
          <c:spPr>
            <a:solidFill>
              <a:srgbClr val="4472C4">
                <a:lumMod val="60000"/>
                <a:lumOff val="40000"/>
              </a:srgbClr>
            </a:solidFill>
            <a:ln w="9525" cap="flat" cmpd="sng" algn="ctr">
              <a:solidFill>
                <a:srgbClr val="4472C4"/>
              </a:solidFill>
              <a:round/>
            </a:ln>
            <a:effectLst/>
          </c:spPr>
          <c:invertIfNegative val="0"/>
          <c:dLbls>
            <c:spPr>
              <a:noFill/>
              <a:ln>
                <a:noFill/>
              </a:ln>
              <a:effectLst/>
            </c:spPr>
            <c:txPr>
              <a:bodyPr rot="-5400000" spcFirstLastPara="1" vertOverflow="ellipsis" wrap="square" anchor="ctr" anchorCtr="1"/>
              <a:lstStyle/>
              <a:p>
                <a:pPr>
                  <a:defRPr sz="1000" b="0" i="0" u="none" strike="noStrike" kern="1200" baseline="0">
                    <a:solidFill>
                      <a:schemeClr val="bg2">
                        <a:lumMod val="25000"/>
                      </a:schemeClr>
                    </a:solidFill>
                    <a:latin typeface="Arial Narrow" panose="020B0606020202030204" pitchFamily="34" charset="0"/>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CaractAmostra!$BQ$31:$BQ$37</c:f>
              <c:strCache>
                <c:ptCount val="7"/>
                <c:pt idx="0">
                  <c:v>Fund. incompleto</c:v>
                </c:pt>
                <c:pt idx="1">
                  <c:v>Fund. completo</c:v>
                </c:pt>
                <c:pt idx="2">
                  <c:v>Médio incompleto</c:v>
                </c:pt>
                <c:pt idx="3">
                  <c:v>Médio completo</c:v>
                </c:pt>
                <c:pt idx="4">
                  <c:v>Superior incompleto</c:v>
                </c:pt>
                <c:pt idx="5">
                  <c:v>Superior completo</c:v>
                </c:pt>
                <c:pt idx="6">
                  <c:v>Pós-graduação</c:v>
                </c:pt>
              </c:strCache>
            </c:strRef>
          </c:cat>
          <c:val>
            <c:numRef>
              <c:f>CaractAmostra!$BR$31:$BR$37</c:f>
              <c:numCache>
                <c:formatCode>0.0%</c:formatCode>
                <c:ptCount val="7"/>
                <c:pt idx="0">
                  <c:v>0.379746835443038</c:v>
                </c:pt>
                <c:pt idx="1">
                  <c:v>0.16033755274261605</c:v>
                </c:pt>
                <c:pt idx="2">
                  <c:v>4.6413502109704644E-2</c:v>
                </c:pt>
                <c:pt idx="3">
                  <c:v>0.25316455696202533</c:v>
                </c:pt>
                <c:pt idx="4">
                  <c:v>3.3755274261603373E-2</c:v>
                </c:pt>
                <c:pt idx="5">
                  <c:v>7.1729957805907171E-2</c:v>
                </c:pt>
                <c:pt idx="6">
                  <c:v>5.4852320675105488E-2</c:v>
                </c:pt>
              </c:numCache>
            </c:numRef>
          </c:val>
          <c:extLst>
            <c:ext xmlns:c16="http://schemas.microsoft.com/office/drawing/2014/chart" uri="{C3380CC4-5D6E-409C-BE32-E72D297353CC}">
              <c16:uniqueId val="{00000000-D951-42B8-9543-4DD527560C3D}"/>
            </c:ext>
          </c:extLst>
        </c:ser>
        <c:ser>
          <c:idx val="2"/>
          <c:order val="1"/>
          <c:tx>
            <c:strRef>
              <c:f>CaractAmostra!$BS$30</c:f>
              <c:strCache>
                <c:ptCount val="1"/>
                <c:pt idx="0">
                  <c:v>Mãe</c:v>
                </c:pt>
              </c:strCache>
            </c:strRef>
          </c:tx>
          <c:spPr>
            <a:gradFill rotWithShape="1">
              <a:gsLst>
                <a:gs pos="0">
                  <a:schemeClr val="accent6">
                    <a:shade val="65000"/>
                    <a:lumMod val="110000"/>
                    <a:satMod val="105000"/>
                    <a:tint val="67000"/>
                  </a:schemeClr>
                </a:gs>
                <a:gs pos="50000">
                  <a:schemeClr val="accent6">
                    <a:shade val="65000"/>
                    <a:lumMod val="105000"/>
                    <a:satMod val="103000"/>
                    <a:tint val="73000"/>
                  </a:schemeClr>
                </a:gs>
                <a:gs pos="100000">
                  <a:schemeClr val="accent6">
                    <a:shade val="65000"/>
                    <a:lumMod val="105000"/>
                    <a:satMod val="109000"/>
                    <a:tint val="81000"/>
                  </a:schemeClr>
                </a:gs>
              </a:gsLst>
              <a:lin ang="5400000" scaled="0"/>
            </a:gradFill>
            <a:ln w="9525" cap="flat" cmpd="sng" algn="ctr">
              <a:solidFill>
                <a:srgbClr val="70AD47">
                  <a:lumMod val="75000"/>
                </a:srgbClr>
              </a:solidFill>
              <a:round/>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000" b="0" i="0" u="none" strike="noStrike" kern="1200" baseline="0">
                    <a:solidFill>
                      <a:schemeClr val="bg2">
                        <a:lumMod val="25000"/>
                      </a:schemeClr>
                    </a:solidFill>
                    <a:latin typeface="Arial Narrow" panose="020B0606020202030204" pitchFamily="34" charset="0"/>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CaractAmostra!$BQ$31:$BQ$37</c:f>
              <c:strCache>
                <c:ptCount val="7"/>
                <c:pt idx="0">
                  <c:v>Fund. incompleto</c:v>
                </c:pt>
                <c:pt idx="1">
                  <c:v>Fund. completo</c:v>
                </c:pt>
                <c:pt idx="2">
                  <c:v>Médio incompleto</c:v>
                </c:pt>
                <c:pt idx="3">
                  <c:v>Médio completo</c:v>
                </c:pt>
                <c:pt idx="4">
                  <c:v>Superior incompleto</c:v>
                </c:pt>
                <c:pt idx="5">
                  <c:v>Superior completo</c:v>
                </c:pt>
                <c:pt idx="6">
                  <c:v>Pós-graduação</c:v>
                </c:pt>
              </c:strCache>
            </c:strRef>
          </c:cat>
          <c:val>
            <c:numRef>
              <c:f>CaractAmostra!$BS$31:$BS$37</c:f>
              <c:numCache>
                <c:formatCode>0.0%</c:formatCode>
                <c:ptCount val="7"/>
                <c:pt idx="0">
                  <c:v>0.31225296442687744</c:v>
                </c:pt>
                <c:pt idx="1">
                  <c:v>0.16996047430830039</c:v>
                </c:pt>
                <c:pt idx="2">
                  <c:v>5.1383399209486168E-2</c:v>
                </c:pt>
                <c:pt idx="3">
                  <c:v>0.2608695652173913</c:v>
                </c:pt>
                <c:pt idx="4">
                  <c:v>2.766798418972332E-2</c:v>
                </c:pt>
                <c:pt idx="5">
                  <c:v>0.11067193675889328</c:v>
                </c:pt>
                <c:pt idx="6">
                  <c:v>6.7193675889328064E-2</c:v>
                </c:pt>
              </c:numCache>
            </c:numRef>
          </c:val>
          <c:extLst>
            <c:ext xmlns:c16="http://schemas.microsoft.com/office/drawing/2014/chart" uri="{C3380CC4-5D6E-409C-BE32-E72D297353CC}">
              <c16:uniqueId val="{00000001-D951-42B8-9543-4DD527560C3D}"/>
            </c:ext>
          </c:extLst>
        </c:ser>
        <c:dLbls>
          <c:showLegendKey val="0"/>
          <c:showVal val="0"/>
          <c:showCatName val="0"/>
          <c:showSerName val="0"/>
          <c:showPercent val="0"/>
          <c:showBubbleSize val="0"/>
        </c:dLbls>
        <c:gapWidth val="60"/>
        <c:axId val="411134352"/>
        <c:axId val="411134744"/>
      </c:barChart>
      <c:valAx>
        <c:axId val="411134744"/>
        <c:scaling>
          <c:orientation val="minMax"/>
        </c:scaling>
        <c:delete val="0"/>
        <c:axPos val="l"/>
        <c:numFmt formatCode="0.0%"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bg2">
                    <a:lumMod val="25000"/>
                  </a:schemeClr>
                </a:solidFill>
                <a:latin typeface="Arial Narrow" panose="020B0606020202030204" pitchFamily="34" charset="0"/>
                <a:ea typeface="+mn-ea"/>
                <a:cs typeface="+mn-cs"/>
              </a:defRPr>
            </a:pPr>
            <a:endParaRPr lang="pt-BR"/>
          </a:p>
        </c:txPr>
        <c:crossAx val="411134352"/>
        <c:crosses val="autoZero"/>
        <c:crossBetween val="between"/>
      </c:valAx>
      <c:catAx>
        <c:axId val="411134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bg2">
                    <a:lumMod val="25000"/>
                  </a:schemeClr>
                </a:solidFill>
                <a:latin typeface="Arial Narrow" panose="020B0606020202030204" pitchFamily="34" charset="0"/>
                <a:ea typeface="+mn-ea"/>
                <a:cs typeface="+mn-cs"/>
              </a:defRPr>
            </a:pPr>
            <a:endParaRPr lang="pt-BR"/>
          </a:p>
        </c:txPr>
        <c:crossAx val="411134744"/>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bg2">
                  <a:lumMod val="25000"/>
                </a:schemeClr>
              </a:solidFill>
              <a:latin typeface="Arial Narrow" panose="020B0606020202030204" pitchFamily="34" charset="0"/>
              <a:ea typeface="+mn-ea"/>
              <a:cs typeface="+mn-cs"/>
            </a:defRPr>
          </a:pPr>
          <a:endParaRPr lang="pt-BR"/>
        </a:p>
      </c:txPr>
    </c:legend>
    <c:plotVisOnly val="1"/>
    <c:dispBlanksAs val="gap"/>
    <c:showDLblsOverMax val="0"/>
  </c:chart>
  <c:spPr>
    <a:solidFill>
      <a:schemeClr val="bg1"/>
    </a:solidFill>
    <a:ln w="9525" cap="flat" cmpd="sng" algn="ctr">
      <a:noFill/>
      <a:round/>
    </a:ln>
    <a:effectLst/>
  </c:spPr>
  <c:txPr>
    <a:bodyPr/>
    <a:lstStyle/>
    <a:p>
      <a:pPr>
        <a:defRPr>
          <a:solidFill>
            <a:schemeClr val="bg2">
              <a:lumMod val="25000"/>
            </a:schemeClr>
          </a:solidFill>
          <a:latin typeface="Arial Narrow" panose="020B0606020202030204" pitchFamily="34" charset="0"/>
        </a:defRPr>
      </a:pPr>
      <a:endParaRPr lang="pt-BR"/>
    </a:p>
  </c:txPr>
  <c:printSettings>
    <c:headerFooter/>
    <c:pageMargins b="0.78740157499999996" l="0.511811024" r="0.511811024" t="0.78740157499999996" header="0.31496062000000002" footer="0.31496062000000002"/>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8"/>
    </mc:Choice>
    <mc:Fallback>
      <c:style val="8"/>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050" b="0" i="0" u="none" strike="noStrike" kern="1200" cap="none" spc="20" baseline="0">
                <a:solidFill>
                  <a:schemeClr val="bg2">
                    <a:lumMod val="25000"/>
                  </a:schemeClr>
                </a:solidFill>
                <a:latin typeface="Arial Narrow" panose="020B0606020202030204" pitchFamily="34" charset="0"/>
                <a:ea typeface="+mn-ea"/>
                <a:cs typeface="+mn-cs"/>
              </a:defRPr>
            </a:pPr>
            <a:r>
              <a:rPr lang="pt-BR" sz="1050"/>
              <a:t>Nível</a:t>
            </a:r>
            <a:r>
              <a:rPr lang="pt-BR" sz="1050" baseline="0"/>
              <a:t> utilização dos conhecimentos adquiridos no IFS (1º emprego)</a:t>
            </a:r>
            <a:endParaRPr lang="pt-BR" sz="1050"/>
          </a:p>
        </c:rich>
      </c:tx>
      <c:layout/>
      <c:overlay val="0"/>
      <c:spPr>
        <a:noFill/>
        <a:ln>
          <a:noFill/>
        </a:ln>
        <a:effectLst/>
      </c:spPr>
      <c:txPr>
        <a:bodyPr rot="0" spcFirstLastPara="1" vertOverflow="ellipsis" vert="horz" wrap="square" anchor="ctr" anchorCtr="1"/>
        <a:lstStyle/>
        <a:p>
          <a:pPr>
            <a:defRPr sz="1050" b="0" i="0" u="none" strike="noStrike" kern="1200" cap="none" spc="20" baseline="0">
              <a:solidFill>
                <a:schemeClr val="bg2">
                  <a:lumMod val="25000"/>
                </a:schemeClr>
              </a:solidFill>
              <a:latin typeface="Arial Narrow" panose="020B0606020202030204" pitchFamily="34" charset="0"/>
              <a:ea typeface="+mn-ea"/>
              <a:cs typeface="+mn-cs"/>
            </a:defRPr>
          </a:pPr>
          <a:endParaRPr lang="pt-BR"/>
        </a:p>
      </c:txPr>
    </c:title>
    <c:autoTitleDeleted val="0"/>
    <c:plotArea>
      <c:layout/>
      <c:barChart>
        <c:barDir val="col"/>
        <c:grouping val="clustered"/>
        <c:varyColors val="0"/>
        <c:ser>
          <c:idx val="2"/>
          <c:order val="0"/>
          <c:tx>
            <c:strRef>
              <c:f>'1Emp'!$AQ$8</c:f>
              <c:strCache>
                <c:ptCount val="1"/>
                <c:pt idx="0">
                  <c:v>%</c:v>
                </c:pt>
              </c:strCache>
            </c:strRef>
          </c:tx>
          <c:spPr>
            <a:gradFill rotWithShape="1">
              <a:gsLst>
                <a:gs pos="0">
                  <a:schemeClr val="accent6">
                    <a:shade val="65000"/>
                    <a:lumMod val="110000"/>
                    <a:satMod val="105000"/>
                    <a:tint val="67000"/>
                  </a:schemeClr>
                </a:gs>
                <a:gs pos="50000">
                  <a:schemeClr val="accent6">
                    <a:shade val="65000"/>
                    <a:lumMod val="105000"/>
                    <a:satMod val="103000"/>
                    <a:tint val="73000"/>
                  </a:schemeClr>
                </a:gs>
                <a:gs pos="100000">
                  <a:schemeClr val="accent6">
                    <a:shade val="65000"/>
                    <a:lumMod val="105000"/>
                    <a:satMod val="109000"/>
                    <a:tint val="81000"/>
                  </a:schemeClr>
                </a:gs>
              </a:gsLst>
              <a:lin ang="5400000" scaled="0"/>
            </a:gradFill>
            <a:ln w="9525" cap="flat" cmpd="sng" algn="ctr">
              <a:solidFill>
                <a:schemeClr val="accent6">
                  <a:shade val="65000"/>
                  <a:shade val="95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2">
                        <a:lumMod val="25000"/>
                      </a:schemeClr>
                    </a:solidFill>
                    <a:latin typeface="Arial Narrow" panose="020B0606020202030204" pitchFamily="34" charset="0"/>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val>
            <c:numRef>
              <c:f>'1Emp'!$AQ$9:$AQ$13</c:f>
              <c:numCache>
                <c:formatCode>0.0%</c:formatCode>
                <c:ptCount val="5"/>
                <c:pt idx="0">
                  <c:v>9.7701149425287362E-2</c:v>
                </c:pt>
                <c:pt idx="1">
                  <c:v>9.7701149425287362E-2</c:v>
                </c:pt>
                <c:pt idx="2">
                  <c:v>0.17241379310344829</c:v>
                </c:pt>
                <c:pt idx="3">
                  <c:v>0.2413793103448276</c:v>
                </c:pt>
                <c:pt idx="4">
                  <c:v>0.39080459770114945</c:v>
                </c:pt>
              </c:numCache>
            </c:numRef>
          </c:val>
          <c:extLst>
            <c:ext xmlns:c16="http://schemas.microsoft.com/office/drawing/2014/chart" uri="{C3380CC4-5D6E-409C-BE32-E72D297353CC}">
              <c16:uniqueId val="{00000000-7801-4C00-B405-74F04D264B47}"/>
            </c:ext>
          </c:extLst>
        </c:ser>
        <c:dLbls>
          <c:showLegendKey val="0"/>
          <c:showVal val="0"/>
          <c:showCatName val="0"/>
          <c:showSerName val="0"/>
          <c:showPercent val="0"/>
          <c:showBubbleSize val="0"/>
        </c:dLbls>
        <c:gapWidth val="219"/>
        <c:axId val="409243528"/>
        <c:axId val="409241568"/>
      </c:barChart>
      <c:valAx>
        <c:axId val="409241568"/>
        <c:scaling>
          <c:orientation val="minMax"/>
        </c:scaling>
        <c:delete val="0"/>
        <c:axPos val="l"/>
        <c:numFmt formatCode="0.0%"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bg2">
                    <a:lumMod val="25000"/>
                  </a:schemeClr>
                </a:solidFill>
                <a:latin typeface="Arial Narrow" panose="020B0606020202030204" pitchFamily="34" charset="0"/>
                <a:ea typeface="+mn-ea"/>
                <a:cs typeface="+mn-cs"/>
              </a:defRPr>
            </a:pPr>
            <a:endParaRPr lang="pt-BR"/>
          </a:p>
        </c:txPr>
        <c:crossAx val="409243528"/>
        <c:crosses val="autoZero"/>
        <c:crossBetween val="between"/>
      </c:valAx>
      <c:catAx>
        <c:axId val="4092435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bg2">
                    <a:lumMod val="25000"/>
                  </a:schemeClr>
                </a:solidFill>
                <a:latin typeface="Arial Narrow" panose="020B0606020202030204" pitchFamily="34" charset="0"/>
                <a:ea typeface="+mn-ea"/>
                <a:cs typeface="+mn-cs"/>
              </a:defRPr>
            </a:pPr>
            <a:endParaRPr lang="pt-BR"/>
          </a:p>
        </c:txPr>
        <c:crossAx val="409241568"/>
        <c:crosses val="autoZero"/>
        <c:auto val="1"/>
        <c:lblAlgn val="ctr"/>
        <c:lblOffset val="100"/>
        <c:noMultiLvlLbl val="0"/>
      </c:cat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solidFill>
            <a:schemeClr val="bg2">
              <a:lumMod val="25000"/>
            </a:schemeClr>
          </a:solidFill>
          <a:latin typeface="Arial Narrow" panose="020B0606020202030204" pitchFamily="34" charset="0"/>
        </a:defRPr>
      </a:pPr>
      <a:endParaRPr lang="pt-BR"/>
    </a:p>
  </c:txPr>
  <c:printSettings>
    <c:headerFooter/>
    <c:pageMargins b="0.78740157499999996" l="0.511811024" r="0.511811024" t="0.78740157499999996" header="0.31496062000000002" footer="0.31496062000000002"/>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8"/>
    </mc:Choice>
    <mc:Fallback>
      <c:style val="8"/>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100" b="0" i="0" u="none" strike="noStrike" kern="1200" spc="0" baseline="0">
                <a:solidFill>
                  <a:schemeClr val="tx1">
                    <a:lumMod val="65000"/>
                    <a:lumOff val="35000"/>
                  </a:schemeClr>
                </a:solidFill>
                <a:latin typeface="Arial Narrow" panose="020B0606020202030204" pitchFamily="34" charset="0"/>
                <a:ea typeface="+mn-ea"/>
                <a:cs typeface="+mn-cs"/>
              </a:defRPr>
            </a:pPr>
            <a:r>
              <a:rPr lang="pt-BR" sz="1100"/>
              <a:t>Nível de utilização dos conhecimentos adquiridos no IFS (1º emprego)</a:t>
            </a:r>
          </a:p>
        </c:rich>
      </c:tx>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65000"/>
                  <a:lumOff val="35000"/>
                </a:schemeClr>
              </a:solidFill>
              <a:latin typeface="Arial Narrow" panose="020B0606020202030204" pitchFamily="34" charset="0"/>
              <a:ea typeface="+mn-ea"/>
              <a:cs typeface="+mn-cs"/>
            </a:defRPr>
          </a:pPr>
          <a:endParaRPr lang="pt-BR"/>
        </a:p>
      </c:txPr>
    </c:title>
    <c:autoTitleDeleted val="0"/>
    <c:plotArea>
      <c:layout/>
      <c:radarChart>
        <c:radarStyle val="marker"/>
        <c:varyColors val="0"/>
        <c:ser>
          <c:idx val="0"/>
          <c:order val="0"/>
          <c:spPr>
            <a:ln w="28575" cap="rnd">
              <a:solidFill>
                <a:schemeClr val="accent6"/>
              </a:solidFill>
              <a:prstDash val="solid"/>
              <a:round/>
            </a:ln>
            <a:effectLst/>
          </c:spPr>
          <c:marker>
            <c:symbol val="circle"/>
            <c:size val="5"/>
            <c:spPr>
              <a:solidFill>
                <a:schemeClr val="accent6"/>
              </a:solidFill>
              <a:ln w="9525">
                <a:solidFill>
                  <a:schemeClr val="accent6"/>
                </a:solidFill>
                <a:prstDash val="solid"/>
              </a:ln>
              <a:effectLst/>
            </c:spPr>
          </c:marker>
          <c:cat>
            <c:strRef>
              <c:f>'1Emp'!$AO$15:$AO$19</c:f>
              <c:strCache>
                <c:ptCount val="5"/>
                <c:pt idx="0">
                  <c:v>Média</c:v>
                </c:pt>
                <c:pt idx="1">
                  <c:v>Moda</c:v>
                </c:pt>
                <c:pt idx="2">
                  <c:v>Mediana</c:v>
                </c:pt>
                <c:pt idx="3">
                  <c:v>Desvio Padrão</c:v>
                </c:pt>
                <c:pt idx="4">
                  <c:v>Variância</c:v>
                </c:pt>
              </c:strCache>
            </c:strRef>
          </c:cat>
          <c:val>
            <c:numRef>
              <c:f>'1Emp'!$AP$15:$AP$19</c:f>
              <c:numCache>
                <c:formatCode>#,##0</c:formatCode>
                <c:ptCount val="5"/>
                <c:pt idx="0" formatCode="#,##0.0">
                  <c:v>3.7298850574712645</c:v>
                </c:pt>
                <c:pt idx="1">
                  <c:v>5</c:v>
                </c:pt>
                <c:pt idx="2">
                  <c:v>4</c:v>
                </c:pt>
                <c:pt idx="3" formatCode="#,##0.0">
                  <c:v>1.3306189565465742</c:v>
                </c:pt>
                <c:pt idx="4" formatCode="#,##0.0">
                  <c:v>1.7705468075210939</c:v>
                </c:pt>
              </c:numCache>
            </c:numRef>
          </c:val>
          <c:extLst>
            <c:ext xmlns:c16="http://schemas.microsoft.com/office/drawing/2014/chart" uri="{C3380CC4-5D6E-409C-BE32-E72D297353CC}">
              <c16:uniqueId val="{00000000-5D3D-4CDF-B83F-C8838AB209A5}"/>
            </c:ext>
          </c:extLst>
        </c:ser>
        <c:dLbls>
          <c:showLegendKey val="0"/>
          <c:showVal val="0"/>
          <c:showCatName val="0"/>
          <c:showSerName val="0"/>
          <c:showPercent val="0"/>
          <c:showBubbleSize val="0"/>
        </c:dLbls>
        <c:axId val="409245096"/>
        <c:axId val="409245488"/>
      </c:radarChart>
      <c:catAx>
        <c:axId val="4092450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Narrow" panose="020B0606020202030204" pitchFamily="34" charset="0"/>
                <a:ea typeface="+mn-ea"/>
                <a:cs typeface="+mn-cs"/>
              </a:defRPr>
            </a:pPr>
            <a:endParaRPr lang="pt-BR"/>
          </a:p>
        </c:txPr>
        <c:crossAx val="409245488"/>
        <c:crosses val="autoZero"/>
        <c:auto val="1"/>
        <c:lblAlgn val="ctr"/>
        <c:lblOffset val="100"/>
        <c:noMultiLvlLbl val="0"/>
      </c:catAx>
      <c:valAx>
        <c:axId val="409245488"/>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Narrow" panose="020B0606020202030204" pitchFamily="34" charset="0"/>
                <a:ea typeface="+mn-ea"/>
                <a:cs typeface="+mn-cs"/>
              </a:defRPr>
            </a:pPr>
            <a:endParaRPr lang="pt-BR"/>
          </a:p>
        </c:txPr>
        <c:crossAx val="409245096"/>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Arial Narrow" panose="020B0606020202030204" pitchFamily="34" charset="0"/>
        </a:defRPr>
      </a:pPr>
      <a:endParaRPr lang="pt-BR"/>
    </a:p>
  </c:txPr>
  <c:printSettings>
    <c:headerFooter/>
    <c:pageMargins b="0.78740157499999996" l="0.511811024" r="0.511811024" t="0.78740157499999996" header="0.31496062000000002" footer="0.31496062000000002"/>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8"/>
    </mc:Choice>
    <mc:Fallback>
      <c:style val="8"/>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050" b="0" i="0" u="none" strike="noStrike" kern="1200" cap="none" spc="20" baseline="0">
                <a:solidFill>
                  <a:schemeClr val="bg2">
                    <a:lumMod val="25000"/>
                  </a:schemeClr>
                </a:solidFill>
                <a:latin typeface="Arial Narrow" panose="020B0606020202030204" pitchFamily="34" charset="0"/>
                <a:ea typeface="+mn-ea"/>
                <a:cs typeface="+mn-cs"/>
              </a:defRPr>
            </a:pPr>
            <a:r>
              <a:rPr lang="pt-BR" sz="1050"/>
              <a:t>Nível utilização dos conhecimentos adquiridos no IFS (1º emprego)</a:t>
            </a:r>
          </a:p>
        </c:rich>
      </c:tx>
      <c:layout/>
      <c:overlay val="0"/>
      <c:spPr>
        <a:noFill/>
        <a:ln>
          <a:noFill/>
        </a:ln>
        <a:effectLst/>
      </c:spPr>
      <c:txPr>
        <a:bodyPr rot="0" spcFirstLastPara="1" vertOverflow="ellipsis" vert="horz" wrap="square" anchor="ctr" anchorCtr="1"/>
        <a:lstStyle/>
        <a:p>
          <a:pPr>
            <a:defRPr sz="1050" b="0" i="0" u="none" strike="noStrike" kern="1200" cap="none" spc="20" baseline="0">
              <a:solidFill>
                <a:schemeClr val="bg2">
                  <a:lumMod val="25000"/>
                </a:schemeClr>
              </a:solidFill>
              <a:latin typeface="Arial Narrow" panose="020B0606020202030204" pitchFamily="34" charset="0"/>
              <a:ea typeface="+mn-ea"/>
              <a:cs typeface="+mn-cs"/>
            </a:defRPr>
          </a:pPr>
          <a:endParaRPr lang="pt-BR"/>
        </a:p>
      </c:txPr>
    </c:title>
    <c:autoTitleDeleted val="0"/>
    <c:plotArea>
      <c:layout/>
      <c:barChart>
        <c:barDir val="col"/>
        <c:grouping val="clustered"/>
        <c:varyColors val="0"/>
        <c:ser>
          <c:idx val="0"/>
          <c:order val="0"/>
          <c:tx>
            <c:strRef>
              <c:f>'1Emp'!$AQ$31</c:f>
              <c:strCache>
                <c:ptCount val="1"/>
                <c:pt idx="0">
                  <c:v>Bacharelado em Sistemas de Informação</c:v>
                </c:pt>
              </c:strCache>
            </c:strRef>
          </c:tx>
          <c:spPr>
            <a:solidFill>
              <a:srgbClr val="4472C4">
                <a:lumMod val="40000"/>
                <a:lumOff val="60000"/>
              </a:srgbClr>
            </a:solidFill>
            <a:ln w="9525" cap="flat" cmpd="sng" algn="ctr">
              <a:solidFill>
                <a:srgbClr val="4472C4">
                  <a:lumMod val="50000"/>
                </a:srgbClr>
              </a:solidFill>
              <a:round/>
            </a:ln>
            <a:effectLst/>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bg2">
                        <a:lumMod val="25000"/>
                      </a:schemeClr>
                    </a:solidFill>
                    <a:latin typeface="Arial Narrow" panose="020B0606020202030204" pitchFamily="34" charset="0"/>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val>
            <c:numRef>
              <c:f>'1Emp'!$AQ$32:$AQ$36</c:f>
              <c:numCache>
                <c:formatCode>0.0%</c:formatCode>
                <c:ptCount val="5"/>
                <c:pt idx="0">
                  <c:v>0</c:v>
                </c:pt>
                <c:pt idx="1">
                  <c:v>0</c:v>
                </c:pt>
                <c:pt idx="2">
                  <c:v>0.1111111111111111</c:v>
                </c:pt>
                <c:pt idx="3">
                  <c:v>0.3888888888888889</c:v>
                </c:pt>
                <c:pt idx="4">
                  <c:v>0.5</c:v>
                </c:pt>
              </c:numCache>
            </c:numRef>
          </c:val>
          <c:extLst>
            <c:ext xmlns:c16="http://schemas.microsoft.com/office/drawing/2014/chart" uri="{C3380CC4-5D6E-409C-BE32-E72D297353CC}">
              <c16:uniqueId val="{00000000-C597-441A-A7A4-228B2964C27C}"/>
            </c:ext>
          </c:extLst>
        </c:ser>
        <c:ser>
          <c:idx val="2"/>
          <c:order val="1"/>
          <c:tx>
            <c:strRef>
              <c:f>'1Emp'!$AS$31</c:f>
              <c:strCache>
                <c:ptCount val="1"/>
                <c:pt idx="0">
                  <c:v>IFS</c:v>
                </c:pt>
              </c:strCache>
            </c:strRef>
          </c:tx>
          <c:spPr>
            <a:gradFill rotWithShape="1">
              <a:gsLst>
                <a:gs pos="0">
                  <a:schemeClr val="accent6">
                    <a:shade val="65000"/>
                    <a:lumMod val="110000"/>
                    <a:satMod val="105000"/>
                    <a:tint val="67000"/>
                  </a:schemeClr>
                </a:gs>
                <a:gs pos="50000">
                  <a:schemeClr val="accent6">
                    <a:shade val="65000"/>
                    <a:lumMod val="105000"/>
                    <a:satMod val="103000"/>
                    <a:tint val="73000"/>
                  </a:schemeClr>
                </a:gs>
                <a:gs pos="100000">
                  <a:schemeClr val="accent6">
                    <a:shade val="65000"/>
                    <a:lumMod val="105000"/>
                    <a:satMod val="109000"/>
                    <a:tint val="81000"/>
                  </a:schemeClr>
                </a:gs>
              </a:gsLst>
              <a:lin ang="5400000" scaled="0"/>
            </a:gradFill>
            <a:ln w="9525" cap="flat" cmpd="sng" algn="ctr">
              <a:solidFill>
                <a:srgbClr val="70AD47">
                  <a:lumMod val="50000"/>
                </a:srgb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2">
                        <a:lumMod val="25000"/>
                      </a:schemeClr>
                    </a:solidFill>
                    <a:latin typeface="Arial Narrow" panose="020B0606020202030204" pitchFamily="34" charset="0"/>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val>
            <c:numRef>
              <c:f>'1Emp'!$AS$32:$AS$36</c:f>
              <c:numCache>
                <c:formatCode>0.0%</c:formatCode>
                <c:ptCount val="5"/>
                <c:pt idx="0">
                  <c:v>9.7701149425287362E-2</c:v>
                </c:pt>
                <c:pt idx="1">
                  <c:v>9.7701149425287362E-2</c:v>
                </c:pt>
                <c:pt idx="2">
                  <c:v>0.17241379310344829</c:v>
                </c:pt>
                <c:pt idx="3">
                  <c:v>0.2413793103448276</c:v>
                </c:pt>
                <c:pt idx="4">
                  <c:v>0.39080459770114945</c:v>
                </c:pt>
              </c:numCache>
            </c:numRef>
          </c:val>
          <c:extLst>
            <c:ext xmlns:c16="http://schemas.microsoft.com/office/drawing/2014/chart" uri="{C3380CC4-5D6E-409C-BE32-E72D297353CC}">
              <c16:uniqueId val="{00000001-C597-441A-A7A4-228B2964C27C}"/>
            </c:ext>
          </c:extLst>
        </c:ser>
        <c:dLbls>
          <c:showLegendKey val="0"/>
          <c:showVal val="0"/>
          <c:showCatName val="0"/>
          <c:showSerName val="0"/>
          <c:showPercent val="0"/>
          <c:showBubbleSize val="0"/>
        </c:dLbls>
        <c:gapWidth val="60"/>
        <c:axId val="409240392"/>
        <c:axId val="409247056"/>
      </c:barChart>
      <c:valAx>
        <c:axId val="409247056"/>
        <c:scaling>
          <c:orientation val="minMax"/>
        </c:scaling>
        <c:delete val="0"/>
        <c:axPos val="l"/>
        <c:numFmt formatCode="0.0%"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bg2">
                    <a:lumMod val="25000"/>
                  </a:schemeClr>
                </a:solidFill>
                <a:latin typeface="Arial Narrow" panose="020B0606020202030204" pitchFamily="34" charset="0"/>
                <a:ea typeface="+mn-ea"/>
                <a:cs typeface="+mn-cs"/>
              </a:defRPr>
            </a:pPr>
            <a:endParaRPr lang="pt-BR"/>
          </a:p>
        </c:txPr>
        <c:crossAx val="409240392"/>
        <c:crosses val="autoZero"/>
        <c:crossBetween val="between"/>
      </c:valAx>
      <c:catAx>
        <c:axId val="4092403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bg2">
                    <a:lumMod val="25000"/>
                  </a:schemeClr>
                </a:solidFill>
                <a:latin typeface="Arial Narrow" panose="020B0606020202030204" pitchFamily="34" charset="0"/>
                <a:ea typeface="+mn-ea"/>
                <a:cs typeface="+mn-cs"/>
              </a:defRPr>
            </a:pPr>
            <a:endParaRPr lang="pt-BR"/>
          </a:p>
        </c:txPr>
        <c:crossAx val="409247056"/>
        <c:crosses val="autoZero"/>
        <c:auto val="1"/>
        <c:lblAlgn val="ctr"/>
        <c:lblOffset val="100"/>
        <c:noMultiLvlLbl val="0"/>
      </c:cat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1100" b="0" i="0" u="none" strike="noStrike" kern="1200" baseline="0">
              <a:solidFill>
                <a:schemeClr val="bg2">
                  <a:lumMod val="25000"/>
                </a:schemeClr>
              </a:solidFill>
              <a:latin typeface="Arial Narrow" panose="020B0606020202030204" pitchFamily="34" charset="0"/>
              <a:ea typeface="+mn-ea"/>
              <a:cs typeface="+mn-cs"/>
            </a:defRPr>
          </a:pPr>
          <a:endParaRPr lang="pt-BR"/>
        </a:p>
      </c:txPr>
    </c:legend>
    <c:plotVisOnly val="1"/>
    <c:dispBlanksAs val="gap"/>
    <c:showDLblsOverMax val="0"/>
  </c:chart>
  <c:spPr>
    <a:solidFill>
      <a:schemeClr val="bg1"/>
    </a:solidFill>
    <a:ln w="9525" cap="flat" cmpd="sng" algn="ctr">
      <a:noFill/>
      <a:round/>
    </a:ln>
    <a:effectLst/>
  </c:spPr>
  <c:txPr>
    <a:bodyPr/>
    <a:lstStyle/>
    <a:p>
      <a:pPr>
        <a:defRPr>
          <a:solidFill>
            <a:schemeClr val="bg2">
              <a:lumMod val="25000"/>
            </a:schemeClr>
          </a:solidFill>
          <a:latin typeface="Arial Narrow" panose="020B0606020202030204" pitchFamily="34" charset="0"/>
        </a:defRPr>
      </a:pPr>
      <a:endParaRPr lang="pt-BR"/>
    </a:p>
  </c:txPr>
  <c:printSettings>
    <c:headerFooter/>
    <c:pageMargins b="0.78740157499999996" l="0.511811024" r="0.511811024" t="0.78740157499999996" header="0.31496062000000002" footer="0.31496062000000002"/>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8"/>
    </mc:Choice>
    <mc:Fallback>
      <c:style val="8"/>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100" b="0" i="0" u="none" strike="noStrike" kern="1200" spc="0" baseline="0">
                <a:solidFill>
                  <a:schemeClr val="tx1">
                    <a:lumMod val="65000"/>
                    <a:lumOff val="35000"/>
                  </a:schemeClr>
                </a:solidFill>
                <a:latin typeface="Arial Narrow" panose="020B0606020202030204" pitchFamily="34" charset="0"/>
                <a:ea typeface="+mn-ea"/>
                <a:cs typeface="+mn-cs"/>
              </a:defRPr>
            </a:pPr>
            <a:r>
              <a:rPr lang="pt-BR" sz="1100"/>
              <a:t>Nível utilização dos conhecimentos adquiridos no IFS (1º emprego)</a:t>
            </a:r>
          </a:p>
        </c:rich>
      </c:tx>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65000"/>
                  <a:lumOff val="35000"/>
                </a:schemeClr>
              </a:solidFill>
              <a:latin typeface="Arial Narrow" panose="020B0606020202030204" pitchFamily="34" charset="0"/>
              <a:ea typeface="+mn-ea"/>
              <a:cs typeface="+mn-cs"/>
            </a:defRPr>
          </a:pPr>
          <a:endParaRPr lang="pt-BR"/>
        </a:p>
      </c:txPr>
    </c:title>
    <c:autoTitleDeleted val="0"/>
    <c:plotArea>
      <c:layout/>
      <c:radarChart>
        <c:radarStyle val="marker"/>
        <c:varyColors val="0"/>
        <c:ser>
          <c:idx val="0"/>
          <c:order val="0"/>
          <c:tx>
            <c:strRef>
              <c:f>'1Emp'!$AP$31</c:f>
              <c:strCache>
                <c:ptCount val="1"/>
                <c:pt idx="0">
                  <c:v>Bacharelado em Sistemas de Informação</c:v>
                </c:pt>
              </c:strCache>
            </c:strRef>
          </c:tx>
          <c:spPr>
            <a:ln w="25400" cap="rnd">
              <a:solidFill>
                <a:srgbClr val="ED7D31"/>
              </a:solidFill>
              <a:prstDash val="sysDash"/>
              <a:round/>
            </a:ln>
            <a:effectLst/>
          </c:spPr>
          <c:marker>
            <c:symbol val="circle"/>
            <c:size val="5"/>
            <c:spPr>
              <a:solidFill>
                <a:srgbClr val="ED7D31"/>
              </a:solidFill>
              <a:ln w="9525">
                <a:solidFill>
                  <a:srgbClr val="ED7D31"/>
                </a:solidFill>
                <a:prstDash val="solid"/>
              </a:ln>
              <a:effectLst/>
            </c:spPr>
          </c:marker>
          <c:cat>
            <c:strRef>
              <c:f>'1Emp'!$AO$38:$AO$42</c:f>
              <c:strCache>
                <c:ptCount val="5"/>
                <c:pt idx="0">
                  <c:v>Média</c:v>
                </c:pt>
                <c:pt idx="1">
                  <c:v>Moda</c:v>
                </c:pt>
                <c:pt idx="2">
                  <c:v>Mediana</c:v>
                </c:pt>
                <c:pt idx="3">
                  <c:v>Desvio Padrão</c:v>
                </c:pt>
                <c:pt idx="4">
                  <c:v>Variância</c:v>
                </c:pt>
              </c:strCache>
            </c:strRef>
          </c:cat>
          <c:val>
            <c:numRef>
              <c:f>'1Emp'!$AP$38:$AP$42</c:f>
              <c:numCache>
                <c:formatCode>#,##0</c:formatCode>
                <c:ptCount val="5"/>
                <c:pt idx="0" formatCode="#,##0.0">
                  <c:v>4.3888888888888893</c:v>
                </c:pt>
                <c:pt idx="1">
                  <c:v>5</c:v>
                </c:pt>
                <c:pt idx="2">
                  <c:v>4</c:v>
                </c:pt>
                <c:pt idx="3" formatCode="#,##0.0">
                  <c:v>1.9788276570108509</c:v>
                </c:pt>
                <c:pt idx="4" formatCode="#,##0.0">
                  <c:v>3.9157588961510537</c:v>
                </c:pt>
              </c:numCache>
            </c:numRef>
          </c:val>
          <c:extLst>
            <c:ext xmlns:c16="http://schemas.microsoft.com/office/drawing/2014/chart" uri="{C3380CC4-5D6E-409C-BE32-E72D297353CC}">
              <c16:uniqueId val="{00000000-B133-4196-8821-20B28A0412FE}"/>
            </c:ext>
          </c:extLst>
        </c:ser>
        <c:ser>
          <c:idx val="2"/>
          <c:order val="1"/>
          <c:tx>
            <c:strRef>
              <c:f>'1Emp'!$AR$31</c:f>
              <c:strCache>
                <c:ptCount val="1"/>
                <c:pt idx="0">
                  <c:v>IFS</c:v>
                </c:pt>
              </c:strCache>
            </c:strRef>
          </c:tx>
          <c:spPr>
            <a:ln w="25400" cap="rnd">
              <a:solidFill>
                <a:schemeClr val="accent6">
                  <a:shade val="65000"/>
                </a:schemeClr>
              </a:solidFill>
              <a:round/>
            </a:ln>
            <a:effectLst/>
          </c:spPr>
          <c:marker>
            <c:symbol val="circle"/>
            <c:size val="5"/>
            <c:spPr>
              <a:solidFill>
                <a:schemeClr val="accent6">
                  <a:shade val="65000"/>
                </a:schemeClr>
              </a:solidFill>
              <a:ln w="9525">
                <a:solidFill>
                  <a:schemeClr val="accent6">
                    <a:shade val="65000"/>
                  </a:schemeClr>
                </a:solidFill>
              </a:ln>
              <a:effectLst/>
            </c:spPr>
          </c:marker>
          <c:cat>
            <c:strRef>
              <c:f>'1Emp'!$AO$38:$AO$42</c:f>
              <c:strCache>
                <c:ptCount val="5"/>
                <c:pt idx="0">
                  <c:v>Média</c:v>
                </c:pt>
                <c:pt idx="1">
                  <c:v>Moda</c:v>
                </c:pt>
                <c:pt idx="2">
                  <c:v>Mediana</c:v>
                </c:pt>
                <c:pt idx="3">
                  <c:v>Desvio Padrão</c:v>
                </c:pt>
                <c:pt idx="4">
                  <c:v>Variância</c:v>
                </c:pt>
              </c:strCache>
            </c:strRef>
          </c:cat>
          <c:val>
            <c:numRef>
              <c:f>'1Emp'!$AR$38:$AR$42</c:f>
              <c:numCache>
                <c:formatCode>#,##0</c:formatCode>
                <c:ptCount val="5"/>
                <c:pt idx="0" formatCode="#,##0.0">
                  <c:v>3.7298850574712645</c:v>
                </c:pt>
                <c:pt idx="1">
                  <c:v>5</c:v>
                </c:pt>
                <c:pt idx="2">
                  <c:v>4</c:v>
                </c:pt>
                <c:pt idx="3" formatCode="#,##0.0">
                  <c:v>1.3306189565465742</c:v>
                </c:pt>
                <c:pt idx="4" formatCode="#,##0.0">
                  <c:v>1.7705468075210939</c:v>
                </c:pt>
              </c:numCache>
            </c:numRef>
          </c:val>
          <c:extLst>
            <c:ext xmlns:c16="http://schemas.microsoft.com/office/drawing/2014/chart" uri="{C3380CC4-5D6E-409C-BE32-E72D297353CC}">
              <c16:uniqueId val="{00000001-B133-4196-8821-20B28A0412FE}"/>
            </c:ext>
          </c:extLst>
        </c:ser>
        <c:dLbls>
          <c:showLegendKey val="0"/>
          <c:showVal val="0"/>
          <c:showCatName val="0"/>
          <c:showSerName val="0"/>
          <c:showPercent val="0"/>
          <c:showBubbleSize val="0"/>
        </c:dLbls>
        <c:axId val="408380464"/>
        <c:axId val="409525704"/>
      </c:radarChart>
      <c:catAx>
        <c:axId val="4083804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Arial Narrow" panose="020B0606020202030204" pitchFamily="34" charset="0"/>
                <a:ea typeface="+mn-ea"/>
                <a:cs typeface="+mn-cs"/>
              </a:defRPr>
            </a:pPr>
            <a:endParaRPr lang="pt-BR"/>
          </a:p>
        </c:txPr>
        <c:crossAx val="409525704"/>
        <c:crosses val="autoZero"/>
        <c:auto val="1"/>
        <c:lblAlgn val="ctr"/>
        <c:lblOffset val="100"/>
        <c:noMultiLvlLbl val="0"/>
      </c:catAx>
      <c:valAx>
        <c:axId val="40952570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Narrow" panose="020B0606020202030204" pitchFamily="34" charset="0"/>
                <a:ea typeface="+mn-ea"/>
                <a:cs typeface="+mn-cs"/>
              </a:defRPr>
            </a:pPr>
            <a:endParaRPr lang="pt-BR"/>
          </a:p>
        </c:txPr>
        <c:crossAx val="408380464"/>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Arial Narrow" panose="020B0606020202030204" pitchFamily="34" charset="0"/>
              <a:ea typeface="+mn-ea"/>
              <a:cs typeface="+mn-cs"/>
            </a:defRPr>
          </a:pPr>
          <a:endParaRPr lang="pt-BR"/>
        </a:p>
      </c:txPr>
    </c:legend>
    <c:plotVisOnly val="1"/>
    <c:dispBlanksAs val="gap"/>
    <c:showDLblsOverMax val="0"/>
  </c:chart>
  <c:spPr>
    <a:solidFill>
      <a:schemeClr val="bg1"/>
    </a:solidFill>
    <a:ln w="9525" cap="flat" cmpd="sng" algn="ctr">
      <a:noFill/>
      <a:round/>
    </a:ln>
    <a:effectLst/>
  </c:spPr>
  <c:txPr>
    <a:bodyPr/>
    <a:lstStyle/>
    <a:p>
      <a:pPr>
        <a:defRPr>
          <a:latin typeface="Arial Narrow" panose="020B0606020202030204" pitchFamily="34" charset="0"/>
        </a:defRPr>
      </a:pPr>
      <a:endParaRPr lang="pt-BR"/>
    </a:p>
  </c:txPr>
  <c:printSettings>
    <c:headerFooter/>
    <c:pageMargins b="0.78740157499999996" l="0.511811024" r="0.511811024" t="0.78740157499999996" header="0.31496062000000002" footer="0.31496062000000002"/>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8"/>
    </mc:Choice>
    <mc:Fallback>
      <c:style val="8"/>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200" b="0" i="0" u="none" strike="noStrike" kern="1200" cap="none" spc="20" baseline="0">
                <a:solidFill>
                  <a:schemeClr val="bg2">
                    <a:lumMod val="25000"/>
                  </a:schemeClr>
                </a:solidFill>
                <a:latin typeface="Arial Narrow" panose="020B0606020202030204" pitchFamily="34" charset="0"/>
                <a:ea typeface="+mn-ea"/>
                <a:cs typeface="+mn-cs"/>
              </a:defRPr>
            </a:pPr>
            <a:r>
              <a:rPr lang="en-US" sz="1200"/>
              <a:t>Nível</a:t>
            </a:r>
            <a:r>
              <a:rPr lang="en-US" sz="1200" baseline="0"/>
              <a:t> de exigência do 1º emprego em relação a conhecimentos e habilidades</a:t>
            </a:r>
            <a:endParaRPr lang="en-US" sz="1200"/>
          </a:p>
        </c:rich>
      </c:tx>
      <c:layout/>
      <c:overlay val="0"/>
      <c:spPr>
        <a:noFill/>
        <a:ln>
          <a:noFill/>
        </a:ln>
        <a:effectLst/>
      </c:spPr>
      <c:txPr>
        <a:bodyPr rot="0" spcFirstLastPara="1" vertOverflow="ellipsis" vert="horz" wrap="square" anchor="ctr" anchorCtr="1"/>
        <a:lstStyle/>
        <a:p>
          <a:pPr>
            <a:defRPr sz="1200" b="0" i="0" u="none" strike="noStrike" kern="1200" cap="none" spc="20" baseline="0">
              <a:solidFill>
                <a:schemeClr val="bg2">
                  <a:lumMod val="25000"/>
                </a:schemeClr>
              </a:solidFill>
              <a:latin typeface="Arial Narrow" panose="020B0606020202030204" pitchFamily="34" charset="0"/>
              <a:ea typeface="+mn-ea"/>
              <a:cs typeface="+mn-cs"/>
            </a:defRPr>
          </a:pPr>
          <a:endParaRPr lang="pt-BR"/>
        </a:p>
      </c:txPr>
    </c:title>
    <c:autoTitleDeleted val="0"/>
    <c:plotArea>
      <c:layout/>
      <c:barChart>
        <c:barDir val="col"/>
        <c:grouping val="clustered"/>
        <c:varyColors val="0"/>
        <c:ser>
          <c:idx val="2"/>
          <c:order val="0"/>
          <c:tx>
            <c:strRef>
              <c:f>'1Emp'!$AQ$56</c:f>
              <c:strCache>
                <c:ptCount val="1"/>
                <c:pt idx="0">
                  <c:v>%</c:v>
                </c:pt>
              </c:strCache>
            </c:strRef>
          </c:tx>
          <c:spPr>
            <a:gradFill rotWithShape="1">
              <a:gsLst>
                <a:gs pos="0">
                  <a:schemeClr val="accent6">
                    <a:shade val="65000"/>
                    <a:lumMod val="110000"/>
                    <a:satMod val="105000"/>
                    <a:tint val="67000"/>
                  </a:schemeClr>
                </a:gs>
                <a:gs pos="50000">
                  <a:schemeClr val="accent6">
                    <a:shade val="65000"/>
                    <a:lumMod val="105000"/>
                    <a:satMod val="103000"/>
                    <a:tint val="73000"/>
                  </a:schemeClr>
                </a:gs>
                <a:gs pos="100000">
                  <a:schemeClr val="accent6">
                    <a:shade val="65000"/>
                    <a:lumMod val="105000"/>
                    <a:satMod val="109000"/>
                    <a:tint val="81000"/>
                  </a:schemeClr>
                </a:gs>
              </a:gsLst>
              <a:lin ang="5400000" scaled="0"/>
            </a:gradFill>
            <a:ln w="9525" cap="flat" cmpd="sng" algn="ctr">
              <a:solidFill>
                <a:schemeClr val="accent6">
                  <a:shade val="65000"/>
                  <a:shade val="95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2">
                        <a:lumMod val="25000"/>
                      </a:schemeClr>
                    </a:solidFill>
                    <a:latin typeface="Arial Narrow" panose="020B0606020202030204" pitchFamily="34" charset="0"/>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val>
            <c:numRef>
              <c:f>'1Emp'!$AQ$57:$AQ$61</c:f>
              <c:numCache>
                <c:formatCode>0.0%</c:formatCode>
                <c:ptCount val="5"/>
                <c:pt idx="0">
                  <c:v>0.15517241379310345</c:v>
                </c:pt>
                <c:pt idx="1">
                  <c:v>0.15517241379310345</c:v>
                </c:pt>
                <c:pt idx="2">
                  <c:v>0.22413793103448276</c:v>
                </c:pt>
                <c:pt idx="3">
                  <c:v>0.2413793103448276</c:v>
                </c:pt>
                <c:pt idx="4">
                  <c:v>0.22413793103448276</c:v>
                </c:pt>
              </c:numCache>
            </c:numRef>
          </c:val>
          <c:extLst>
            <c:ext xmlns:c16="http://schemas.microsoft.com/office/drawing/2014/chart" uri="{C3380CC4-5D6E-409C-BE32-E72D297353CC}">
              <c16:uniqueId val="{00000000-E297-4CCA-B455-87BF9779B062}"/>
            </c:ext>
          </c:extLst>
        </c:ser>
        <c:dLbls>
          <c:showLegendKey val="0"/>
          <c:showVal val="0"/>
          <c:showCatName val="0"/>
          <c:showSerName val="0"/>
          <c:showPercent val="0"/>
          <c:showBubbleSize val="0"/>
        </c:dLbls>
        <c:gapWidth val="219"/>
        <c:axId val="409521784"/>
        <c:axId val="409519040"/>
      </c:barChart>
      <c:valAx>
        <c:axId val="409519040"/>
        <c:scaling>
          <c:orientation val="minMax"/>
        </c:scaling>
        <c:delete val="0"/>
        <c:axPos val="l"/>
        <c:numFmt formatCode="0.0%"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bg2">
                    <a:lumMod val="25000"/>
                  </a:schemeClr>
                </a:solidFill>
                <a:latin typeface="Arial Narrow" panose="020B0606020202030204" pitchFamily="34" charset="0"/>
                <a:ea typeface="+mn-ea"/>
                <a:cs typeface="+mn-cs"/>
              </a:defRPr>
            </a:pPr>
            <a:endParaRPr lang="pt-BR"/>
          </a:p>
        </c:txPr>
        <c:crossAx val="409521784"/>
        <c:crosses val="autoZero"/>
        <c:crossBetween val="between"/>
      </c:valAx>
      <c:catAx>
        <c:axId val="4095217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bg2">
                    <a:lumMod val="25000"/>
                  </a:schemeClr>
                </a:solidFill>
                <a:latin typeface="Arial Narrow" panose="020B0606020202030204" pitchFamily="34" charset="0"/>
                <a:ea typeface="+mn-ea"/>
                <a:cs typeface="+mn-cs"/>
              </a:defRPr>
            </a:pPr>
            <a:endParaRPr lang="pt-BR"/>
          </a:p>
        </c:txPr>
        <c:crossAx val="409519040"/>
        <c:crosses val="autoZero"/>
        <c:auto val="1"/>
        <c:lblAlgn val="ctr"/>
        <c:lblOffset val="100"/>
        <c:noMultiLvlLbl val="0"/>
      </c:cat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solidFill>
            <a:schemeClr val="bg2">
              <a:lumMod val="25000"/>
            </a:schemeClr>
          </a:solidFill>
          <a:latin typeface="Arial Narrow" panose="020B0606020202030204" pitchFamily="34" charset="0"/>
        </a:defRPr>
      </a:pPr>
      <a:endParaRPr lang="pt-BR"/>
    </a:p>
  </c:txPr>
  <c:printSettings>
    <c:headerFooter/>
    <c:pageMargins b="0.78740157499999996" l="0.511811024" r="0.511811024" t="0.78740157499999996" header="0.31496062000000002" footer="0.31496062000000002"/>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8"/>
    </mc:Choice>
    <mc:Fallback>
      <c:style val="8"/>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Arial Narrow" panose="020B0606020202030204" pitchFamily="34" charset="0"/>
                <a:ea typeface="+mn-ea"/>
                <a:cs typeface="+mn-cs"/>
              </a:defRPr>
            </a:pPr>
            <a:r>
              <a:rPr lang="pt-BR"/>
              <a:t>Nível de exigência do 1º emprego em relação a conhecimentos e habilidades</a:t>
            </a:r>
          </a:p>
        </c:rich>
      </c:tx>
      <c:layout/>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Arial Narrow" panose="020B0606020202030204" pitchFamily="34" charset="0"/>
              <a:ea typeface="+mn-ea"/>
              <a:cs typeface="+mn-cs"/>
            </a:defRPr>
          </a:pPr>
          <a:endParaRPr lang="pt-BR"/>
        </a:p>
      </c:txPr>
    </c:title>
    <c:autoTitleDeleted val="0"/>
    <c:plotArea>
      <c:layout/>
      <c:radarChart>
        <c:radarStyle val="marker"/>
        <c:varyColors val="0"/>
        <c:ser>
          <c:idx val="0"/>
          <c:order val="0"/>
          <c:spPr>
            <a:ln w="28575" cap="rnd">
              <a:solidFill>
                <a:schemeClr val="accent6"/>
              </a:solidFill>
              <a:prstDash val="solid"/>
              <a:round/>
            </a:ln>
            <a:effectLst/>
          </c:spPr>
          <c:marker>
            <c:symbol val="circle"/>
            <c:size val="5"/>
            <c:spPr>
              <a:solidFill>
                <a:schemeClr val="accent6"/>
              </a:solidFill>
              <a:ln w="9525">
                <a:solidFill>
                  <a:schemeClr val="accent6"/>
                </a:solidFill>
                <a:prstDash val="solid"/>
              </a:ln>
              <a:effectLst/>
            </c:spPr>
          </c:marker>
          <c:cat>
            <c:strRef>
              <c:f>'1Emp'!$AO$63:$AO$67</c:f>
              <c:strCache>
                <c:ptCount val="5"/>
                <c:pt idx="0">
                  <c:v>Média</c:v>
                </c:pt>
                <c:pt idx="1">
                  <c:v>Moda</c:v>
                </c:pt>
                <c:pt idx="2">
                  <c:v>Mediana</c:v>
                </c:pt>
                <c:pt idx="3">
                  <c:v>Desvio Padrão</c:v>
                </c:pt>
                <c:pt idx="4">
                  <c:v>Variância</c:v>
                </c:pt>
              </c:strCache>
            </c:strRef>
          </c:cat>
          <c:val>
            <c:numRef>
              <c:f>'1Emp'!$AP$63:$AP$67</c:f>
              <c:numCache>
                <c:formatCode>#,##0</c:formatCode>
                <c:ptCount val="5"/>
                <c:pt idx="0" formatCode="#,##0.0">
                  <c:v>3.2241379310344827</c:v>
                </c:pt>
                <c:pt idx="1">
                  <c:v>4</c:v>
                </c:pt>
                <c:pt idx="2">
                  <c:v>3</c:v>
                </c:pt>
                <c:pt idx="3" formatCode="#,##0.0">
                  <c:v>1.3690607317513128</c:v>
                </c:pt>
                <c:pt idx="4" formatCode="#,##0.0">
                  <c:v>1.8743272872234402</c:v>
                </c:pt>
              </c:numCache>
            </c:numRef>
          </c:val>
          <c:extLst>
            <c:ext xmlns:c16="http://schemas.microsoft.com/office/drawing/2014/chart" uri="{C3380CC4-5D6E-409C-BE32-E72D297353CC}">
              <c16:uniqueId val="{00000000-53D5-45EE-BDE6-8DE421F0C02F}"/>
            </c:ext>
          </c:extLst>
        </c:ser>
        <c:dLbls>
          <c:showLegendKey val="0"/>
          <c:showVal val="0"/>
          <c:showCatName val="0"/>
          <c:showSerName val="0"/>
          <c:showPercent val="0"/>
          <c:showBubbleSize val="0"/>
        </c:dLbls>
        <c:axId val="409522176"/>
        <c:axId val="409526488"/>
      </c:radarChart>
      <c:catAx>
        <c:axId val="4095221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Arial Narrow" panose="020B0606020202030204" pitchFamily="34" charset="0"/>
                <a:ea typeface="+mn-ea"/>
                <a:cs typeface="+mn-cs"/>
              </a:defRPr>
            </a:pPr>
            <a:endParaRPr lang="pt-BR"/>
          </a:p>
        </c:txPr>
        <c:crossAx val="409526488"/>
        <c:crosses val="autoZero"/>
        <c:auto val="1"/>
        <c:lblAlgn val="ctr"/>
        <c:lblOffset val="100"/>
        <c:noMultiLvlLbl val="0"/>
      </c:catAx>
      <c:valAx>
        <c:axId val="409526488"/>
        <c:scaling>
          <c:orientation val="minMax"/>
          <c:max val="5"/>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Narrow" panose="020B0606020202030204" pitchFamily="34" charset="0"/>
                <a:ea typeface="+mn-ea"/>
                <a:cs typeface="+mn-cs"/>
              </a:defRPr>
            </a:pPr>
            <a:endParaRPr lang="pt-BR"/>
          </a:p>
        </c:txPr>
        <c:crossAx val="409522176"/>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Arial Narrow" panose="020B0606020202030204" pitchFamily="34" charset="0"/>
        </a:defRPr>
      </a:pPr>
      <a:endParaRPr lang="pt-BR"/>
    </a:p>
  </c:txPr>
  <c:printSettings>
    <c:headerFooter/>
    <c:pageMargins b="0.78740157499999996" l="0.511811024" r="0.511811024" t="0.78740157499999996" header="0.31496062000000002" footer="0.31496062000000002"/>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8"/>
    </mc:Choice>
    <mc:Fallback>
      <c:style val="8"/>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200" b="0" i="0" u="none" strike="noStrike" kern="1200" cap="none" spc="20" baseline="0">
                <a:solidFill>
                  <a:srgbClr val="E7E6E6">
                    <a:lumMod val="25000"/>
                  </a:srgbClr>
                </a:solidFill>
                <a:latin typeface="Arial Narrow" panose="020B0606020202030204" pitchFamily="34" charset="0"/>
                <a:ea typeface="+mn-ea"/>
                <a:cs typeface="+mn-cs"/>
              </a:defRPr>
            </a:pPr>
            <a:r>
              <a:rPr lang="en-US" sz="1200" b="0" i="0" baseline="0">
                <a:effectLst/>
              </a:rPr>
              <a:t>Nível de exigência do 1º emprego em relação a conhecimentos e habilidades</a:t>
            </a:r>
            <a:endParaRPr lang="pt-BR" sz="1200">
              <a:effectLst/>
            </a:endParaRPr>
          </a:p>
        </c:rich>
      </c:tx>
      <c:layout/>
      <c:overlay val="0"/>
      <c:spPr>
        <a:noFill/>
        <a:ln>
          <a:noFill/>
        </a:ln>
        <a:effectLst/>
      </c:spPr>
      <c:txPr>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200" b="0" i="0" u="none" strike="noStrike" kern="1200" cap="none" spc="20" baseline="0">
              <a:solidFill>
                <a:srgbClr val="E7E6E6">
                  <a:lumMod val="25000"/>
                </a:srgbClr>
              </a:solidFill>
              <a:latin typeface="Arial Narrow" panose="020B0606020202030204" pitchFamily="34" charset="0"/>
              <a:ea typeface="+mn-ea"/>
              <a:cs typeface="+mn-cs"/>
            </a:defRPr>
          </a:pPr>
          <a:endParaRPr lang="pt-BR"/>
        </a:p>
      </c:txPr>
    </c:title>
    <c:autoTitleDeleted val="0"/>
    <c:plotArea>
      <c:layout/>
      <c:barChart>
        <c:barDir val="col"/>
        <c:grouping val="clustered"/>
        <c:varyColors val="0"/>
        <c:ser>
          <c:idx val="0"/>
          <c:order val="0"/>
          <c:tx>
            <c:strRef>
              <c:f>'1Emp'!$AQ$79</c:f>
              <c:strCache>
                <c:ptCount val="1"/>
                <c:pt idx="0">
                  <c:v>Bacharelado em Sistemas de Informação</c:v>
                </c:pt>
              </c:strCache>
            </c:strRef>
          </c:tx>
          <c:spPr>
            <a:solidFill>
              <a:srgbClr val="4472C4">
                <a:lumMod val="40000"/>
                <a:lumOff val="60000"/>
              </a:srgbClr>
            </a:solidFill>
            <a:ln w="9525" cap="flat" cmpd="sng" algn="ctr">
              <a:solidFill>
                <a:srgbClr val="4472C4">
                  <a:lumMod val="50000"/>
                </a:srgbClr>
              </a:solidFill>
              <a:round/>
            </a:ln>
            <a:effectLst/>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bg2">
                        <a:lumMod val="25000"/>
                      </a:schemeClr>
                    </a:solidFill>
                    <a:latin typeface="Arial Narrow" panose="020B0606020202030204" pitchFamily="34" charset="0"/>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val>
            <c:numRef>
              <c:f>'1Emp'!$AQ$80:$AQ$84</c:f>
              <c:numCache>
                <c:formatCode>0.0%</c:formatCode>
                <c:ptCount val="5"/>
                <c:pt idx="0">
                  <c:v>5.5555555555555552E-2</c:v>
                </c:pt>
                <c:pt idx="1">
                  <c:v>0.1111111111111111</c:v>
                </c:pt>
                <c:pt idx="2">
                  <c:v>0.1111111111111111</c:v>
                </c:pt>
                <c:pt idx="3">
                  <c:v>0.22222222222222221</c:v>
                </c:pt>
                <c:pt idx="4">
                  <c:v>0.5</c:v>
                </c:pt>
              </c:numCache>
            </c:numRef>
          </c:val>
          <c:extLst>
            <c:ext xmlns:c16="http://schemas.microsoft.com/office/drawing/2014/chart" uri="{C3380CC4-5D6E-409C-BE32-E72D297353CC}">
              <c16:uniqueId val="{00000000-03BB-455A-945A-86FC377BE812}"/>
            </c:ext>
          </c:extLst>
        </c:ser>
        <c:ser>
          <c:idx val="2"/>
          <c:order val="1"/>
          <c:tx>
            <c:strRef>
              <c:f>'1Emp'!$AS$79</c:f>
              <c:strCache>
                <c:ptCount val="1"/>
                <c:pt idx="0">
                  <c:v>IFS</c:v>
                </c:pt>
              </c:strCache>
            </c:strRef>
          </c:tx>
          <c:spPr>
            <a:gradFill rotWithShape="1">
              <a:gsLst>
                <a:gs pos="0">
                  <a:schemeClr val="accent6">
                    <a:shade val="65000"/>
                    <a:lumMod val="110000"/>
                    <a:satMod val="105000"/>
                    <a:tint val="67000"/>
                  </a:schemeClr>
                </a:gs>
                <a:gs pos="50000">
                  <a:schemeClr val="accent6">
                    <a:shade val="65000"/>
                    <a:lumMod val="105000"/>
                    <a:satMod val="103000"/>
                    <a:tint val="73000"/>
                  </a:schemeClr>
                </a:gs>
                <a:gs pos="100000">
                  <a:schemeClr val="accent6">
                    <a:shade val="65000"/>
                    <a:lumMod val="105000"/>
                    <a:satMod val="109000"/>
                    <a:tint val="81000"/>
                  </a:schemeClr>
                </a:gs>
              </a:gsLst>
              <a:lin ang="5400000" scaled="0"/>
            </a:gradFill>
            <a:ln w="9525" cap="flat" cmpd="sng" algn="ctr">
              <a:solidFill>
                <a:srgbClr val="70AD47">
                  <a:lumMod val="50000"/>
                </a:srgb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2">
                        <a:lumMod val="25000"/>
                      </a:schemeClr>
                    </a:solidFill>
                    <a:latin typeface="Arial Narrow" panose="020B0606020202030204" pitchFamily="34" charset="0"/>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val>
            <c:numRef>
              <c:f>'1Emp'!$AS$80:$AS$84</c:f>
              <c:numCache>
                <c:formatCode>0.0%</c:formatCode>
                <c:ptCount val="5"/>
                <c:pt idx="0">
                  <c:v>0.15517241379310345</c:v>
                </c:pt>
                <c:pt idx="1">
                  <c:v>0.15517241379310345</c:v>
                </c:pt>
                <c:pt idx="2">
                  <c:v>0.22413793103448276</c:v>
                </c:pt>
                <c:pt idx="3">
                  <c:v>0.2413793103448276</c:v>
                </c:pt>
                <c:pt idx="4">
                  <c:v>0.22413793103448276</c:v>
                </c:pt>
              </c:numCache>
            </c:numRef>
          </c:val>
          <c:extLst>
            <c:ext xmlns:c16="http://schemas.microsoft.com/office/drawing/2014/chart" uri="{C3380CC4-5D6E-409C-BE32-E72D297353CC}">
              <c16:uniqueId val="{00000001-03BB-455A-945A-86FC377BE812}"/>
            </c:ext>
          </c:extLst>
        </c:ser>
        <c:dLbls>
          <c:showLegendKey val="0"/>
          <c:showVal val="0"/>
          <c:showCatName val="0"/>
          <c:showSerName val="0"/>
          <c:showPercent val="0"/>
          <c:showBubbleSize val="0"/>
        </c:dLbls>
        <c:gapWidth val="60"/>
        <c:axId val="409524528"/>
        <c:axId val="409519432"/>
      </c:barChart>
      <c:valAx>
        <c:axId val="409519432"/>
        <c:scaling>
          <c:orientation val="minMax"/>
        </c:scaling>
        <c:delete val="0"/>
        <c:axPos val="l"/>
        <c:numFmt formatCode="0.0%"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bg2">
                    <a:lumMod val="25000"/>
                  </a:schemeClr>
                </a:solidFill>
                <a:latin typeface="Arial Narrow" panose="020B0606020202030204" pitchFamily="34" charset="0"/>
                <a:ea typeface="+mn-ea"/>
                <a:cs typeface="+mn-cs"/>
              </a:defRPr>
            </a:pPr>
            <a:endParaRPr lang="pt-BR"/>
          </a:p>
        </c:txPr>
        <c:crossAx val="409524528"/>
        <c:crosses val="autoZero"/>
        <c:crossBetween val="between"/>
      </c:valAx>
      <c:catAx>
        <c:axId val="4095245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bg2">
                    <a:lumMod val="25000"/>
                  </a:schemeClr>
                </a:solidFill>
                <a:latin typeface="Arial Narrow" panose="020B0606020202030204" pitchFamily="34" charset="0"/>
                <a:ea typeface="+mn-ea"/>
                <a:cs typeface="+mn-cs"/>
              </a:defRPr>
            </a:pPr>
            <a:endParaRPr lang="pt-BR"/>
          </a:p>
        </c:txPr>
        <c:crossAx val="409519432"/>
        <c:crosses val="autoZero"/>
        <c:auto val="1"/>
        <c:lblAlgn val="ctr"/>
        <c:lblOffset val="100"/>
        <c:noMultiLvlLbl val="0"/>
      </c:cat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1100" b="0" i="0" u="none" strike="noStrike" kern="1200" baseline="0">
              <a:solidFill>
                <a:schemeClr val="bg2">
                  <a:lumMod val="25000"/>
                </a:schemeClr>
              </a:solidFill>
              <a:latin typeface="Arial Narrow" panose="020B0606020202030204" pitchFamily="34" charset="0"/>
              <a:ea typeface="+mn-ea"/>
              <a:cs typeface="+mn-cs"/>
            </a:defRPr>
          </a:pPr>
          <a:endParaRPr lang="pt-BR"/>
        </a:p>
      </c:txPr>
    </c:legend>
    <c:plotVisOnly val="1"/>
    <c:dispBlanksAs val="gap"/>
    <c:showDLblsOverMax val="0"/>
  </c:chart>
  <c:spPr>
    <a:solidFill>
      <a:schemeClr val="bg1"/>
    </a:solidFill>
    <a:ln w="9525" cap="flat" cmpd="sng" algn="ctr">
      <a:noFill/>
      <a:round/>
    </a:ln>
    <a:effectLst/>
  </c:spPr>
  <c:txPr>
    <a:bodyPr/>
    <a:lstStyle/>
    <a:p>
      <a:pPr>
        <a:defRPr>
          <a:solidFill>
            <a:schemeClr val="bg2">
              <a:lumMod val="25000"/>
            </a:schemeClr>
          </a:solidFill>
          <a:latin typeface="Arial Narrow" panose="020B0606020202030204" pitchFamily="34" charset="0"/>
        </a:defRPr>
      </a:pPr>
      <a:endParaRPr lang="pt-BR"/>
    </a:p>
  </c:txPr>
  <c:printSettings>
    <c:headerFooter/>
    <c:pageMargins b="0.78740157499999996" l="0.511811024" r="0.511811024" t="0.78740157499999996" header="0.31496062000000002" footer="0.31496062000000002"/>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8"/>
    </mc:Choice>
    <mc:Fallback>
      <c:style val="8"/>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Arial Narrow" panose="020B0606020202030204" pitchFamily="34" charset="0"/>
                <a:ea typeface="+mn-ea"/>
                <a:cs typeface="+mn-cs"/>
              </a:defRPr>
            </a:pPr>
            <a:r>
              <a:rPr lang="pt-BR"/>
              <a:t>Nível</a:t>
            </a:r>
            <a:r>
              <a:rPr lang="pt-BR" baseline="0"/>
              <a:t> de exigência do 1º emprego em relação a conhecimentos e habilidades</a:t>
            </a:r>
            <a:endParaRPr lang="pt-BR"/>
          </a:p>
        </c:rich>
      </c:tx>
      <c:layout/>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Arial Narrow" panose="020B0606020202030204" pitchFamily="34" charset="0"/>
              <a:ea typeface="+mn-ea"/>
              <a:cs typeface="+mn-cs"/>
            </a:defRPr>
          </a:pPr>
          <a:endParaRPr lang="pt-BR"/>
        </a:p>
      </c:txPr>
    </c:title>
    <c:autoTitleDeleted val="0"/>
    <c:plotArea>
      <c:layout/>
      <c:radarChart>
        <c:radarStyle val="marker"/>
        <c:varyColors val="0"/>
        <c:ser>
          <c:idx val="0"/>
          <c:order val="0"/>
          <c:spPr>
            <a:ln w="28575" cap="rnd">
              <a:solidFill>
                <a:schemeClr val="accent6"/>
              </a:solidFill>
              <a:prstDash val="solid"/>
              <a:round/>
            </a:ln>
            <a:effectLst/>
          </c:spPr>
          <c:marker>
            <c:symbol val="circle"/>
            <c:size val="5"/>
            <c:spPr>
              <a:solidFill>
                <a:schemeClr val="accent6"/>
              </a:solidFill>
              <a:ln w="9525">
                <a:solidFill>
                  <a:schemeClr val="accent6"/>
                </a:solidFill>
                <a:prstDash val="solid"/>
              </a:ln>
              <a:effectLst/>
            </c:spPr>
          </c:marker>
          <c:cat>
            <c:strRef>
              <c:f>'1Emp'!$AO$86:$AO$90</c:f>
              <c:strCache>
                <c:ptCount val="5"/>
                <c:pt idx="0">
                  <c:v>Média</c:v>
                </c:pt>
                <c:pt idx="1">
                  <c:v>Moda</c:v>
                </c:pt>
                <c:pt idx="2">
                  <c:v>Mediana</c:v>
                </c:pt>
                <c:pt idx="3">
                  <c:v>Desvio Padrão</c:v>
                </c:pt>
                <c:pt idx="4">
                  <c:v>Variância</c:v>
                </c:pt>
              </c:strCache>
            </c:strRef>
          </c:cat>
          <c:val>
            <c:numRef>
              <c:f>'1Emp'!$AP$86:$AP$90</c:f>
              <c:numCache>
                <c:formatCode>#,##0</c:formatCode>
                <c:ptCount val="5"/>
                <c:pt idx="0" formatCode="#,##0.0">
                  <c:v>4</c:v>
                </c:pt>
                <c:pt idx="1">
                  <c:v>5</c:v>
                </c:pt>
                <c:pt idx="2">
                  <c:v>4</c:v>
                </c:pt>
                <c:pt idx="3" formatCode="#,##0.0">
                  <c:v>1.8020201687143123</c:v>
                </c:pt>
                <c:pt idx="4" formatCode="#,##0.0">
                  <c:v>3.2472766884531588</c:v>
                </c:pt>
              </c:numCache>
            </c:numRef>
          </c:val>
          <c:extLst>
            <c:ext xmlns:c16="http://schemas.microsoft.com/office/drawing/2014/chart" uri="{C3380CC4-5D6E-409C-BE32-E72D297353CC}">
              <c16:uniqueId val="{00000000-F2F3-4976-ACFE-88DED003DDEC}"/>
            </c:ext>
          </c:extLst>
        </c:ser>
        <c:ser>
          <c:idx val="1"/>
          <c:order val="1"/>
          <c:spPr>
            <a:ln w="28575" cap="rnd">
              <a:solidFill>
                <a:schemeClr val="accent2"/>
              </a:solidFill>
              <a:prstDash val="sysDash"/>
              <a:round/>
            </a:ln>
            <a:effectLst/>
          </c:spPr>
          <c:marker>
            <c:symbol val="circle"/>
            <c:size val="5"/>
            <c:spPr>
              <a:solidFill>
                <a:schemeClr val="accent2"/>
              </a:solidFill>
              <a:ln w="9525">
                <a:solidFill>
                  <a:schemeClr val="accent2"/>
                </a:solidFill>
                <a:prstDash val="sysDash"/>
              </a:ln>
              <a:effectLst/>
            </c:spPr>
          </c:marker>
          <c:cat>
            <c:strRef>
              <c:f>'1Emp'!$AO$86:$AO$90</c:f>
              <c:strCache>
                <c:ptCount val="5"/>
                <c:pt idx="0">
                  <c:v>Média</c:v>
                </c:pt>
                <c:pt idx="1">
                  <c:v>Moda</c:v>
                </c:pt>
                <c:pt idx="2">
                  <c:v>Mediana</c:v>
                </c:pt>
                <c:pt idx="3">
                  <c:v>Desvio Padrão</c:v>
                </c:pt>
                <c:pt idx="4">
                  <c:v>Variância</c:v>
                </c:pt>
              </c:strCache>
            </c:strRef>
          </c:cat>
          <c:val>
            <c:numRef>
              <c:f>'1Emp'!$AR$86:$AR$90</c:f>
              <c:numCache>
                <c:formatCode>#,##0</c:formatCode>
                <c:ptCount val="5"/>
                <c:pt idx="0" formatCode="#,##0.0">
                  <c:v>3.2241379310344827</c:v>
                </c:pt>
                <c:pt idx="1">
                  <c:v>4</c:v>
                </c:pt>
                <c:pt idx="2">
                  <c:v>3</c:v>
                </c:pt>
                <c:pt idx="3" formatCode="#,##0.0">
                  <c:v>1.3690607317513128</c:v>
                </c:pt>
                <c:pt idx="4" formatCode="#,##0.0">
                  <c:v>1.8743272872234402</c:v>
                </c:pt>
              </c:numCache>
            </c:numRef>
          </c:val>
          <c:extLst>
            <c:ext xmlns:c16="http://schemas.microsoft.com/office/drawing/2014/chart" uri="{C3380CC4-5D6E-409C-BE32-E72D297353CC}">
              <c16:uniqueId val="{00000001-F2F3-4976-ACFE-88DED003DDEC}"/>
            </c:ext>
          </c:extLst>
        </c:ser>
        <c:dLbls>
          <c:showLegendKey val="0"/>
          <c:showVal val="0"/>
          <c:showCatName val="0"/>
          <c:showSerName val="0"/>
          <c:showPercent val="0"/>
          <c:showBubbleSize val="0"/>
        </c:dLbls>
        <c:axId val="409520216"/>
        <c:axId val="409523352"/>
      </c:radarChart>
      <c:catAx>
        <c:axId val="4095202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Arial Narrow" panose="020B0606020202030204" pitchFamily="34" charset="0"/>
                <a:ea typeface="+mn-ea"/>
                <a:cs typeface="+mn-cs"/>
              </a:defRPr>
            </a:pPr>
            <a:endParaRPr lang="pt-BR"/>
          </a:p>
        </c:txPr>
        <c:crossAx val="409523352"/>
        <c:crosses val="autoZero"/>
        <c:auto val="1"/>
        <c:lblAlgn val="ctr"/>
        <c:lblOffset val="100"/>
        <c:noMultiLvlLbl val="0"/>
      </c:catAx>
      <c:valAx>
        <c:axId val="409523352"/>
        <c:scaling>
          <c:orientation val="minMax"/>
          <c:max val="5"/>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Narrow" panose="020B0606020202030204" pitchFamily="34" charset="0"/>
                <a:ea typeface="+mn-ea"/>
                <a:cs typeface="+mn-cs"/>
              </a:defRPr>
            </a:pPr>
            <a:endParaRPr lang="pt-BR"/>
          </a:p>
        </c:txPr>
        <c:crossAx val="409520216"/>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Arial Narrow" panose="020B0606020202030204" pitchFamily="34" charset="0"/>
        </a:defRPr>
      </a:pPr>
      <a:endParaRPr lang="pt-BR"/>
    </a:p>
  </c:txPr>
  <c:printSettings>
    <c:headerFooter/>
    <c:pageMargins b="0.78740157499999996" l="0.511811024" r="0.511811024" t="0.78740157499999996" header="0.31496062000000002" footer="0.31496062000000002"/>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Arial Narrow" panose="020B0606020202030204" pitchFamily="34" charset="0"/>
                <a:ea typeface="+mn-ea"/>
                <a:cs typeface="+mn-cs"/>
              </a:defRPr>
            </a:pPr>
            <a:r>
              <a:rPr lang="pt-BR" sz="1200"/>
              <a:t>Permanece</a:t>
            </a:r>
            <a:r>
              <a:rPr lang="pt-BR" sz="1200" baseline="0"/>
              <a:t> no 1º emprego?</a:t>
            </a:r>
            <a:endParaRPr lang="pt-BR" sz="1200"/>
          </a:p>
        </c:rich>
      </c:tx>
      <c:layout/>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Arial Narrow" panose="020B0606020202030204" pitchFamily="34" charset="0"/>
              <a:ea typeface="+mn-ea"/>
              <a:cs typeface="+mn-cs"/>
            </a:defRPr>
          </a:pPr>
          <a:endParaRPr lang="pt-BR"/>
        </a:p>
      </c:txPr>
    </c:title>
    <c:autoTitleDeleted val="0"/>
    <c:plotArea>
      <c:layout/>
      <c:doughnut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3B54-43AC-80DD-229CEAD20A28}"/>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3B54-43AC-80DD-229CEAD20A28}"/>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3B54-43AC-80DD-229CEAD20A28}"/>
              </c:ext>
            </c:extLst>
          </c:dPt>
          <c:dLbls>
            <c:dLbl>
              <c:idx val="0"/>
              <c:layout>
                <c:manualLayout>
                  <c:x val="0.11666666666666657"/>
                  <c:y val="-0.10648148148148148"/>
                </c:manualLayout>
              </c:layout>
              <c:showLegendKey val="0"/>
              <c:showVal val="1"/>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1-3B54-43AC-80DD-229CEAD20A28}"/>
                </c:ext>
              </c:extLst>
            </c:dLbl>
            <c:dLbl>
              <c:idx val="1"/>
              <c:layout>
                <c:manualLayout>
                  <c:x val="-8.8888888888888934E-2"/>
                  <c:y val="6.9444444444444448E-2"/>
                </c:manualLayout>
              </c:layout>
              <c:showLegendKey val="0"/>
              <c:showVal val="1"/>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3-3B54-43AC-80DD-229CEAD20A28}"/>
                </c:ext>
              </c:extLst>
            </c:dLbl>
            <c:dLbl>
              <c:idx val="2"/>
              <c:layout>
                <c:manualLayout>
                  <c:x val="-9.999999999999995E-2"/>
                  <c:y val="-6.0185185185185182E-2"/>
                </c:manualLayout>
              </c:layout>
              <c:showLegendKey val="0"/>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5-3B54-43AC-80DD-229CEAD20A28}"/>
                </c:ext>
              </c:extLst>
            </c:dLbl>
            <c:spPr>
              <a:noFill/>
              <a:ln>
                <a:noFill/>
              </a:ln>
              <a:effectLst/>
            </c:spPr>
            <c:txPr>
              <a:bodyPr rot="0" spcFirstLastPara="1" vertOverflow="ellipsis" vert="horz" wrap="square" anchor="ctr" anchorCtr="1"/>
              <a:lstStyle/>
              <a:p>
                <a:pPr>
                  <a:defRPr sz="1050" b="0" i="0" u="none" strike="noStrike" kern="1200" baseline="0">
                    <a:solidFill>
                      <a:schemeClr val="tx1">
                        <a:lumMod val="75000"/>
                        <a:lumOff val="25000"/>
                      </a:schemeClr>
                    </a:solidFill>
                    <a:latin typeface="Arial Narrow" panose="020B0606020202030204" pitchFamily="34" charset="0"/>
                    <a:ea typeface="+mn-ea"/>
                    <a:cs typeface="+mn-cs"/>
                  </a:defRPr>
                </a:pPr>
                <a:endParaRPr lang="pt-BR"/>
              </a:p>
            </c:txPr>
            <c:showLegendKey val="0"/>
            <c:showVal val="1"/>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'1Emp'!$AO$105:$AO$106</c:f>
              <c:strCache>
                <c:ptCount val="2"/>
                <c:pt idx="0">
                  <c:v>Sim</c:v>
                </c:pt>
                <c:pt idx="1">
                  <c:v>Não</c:v>
                </c:pt>
              </c:strCache>
            </c:strRef>
          </c:cat>
          <c:val>
            <c:numRef>
              <c:f>'1Emp'!$AP$105:$AP$106</c:f>
              <c:numCache>
                <c:formatCode>#,##0</c:formatCode>
                <c:ptCount val="2"/>
                <c:pt idx="0">
                  <c:v>95</c:v>
                </c:pt>
                <c:pt idx="1">
                  <c:v>79</c:v>
                </c:pt>
              </c:numCache>
            </c:numRef>
          </c:val>
          <c:extLst>
            <c:ext xmlns:c16="http://schemas.microsoft.com/office/drawing/2014/chart" uri="{C3380CC4-5D6E-409C-BE32-E72D297353CC}">
              <c16:uniqueId val="{00000006-3B54-43AC-80DD-229CEAD20A28}"/>
            </c:ext>
          </c:extLst>
        </c:ser>
        <c:dLbls>
          <c:showLegendKey val="0"/>
          <c:showVal val="0"/>
          <c:showCatName val="0"/>
          <c:showSerName val="0"/>
          <c:showPercent val="1"/>
          <c:showBubbleSize val="0"/>
          <c:showLeaderLines val="1"/>
        </c:dLbls>
        <c:firstSliceAng val="0"/>
        <c:holeSize val="60"/>
      </c:doughnutChart>
      <c:spPr>
        <a:noFill/>
        <a:ln>
          <a:noFill/>
        </a:ln>
        <a:effectLst/>
      </c:spPr>
    </c:plotArea>
    <c:legend>
      <c:legendPos val="b"/>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Arial Narrow" panose="020B0606020202030204" pitchFamily="34" charset="0"/>
              <a:ea typeface="+mn-ea"/>
              <a:cs typeface="+mn-cs"/>
            </a:defRPr>
          </a:pPr>
          <a:endParaRPr lang="pt-BR"/>
        </a:p>
      </c:txPr>
    </c:legend>
    <c:plotVisOnly val="1"/>
    <c:dispBlanksAs val="gap"/>
    <c:showDLblsOverMax val="0"/>
  </c:chart>
  <c:spPr>
    <a:solidFill>
      <a:schemeClr val="bg1"/>
    </a:solidFill>
    <a:ln w="9525" cap="flat" cmpd="sng" algn="ctr">
      <a:noFill/>
      <a:round/>
    </a:ln>
    <a:effectLst/>
  </c:spPr>
  <c:txPr>
    <a:bodyPr/>
    <a:lstStyle/>
    <a:p>
      <a:pPr>
        <a:defRPr>
          <a:latin typeface="Arial Narrow" panose="020B0606020202030204" pitchFamily="34" charset="0"/>
        </a:defRPr>
      </a:pPr>
      <a:endParaRPr lang="pt-BR"/>
    </a:p>
  </c:txPr>
  <c:printSettings>
    <c:headerFooter/>
    <c:pageMargins b="0.78740157499999996" l="0.511811024" r="0.511811024" t="0.78740157499999996" header="0.31496062000000002" footer="0.31496062000000002"/>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Arial Narrow" panose="020B0606020202030204" pitchFamily="34" charset="0"/>
                <a:ea typeface="+mn-ea"/>
                <a:cs typeface="+mn-cs"/>
              </a:defRPr>
            </a:pPr>
            <a:r>
              <a:rPr lang="pt-BR" sz="1200"/>
              <a:t>Permanece</a:t>
            </a:r>
            <a:r>
              <a:rPr lang="pt-BR" sz="1200" baseline="0"/>
              <a:t> no 1º emprego?</a:t>
            </a:r>
            <a:endParaRPr lang="pt-BR" sz="1200"/>
          </a:p>
        </c:rich>
      </c:tx>
      <c:layout/>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Arial Narrow" panose="020B0606020202030204" pitchFamily="34" charset="0"/>
              <a:ea typeface="+mn-ea"/>
              <a:cs typeface="+mn-cs"/>
            </a:defRPr>
          </a:pPr>
          <a:endParaRPr lang="pt-BR"/>
        </a:p>
      </c:txPr>
    </c:title>
    <c:autoTitleDeleted val="0"/>
    <c:plotArea>
      <c:layout/>
      <c:doughnut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8C7E-4728-B220-93D125E8751A}"/>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8C7E-4728-B220-93D125E8751A}"/>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8C7E-4728-B220-93D125E8751A}"/>
              </c:ext>
            </c:extLst>
          </c:dPt>
          <c:dLbls>
            <c:dLbl>
              <c:idx val="0"/>
              <c:layout>
                <c:manualLayout>
                  <c:x val="0.11666666666666657"/>
                  <c:y val="-0.10648148148148148"/>
                </c:manualLayout>
              </c:layout>
              <c:showLegendKey val="0"/>
              <c:showVal val="1"/>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1-8C7E-4728-B220-93D125E8751A}"/>
                </c:ext>
              </c:extLst>
            </c:dLbl>
            <c:dLbl>
              <c:idx val="1"/>
              <c:layout>
                <c:manualLayout>
                  <c:x val="-8.8888888888888934E-2"/>
                  <c:y val="6.9444444444444448E-2"/>
                </c:manualLayout>
              </c:layout>
              <c:showLegendKey val="0"/>
              <c:showVal val="1"/>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3-8C7E-4728-B220-93D125E8751A}"/>
                </c:ext>
              </c:extLst>
            </c:dLbl>
            <c:dLbl>
              <c:idx val="2"/>
              <c:layout>
                <c:manualLayout>
                  <c:x val="-9.999999999999995E-2"/>
                  <c:y val="-6.0185185185185182E-2"/>
                </c:manualLayout>
              </c:layout>
              <c:showLegendKey val="0"/>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5-8C7E-4728-B220-93D125E8751A}"/>
                </c:ext>
              </c:extLst>
            </c:dLbl>
            <c:spPr>
              <a:noFill/>
              <a:ln>
                <a:noFill/>
              </a:ln>
              <a:effectLst/>
            </c:spPr>
            <c:txPr>
              <a:bodyPr rot="0" spcFirstLastPara="1" vertOverflow="ellipsis" vert="horz" wrap="square" anchor="ctr" anchorCtr="1"/>
              <a:lstStyle/>
              <a:p>
                <a:pPr>
                  <a:defRPr sz="1050" b="0" i="0" u="none" strike="noStrike" kern="1200" baseline="0">
                    <a:solidFill>
                      <a:schemeClr val="tx1">
                        <a:lumMod val="75000"/>
                        <a:lumOff val="25000"/>
                      </a:schemeClr>
                    </a:solidFill>
                    <a:latin typeface="Arial Narrow" panose="020B0606020202030204" pitchFamily="34" charset="0"/>
                    <a:ea typeface="+mn-ea"/>
                    <a:cs typeface="+mn-cs"/>
                  </a:defRPr>
                </a:pPr>
                <a:endParaRPr lang="pt-BR"/>
              </a:p>
            </c:txPr>
            <c:showLegendKey val="0"/>
            <c:showVal val="1"/>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'1Emp'!$AO$129:$AO$130</c:f>
              <c:strCache>
                <c:ptCount val="2"/>
                <c:pt idx="0">
                  <c:v>Sim</c:v>
                </c:pt>
                <c:pt idx="1">
                  <c:v>Não</c:v>
                </c:pt>
              </c:strCache>
            </c:strRef>
          </c:cat>
          <c:val>
            <c:numRef>
              <c:f>'1Emp'!$AP$129:$AP$130</c:f>
              <c:numCache>
                <c:formatCode>#,##0</c:formatCode>
                <c:ptCount val="2"/>
                <c:pt idx="0">
                  <c:v>11</c:v>
                </c:pt>
                <c:pt idx="1">
                  <c:v>7</c:v>
                </c:pt>
              </c:numCache>
            </c:numRef>
          </c:val>
          <c:extLst>
            <c:ext xmlns:c16="http://schemas.microsoft.com/office/drawing/2014/chart" uri="{C3380CC4-5D6E-409C-BE32-E72D297353CC}">
              <c16:uniqueId val="{00000006-8C7E-4728-B220-93D125E8751A}"/>
            </c:ext>
          </c:extLst>
        </c:ser>
        <c:dLbls>
          <c:showLegendKey val="0"/>
          <c:showVal val="0"/>
          <c:showCatName val="0"/>
          <c:showSerName val="0"/>
          <c:showPercent val="1"/>
          <c:showBubbleSize val="0"/>
          <c:showLeaderLines val="1"/>
        </c:dLbls>
        <c:firstSliceAng val="0"/>
        <c:holeSize val="60"/>
      </c:doughnutChart>
      <c:spPr>
        <a:noFill/>
        <a:ln>
          <a:noFill/>
        </a:ln>
        <a:effectLst/>
      </c:spPr>
    </c:plotArea>
    <c:legend>
      <c:legendPos val="b"/>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Arial Narrow" panose="020B0606020202030204" pitchFamily="34" charset="0"/>
              <a:ea typeface="+mn-ea"/>
              <a:cs typeface="+mn-cs"/>
            </a:defRPr>
          </a:pPr>
          <a:endParaRPr lang="pt-BR"/>
        </a:p>
      </c:txPr>
    </c:legend>
    <c:plotVisOnly val="1"/>
    <c:dispBlanksAs val="gap"/>
    <c:showDLblsOverMax val="0"/>
  </c:chart>
  <c:spPr>
    <a:solidFill>
      <a:schemeClr val="bg1"/>
    </a:solidFill>
    <a:ln w="9525" cap="flat" cmpd="sng" algn="ctr">
      <a:noFill/>
      <a:round/>
    </a:ln>
    <a:effectLst/>
  </c:spPr>
  <c:txPr>
    <a:bodyPr/>
    <a:lstStyle/>
    <a:p>
      <a:pPr>
        <a:defRPr>
          <a:latin typeface="Arial Narrow" panose="020B0606020202030204" pitchFamily="34" charset="0"/>
        </a:defRPr>
      </a:pPr>
      <a:endParaRPr lang="pt-BR"/>
    </a:p>
  </c:txPr>
  <c:printSettings>
    <c:headerFooter/>
    <c:pageMargins b="0.78740157499999996" l="0.511811024" r="0.511811024" t="0.78740157499999996" header="0.31496062000000002" footer="0.3149606200000000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8"/>
    </mc:Choice>
    <mc:Fallback>
      <c:style val="8"/>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050" b="0" i="0" u="none" strike="noStrike" kern="1200" cap="none" spc="20" baseline="0">
                <a:solidFill>
                  <a:schemeClr val="bg2">
                    <a:lumMod val="25000"/>
                  </a:schemeClr>
                </a:solidFill>
                <a:latin typeface="Arial Narrow" panose="020B0606020202030204" pitchFamily="34" charset="0"/>
                <a:ea typeface="+mn-ea"/>
                <a:cs typeface="+mn-cs"/>
              </a:defRPr>
            </a:pPr>
            <a:r>
              <a:rPr lang="pt-BR"/>
              <a:t>Ano</a:t>
            </a:r>
            <a:r>
              <a:rPr lang="pt-BR" baseline="0"/>
              <a:t> de conclusão dos estudos</a:t>
            </a:r>
            <a:endParaRPr lang="pt-BR"/>
          </a:p>
        </c:rich>
      </c:tx>
      <c:overlay val="0"/>
      <c:spPr>
        <a:noFill/>
        <a:ln>
          <a:noFill/>
        </a:ln>
        <a:effectLst/>
      </c:spPr>
      <c:txPr>
        <a:bodyPr rot="0" spcFirstLastPara="1" vertOverflow="ellipsis" vert="horz" wrap="square" anchor="ctr" anchorCtr="1"/>
        <a:lstStyle/>
        <a:p>
          <a:pPr>
            <a:defRPr sz="1050" b="0" i="0" u="none" strike="noStrike" kern="1200" cap="none" spc="20" baseline="0">
              <a:solidFill>
                <a:schemeClr val="bg2">
                  <a:lumMod val="25000"/>
                </a:schemeClr>
              </a:solidFill>
              <a:latin typeface="Arial Narrow" panose="020B0606020202030204" pitchFamily="34" charset="0"/>
              <a:ea typeface="+mn-ea"/>
              <a:cs typeface="+mn-cs"/>
            </a:defRPr>
          </a:pPr>
          <a:endParaRPr lang="pt-BR"/>
        </a:p>
      </c:txPr>
    </c:title>
    <c:autoTitleDeleted val="0"/>
    <c:plotArea>
      <c:layout/>
      <c:barChart>
        <c:barDir val="col"/>
        <c:grouping val="clustered"/>
        <c:varyColors val="0"/>
        <c:ser>
          <c:idx val="2"/>
          <c:order val="0"/>
          <c:tx>
            <c:strRef>
              <c:f>CaractAmostra!$BX$8</c:f>
              <c:strCache>
                <c:ptCount val="1"/>
                <c:pt idx="0">
                  <c:v>%</c:v>
                </c:pt>
              </c:strCache>
            </c:strRef>
          </c:tx>
          <c:spPr>
            <a:gradFill rotWithShape="1">
              <a:gsLst>
                <a:gs pos="0">
                  <a:schemeClr val="accent6">
                    <a:shade val="65000"/>
                    <a:lumMod val="110000"/>
                    <a:satMod val="105000"/>
                    <a:tint val="67000"/>
                  </a:schemeClr>
                </a:gs>
                <a:gs pos="50000">
                  <a:schemeClr val="accent6">
                    <a:shade val="65000"/>
                    <a:lumMod val="105000"/>
                    <a:satMod val="103000"/>
                    <a:tint val="73000"/>
                  </a:schemeClr>
                </a:gs>
                <a:gs pos="100000">
                  <a:schemeClr val="accent6">
                    <a:shade val="65000"/>
                    <a:lumMod val="105000"/>
                    <a:satMod val="109000"/>
                    <a:tint val="81000"/>
                  </a:schemeClr>
                </a:gs>
              </a:gsLst>
              <a:lin ang="5400000" scaled="0"/>
            </a:gradFill>
            <a:ln w="9525" cap="flat" cmpd="sng" algn="ctr">
              <a:solidFill>
                <a:schemeClr val="accent6">
                  <a:shade val="65000"/>
                  <a:shade val="95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2">
                        <a:lumMod val="25000"/>
                      </a:schemeClr>
                    </a:solidFill>
                    <a:latin typeface="Arial Narrow" panose="020B0606020202030204" pitchFamily="34" charset="0"/>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CaractAmostra!$BV$9:$BV$22</c:f>
              <c:numCache>
                <c:formatCode>General</c:formatCod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numCache>
            </c:numRef>
          </c:cat>
          <c:val>
            <c:numRef>
              <c:f>CaractAmostra!$BX$9:$BX$22</c:f>
              <c:numCache>
                <c:formatCode>0.0%</c:formatCode>
                <c:ptCount val="14"/>
                <c:pt idx="0">
                  <c:v>7.3800738007380072E-3</c:v>
                </c:pt>
                <c:pt idx="1">
                  <c:v>3.6900369003690036E-3</c:v>
                </c:pt>
                <c:pt idx="2">
                  <c:v>3.6900369003690036E-3</c:v>
                </c:pt>
                <c:pt idx="3">
                  <c:v>3.6900369003690036E-3</c:v>
                </c:pt>
                <c:pt idx="4">
                  <c:v>2.9520295202952029E-2</c:v>
                </c:pt>
                <c:pt idx="5">
                  <c:v>2.2140221402214021E-2</c:v>
                </c:pt>
                <c:pt idx="6">
                  <c:v>1.4760147601476014E-2</c:v>
                </c:pt>
                <c:pt idx="7">
                  <c:v>1.107011070110701E-2</c:v>
                </c:pt>
                <c:pt idx="8">
                  <c:v>6.6420664206642069E-2</c:v>
                </c:pt>
                <c:pt idx="9">
                  <c:v>7.3800738007380073E-2</c:v>
                </c:pt>
                <c:pt idx="10">
                  <c:v>0.1070110701107011</c:v>
                </c:pt>
                <c:pt idx="11">
                  <c:v>0.17712177121771217</c:v>
                </c:pt>
                <c:pt idx="12">
                  <c:v>0.29151291512915128</c:v>
                </c:pt>
                <c:pt idx="13">
                  <c:v>0.18819188191881919</c:v>
                </c:pt>
              </c:numCache>
            </c:numRef>
          </c:val>
          <c:extLst>
            <c:ext xmlns:c16="http://schemas.microsoft.com/office/drawing/2014/chart" uri="{C3380CC4-5D6E-409C-BE32-E72D297353CC}">
              <c16:uniqueId val="{00000000-901C-4807-99DA-6FE2660A2D76}"/>
            </c:ext>
          </c:extLst>
        </c:ser>
        <c:dLbls>
          <c:showLegendKey val="0"/>
          <c:showVal val="0"/>
          <c:showCatName val="0"/>
          <c:showSerName val="0"/>
          <c:showPercent val="0"/>
          <c:showBubbleSize val="0"/>
        </c:dLbls>
        <c:gapWidth val="60"/>
        <c:axId val="411529568"/>
        <c:axId val="411137880"/>
      </c:barChart>
      <c:valAx>
        <c:axId val="411137880"/>
        <c:scaling>
          <c:orientation val="minMax"/>
        </c:scaling>
        <c:delete val="0"/>
        <c:axPos val="l"/>
        <c:numFmt formatCode="0.0%"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bg2">
                    <a:lumMod val="25000"/>
                  </a:schemeClr>
                </a:solidFill>
                <a:latin typeface="Arial Narrow" panose="020B0606020202030204" pitchFamily="34" charset="0"/>
                <a:ea typeface="+mn-ea"/>
                <a:cs typeface="+mn-cs"/>
              </a:defRPr>
            </a:pPr>
            <a:endParaRPr lang="pt-BR"/>
          </a:p>
        </c:txPr>
        <c:crossAx val="411529568"/>
        <c:crosses val="autoZero"/>
        <c:crossBetween val="between"/>
      </c:valAx>
      <c:catAx>
        <c:axId val="4115295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bg2">
                    <a:lumMod val="25000"/>
                  </a:schemeClr>
                </a:solidFill>
                <a:latin typeface="Arial Narrow" panose="020B0606020202030204" pitchFamily="34" charset="0"/>
                <a:ea typeface="+mn-ea"/>
                <a:cs typeface="+mn-cs"/>
              </a:defRPr>
            </a:pPr>
            <a:endParaRPr lang="pt-BR"/>
          </a:p>
        </c:txPr>
        <c:crossAx val="411137880"/>
        <c:crosses val="autoZero"/>
        <c:auto val="1"/>
        <c:lblAlgn val="ctr"/>
        <c:lblOffset val="100"/>
        <c:noMultiLvlLbl val="0"/>
      </c:cat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solidFill>
            <a:schemeClr val="bg2">
              <a:lumMod val="25000"/>
            </a:schemeClr>
          </a:solidFill>
          <a:latin typeface="Arial Narrow" panose="020B0606020202030204" pitchFamily="34" charset="0"/>
        </a:defRPr>
      </a:pPr>
      <a:endParaRPr lang="pt-BR"/>
    </a:p>
  </c:txPr>
  <c:printSettings>
    <c:headerFooter/>
    <c:pageMargins b="0.78740157499999996" l="0.511811024" r="0.511811024" t="0.78740157499999996" header="0.31496062000000002" footer="0.31496062000000002"/>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050" b="0" i="0" u="none" strike="noStrike" kern="1200" cap="none" spc="20" baseline="0">
                <a:solidFill>
                  <a:schemeClr val="bg2">
                    <a:lumMod val="25000"/>
                  </a:schemeClr>
                </a:solidFill>
                <a:latin typeface="Arial Narrow" panose="020B0606020202030204" pitchFamily="34" charset="0"/>
                <a:ea typeface="+mn-ea"/>
                <a:cs typeface="+mn-cs"/>
              </a:defRPr>
            </a:pPr>
            <a:r>
              <a:rPr lang="pt-BR"/>
              <a:t>Tempo de permanência</a:t>
            </a:r>
            <a:r>
              <a:rPr lang="pt-BR" baseline="0"/>
              <a:t> no primeiro emprego</a:t>
            </a:r>
            <a:endParaRPr lang="pt-BR"/>
          </a:p>
        </c:rich>
      </c:tx>
      <c:layout/>
      <c:overlay val="0"/>
      <c:spPr>
        <a:noFill/>
        <a:ln>
          <a:noFill/>
        </a:ln>
        <a:effectLst/>
      </c:spPr>
      <c:txPr>
        <a:bodyPr rot="0" spcFirstLastPara="1" vertOverflow="ellipsis" vert="horz" wrap="square" anchor="ctr" anchorCtr="1"/>
        <a:lstStyle/>
        <a:p>
          <a:pPr>
            <a:defRPr sz="1050" b="0" i="0" u="none" strike="noStrike" kern="1200" cap="none" spc="20" baseline="0">
              <a:solidFill>
                <a:schemeClr val="bg2">
                  <a:lumMod val="25000"/>
                </a:schemeClr>
              </a:solidFill>
              <a:latin typeface="Arial Narrow" panose="020B0606020202030204" pitchFamily="34" charset="0"/>
              <a:ea typeface="+mn-ea"/>
              <a:cs typeface="+mn-cs"/>
            </a:defRPr>
          </a:pPr>
          <a:endParaRPr lang="pt-BR"/>
        </a:p>
      </c:txPr>
    </c:title>
    <c:autoTitleDeleted val="0"/>
    <c:plotArea>
      <c:layout/>
      <c:barChart>
        <c:barDir val="col"/>
        <c:grouping val="clustered"/>
        <c:varyColors val="0"/>
        <c:ser>
          <c:idx val="0"/>
          <c:order val="0"/>
          <c:tx>
            <c:strRef>
              <c:f>'1Emp'!$AQ$152</c:f>
              <c:strCache>
                <c:ptCount val="1"/>
                <c:pt idx="0">
                  <c:v>%</c:v>
                </c:pt>
              </c:strCache>
            </c:strRef>
          </c:tx>
          <c:spPr>
            <a:gradFill rotWithShape="1">
              <a:gsLst>
                <a:gs pos="0">
                  <a:schemeClr val="accent6">
                    <a:lumMod val="110000"/>
                    <a:satMod val="105000"/>
                    <a:tint val="67000"/>
                  </a:schemeClr>
                </a:gs>
                <a:gs pos="50000">
                  <a:schemeClr val="accent6">
                    <a:lumMod val="105000"/>
                    <a:satMod val="103000"/>
                    <a:tint val="73000"/>
                  </a:schemeClr>
                </a:gs>
                <a:gs pos="100000">
                  <a:schemeClr val="accent6">
                    <a:lumMod val="105000"/>
                    <a:satMod val="109000"/>
                    <a:tint val="81000"/>
                  </a:schemeClr>
                </a:gs>
              </a:gsLst>
              <a:lin ang="5400000" scaled="0"/>
            </a:gradFill>
            <a:ln w="9525" cap="flat" cmpd="sng" algn="ctr">
              <a:solidFill>
                <a:schemeClr val="accent6">
                  <a:shade val="95000"/>
                </a:schemeClr>
              </a:solidFill>
              <a:round/>
            </a:ln>
            <a:effectLst/>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bg2">
                        <a:lumMod val="25000"/>
                      </a:schemeClr>
                    </a:solidFill>
                    <a:latin typeface="Arial Narrow" panose="020B0606020202030204" pitchFamily="34" charset="0"/>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strRef>
              <c:f>'1Emp'!$AO$153:$AO$156</c:f>
              <c:strCache>
                <c:ptCount val="4"/>
                <c:pt idx="0">
                  <c:v>Até 6 meses</c:v>
                </c:pt>
                <c:pt idx="1">
                  <c:v>De 6 meses a 1 ano</c:v>
                </c:pt>
                <c:pt idx="2">
                  <c:v>De 1 a 2 anos</c:v>
                </c:pt>
                <c:pt idx="3">
                  <c:v>Mais de 2 anos</c:v>
                </c:pt>
              </c:strCache>
            </c:strRef>
          </c:cat>
          <c:val>
            <c:numRef>
              <c:f>'1Emp'!$AQ$153:$AQ$156</c:f>
              <c:numCache>
                <c:formatCode>0.0%</c:formatCode>
                <c:ptCount val="4"/>
                <c:pt idx="0">
                  <c:v>0.17721518987341772</c:v>
                </c:pt>
                <c:pt idx="1">
                  <c:v>0.24050632911392406</c:v>
                </c:pt>
                <c:pt idx="2">
                  <c:v>0.26582278481012656</c:v>
                </c:pt>
                <c:pt idx="3">
                  <c:v>0.31645569620253167</c:v>
                </c:pt>
              </c:numCache>
            </c:numRef>
          </c:val>
          <c:extLst>
            <c:ext xmlns:c16="http://schemas.microsoft.com/office/drawing/2014/chart" uri="{C3380CC4-5D6E-409C-BE32-E72D297353CC}">
              <c16:uniqueId val="{00000000-31F1-4668-8238-3C8F07160A66}"/>
            </c:ext>
          </c:extLst>
        </c:ser>
        <c:dLbls>
          <c:showLegendKey val="0"/>
          <c:showVal val="0"/>
          <c:showCatName val="0"/>
          <c:showSerName val="0"/>
          <c:showPercent val="0"/>
          <c:showBubbleSize val="0"/>
        </c:dLbls>
        <c:gapWidth val="60"/>
        <c:axId val="409521000"/>
        <c:axId val="409525312"/>
      </c:barChart>
      <c:valAx>
        <c:axId val="409525312"/>
        <c:scaling>
          <c:orientation val="minMax"/>
        </c:scaling>
        <c:delete val="0"/>
        <c:axPos val="l"/>
        <c:numFmt formatCode="0.0%"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bg2">
                    <a:lumMod val="25000"/>
                  </a:schemeClr>
                </a:solidFill>
                <a:latin typeface="Arial Narrow" panose="020B0606020202030204" pitchFamily="34" charset="0"/>
                <a:ea typeface="+mn-ea"/>
                <a:cs typeface="+mn-cs"/>
              </a:defRPr>
            </a:pPr>
            <a:endParaRPr lang="pt-BR"/>
          </a:p>
        </c:txPr>
        <c:crossAx val="409521000"/>
        <c:crosses val="autoZero"/>
        <c:crossBetween val="between"/>
      </c:valAx>
      <c:catAx>
        <c:axId val="4095210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bg2">
                    <a:lumMod val="25000"/>
                  </a:schemeClr>
                </a:solidFill>
                <a:latin typeface="Arial Narrow" panose="020B0606020202030204" pitchFamily="34" charset="0"/>
                <a:ea typeface="+mn-ea"/>
                <a:cs typeface="+mn-cs"/>
              </a:defRPr>
            </a:pPr>
            <a:endParaRPr lang="pt-BR"/>
          </a:p>
        </c:txPr>
        <c:crossAx val="409525312"/>
        <c:crosses val="autoZero"/>
        <c:auto val="1"/>
        <c:lblAlgn val="ctr"/>
        <c:lblOffset val="100"/>
        <c:noMultiLvlLbl val="0"/>
      </c:cat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solidFill>
            <a:schemeClr val="bg2">
              <a:lumMod val="25000"/>
            </a:schemeClr>
          </a:solidFill>
          <a:latin typeface="Arial Narrow" panose="020B0606020202030204" pitchFamily="34" charset="0"/>
        </a:defRPr>
      </a:pPr>
      <a:endParaRPr lang="pt-BR"/>
    </a:p>
  </c:txPr>
  <c:printSettings>
    <c:headerFooter/>
    <c:pageMargins b="0.78740157499999996" l="0.511811024" r="0.511811024" t="0.78740157499999996" header="0.31496062000000002" footer="0.31496062000000002"/>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8"/>
    </mc:Choice>
    <mc:Fallback>
      <c:style val="8"/>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050" b="0" i="0" u="none" strike="noStrike" kern="1200" cap="none" spc="20" baseline="0">
                <a:solidFill>
                  <a:schemeClr val="bg2">
                    <a:lumMod val="25000"/>
                  </a:schemeClr>
                </a:solidFill>
                <a:latin typeface="Arial Narrow" panose="020B0606020202030204" pitchFamily="34" charset="0"/>
                <a:ea typeface="+mn-ea"/>
                <a:cs typeface="+mn-cs"/>
              </a:defRPr>
            </a:pPr>
            <a:r>
              <a:rPr lang="pt-BR"/>
              <a:t>Tempo</a:t>
            </a:r>
            <a:r>
              <a:rPr lang="pt-BR" baseline="0"/>
              <a:t> de permanência no primeiro emprego</a:t>
            </a:r>
            <a:endParaRPr lang="pt-BR"/>
          </a:p>
        </c:rich>
      </c:tx>
      <c:layout/>
      <c:overlay val="0"/>
      <c:spPr>
        <a:noFill/>
        <a:ln>
          <a:noFill/>
        </a:ln>
        <a:effectLst/>
      </c:spPr>
      <c:txPr>
        <a:bodyPr rot="0" spcFirstLastPara="1" vertOverflow="ellipsis" vert="horz" wrap="square" anchor="ctr" anchorCtr="1"/>
        <a:lstStyle/>
        <a:p>
          <a:pPr>
            <a:defRPr sz="1050" b="0" i="0" u="none" strike="noStrike" kern="1200" cap="none" spc="20" baseline="0">
              <a:solidFill>
                <a:schemeClr val="bg2">
                  <a:lumMod val="25000"/>
                </a:schemeClr>
              </a:solidFill>
              <a:latin typeface="Arial Narrow" panose="020B0606020202030204" pitchFamily="34" charset="0"/>
              <a:ea typeface="+mn-ea"/>
              <a:cs typeface="+mn-cs"/>
            </a:defRPr>
          </a:pPr>
          <a:endParaRPr lang="pt-BR"/>
        </a:p>
      </c:txPr>
    </c:title>
    <c:autoTitleDeleted val="0"/>
    <c:plotArea>
      <c:layout/>
      <c:barChart>
        <c:barDir val="col"/>
        <c:grouping val="clustered"/>
        <c:varyColors val="0"/>
        <c:ser>
          <c:idx val="0"/>
          <c:order val="0"/>
          <c:tx>
            <c:strRef>
              <c:f>'1Emp'!$AQ$171</c:f>
              <c:strCache>
                <c:ptCount val="1"/>
                <c:pt idx="0">
                  <c:v>Bacharelado em Sistemas de Informação</c:v>
                </c:pt>
              </c:strCache>
            </c:strRef>
          </c:tx>
          <c:spPr>
            <a:solidFill>
              <a:srgbClr val="4472C4">
                <a:lumMod val="40000"/>
                <a:lumOff val="60000"/>
              </a:srgbClr>
            </a:solidFill>
            <a:ln w="9525" cap="flat" cmpd="sng" algn="ctr">
              <a:solidFill>
                <a:srgbClr val="4472C4">
                  <a:lumMod val="50000"/>
                </a:srgbClr>
              </a:solidFill>
              <a:round/>
            </a:ln>
            <a:effectLst/>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bg2">
                        <a:lumMod val="25000"/>
                      </a:schemeClr>
                    </a:solidFill>
                    <a:latin typeface="Arial Narrow" panose="020B0606020202030204" pitchFamily="34" charset="0"/>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strRef>
              <c:f>'1Emp'!$AO$172:$AO$175</c:f>
              <c:strCache>
                <c:ptCount val="4"/>
                <c:pt idx="0">
                  <c:v>Até 6 meses</c:v>
                </c:pt>
                <c:pt idx="1">
                  <c:v>De 6 meses a 1 ano</c:v>
                </c:pt>
                <c:pt idx="2">
                  <c:v>De 1 a 2 anos</c:v>
                </c:pt>
                <c:pt idx="3">
                  <c:v>Mais de 2 anos</c:v>
                </c:pt>
              </c:strCache>
            </c:strRef>
          </c:cat>
          <c:val>
            <c:numRef>
              <c:f>'1Emp'!$AQ$172:$AQ$175</c:f>
              <c:numCache>
                <c:formatCode>0.0%</c:formatCode>
                <c:ptCount val="4"/>
                <c:pt idx="0">
                  <c:v>0</c:v>
                </c:pt>
                <c:pt idx="1">
                  <c:v>0.5714285714285714</c:v>
                </c:pt>
                <c:pt idx="2">
                  <c:v>0.2857142857142857</c:v>
                </c:pt>
                <c:pt idx="3">
                  <c:v>0.14285714285714285</c:v>
                </c:pt>
              </c:numCache>
            </c:numRef>
          </c:val>
          <c:extLst>
            <c:ext xmlns:c16="http://schemas.microsoft.com/office/drawing/2014/chart" uri="{C3380CC4-5D6E-409C-BE32-E72D297353CC}">
              <c16:uniqueId val="{00000000-EB31-4A23-BC25-76529D4D9947}"/>
            </c:ext>
          </c:extLst>
        </c:ser>
        <c:ser>
          <c:idx val="2"/>
          <c:order val="1"/>
          <c:tx>
            <c:strRef>
              <c:f>'1Emp'!$AS$171</c:f>
              <c:strCache>
                <c:ptCount val="1"/>
                <c:pt idx="0">
                  <c:v>IFS</c:v>
                </c:pt>
              </c:strCache>
            </c:strRef>
          </c:tx>
          <c:spPr>
            <a:gradFill rotWithShape="1">
              <a:gsLst>
                <a:gs pos="0">
                  <a:schemeClr val="accent6">
                    <a:shade val="65000"/>
                    <a:lumMod val="110000"/>
                    <a:satMod val="105000"/>
                    <a:tint val="67000"/>
                  </a:schemeClr>
                </a:gs>
                <a:gs pos="50000">
                  <a:schemeClr val="accent6">
                    <a:shade val="65000"/>
                    <a:lumMod val="105000"/>
                    <a:satMod val="103000"/>
                    <a:tint val="73000"/>
                  </a:schemeClr>
                </a:gs>
                <a:gs pos="100000">
                  <a:schemeClr val="accent6">
                    <a:shade val="65000"/>
                    <a:lumMod val="105000"/>
                    <a:satMod val="109000"/>
                    <a:tint val="81000"/>
                  </a:schemeClr>
                </a:gs>
              </a:gsLst>
              <a:lin ang="5400000" scaled="0"/>
            </a:gradFill>
            <a:ln w="9525" cap="flat" cmpd="sng" algn="ctr">
              <a:solidFill>
                <a:srgbClr val="70AD47">
                  <a:lumMod val="50000"/>
                </a:srgb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2">
                        <a:lumMod val="25000"/>
                      </a:schemeClr>
                    </a:solidFill>
                    <a:latin typeface="Arial Narrow" panose="020B0606020202030204" pitchFamily="34" charset="0"/>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strRef>
              <c:f>'1Emp'!$AO$172:$AO$175</c:f>
              <c:strCache>
                <c:ptCount val="4"/>
                <c:pt idx="0">
                  <c:v>Até 6 meses</c:v>
                </c:pt>
                <c:pt idx="1">
                  <c:v>De 6 meses a 1 ano</c:v>
                </c:pt>
                <c:pt idx="2">
                  <c:v>De 1 a 2 anos</c:v>
                </c:pt>
                <c:pt idx="3">
                  <c:v>Mais de 2 anos</c:v>
                </c:pt>
              </c:strCache>
            </c:strRef>
          </c:cat>
          <c:val>
            <c:numRef>
              <c:f>'1Emp'!$AS$172:$AS$175</c:f>
              <c:numCache>
                <c:formatCode>0.0%</c:formatCode>
                <c:ptCount val="4"/>
                <c:pt idx="0">
                  <c:v>0.17721518987341772</c:v>
                </c:pt>
                <c:pt idx="1">
                  <c:v>0.24050632911392406</c:v>
                </c:pt>
                <c:pt idx="2">
                  <c:v>0.26582278481012656</c:v>
                </c:pt>
                <c:pt idx="3">
                  <c:v>0.31645569620253167</c:v>
                </c:pt>
              </c:numCache>
            </c:numRef>
          </c:val>
          <c:extLst>
            <c:ext xmlns:c16="http://schemas.microsoft.com/office/drawing/2014/chart" uri="{C3380CC4-5D6E-409C-BE32-E72D297353CC}">
              <c16:uniqueId val="{00000001-EB31-4A23-BC25-76529D4D9947}"/>
            </c:ext>
          </c:extLst>
        </c:ser>
        <c:dLbls>
          <c:showLegendKey val="0"/>
          <c:showVal val="0"/>
          <c:showCatName val="0"/>
          <c:showSerName val="0"/>
          <c:showPercent val="0"/>
          <c:showBubbleSize val="0"/>
        </c:dLbls>
        <c:gapWidth val="60"/>
        <c:axId val="409798448"/>
        <c:axId val="409803152"/>
      </c:barChart>
      <c:valAx>
        <c:axId val="409803152"/>
        <c:scaling>
          <c:orientation val="minMax"/>
        </c:scaling>
        <c:delete val="0"/>
        <c:axPos val="l"/>
        <c:numFmt formatCode="0.0%"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bg2">
                    <a:lumMod val="25000"/>
                  </a:schemeClr>
                </a:solidFill>
                <a:latin typeface="Arial Narrow" panose="020B0606020202030204" pitchFamily="34" charset="0"/>
                <a:ea typeface="+mn-ea"/>
                <a:cs typeface="+mn-cs"/>
              </a:defRPr>
            </a:pPr>
            <a:endParaRPr lang="pt-BR"/>
          </a:p>
        </c:txPr>
        <c:crossAx val="409798448"/>
        <c:crosses val="autoZero"/>
        <c:crossBetween val="between"/>
      </c:valAx>
      <c:catAx>
        <c:axId val="4097984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bg2">
                    <a:lumMod val="25000"/>
                  </a:schemeClr>
                </a:solidFill>
                <a:latin typeface="Arial Narrow" panose="020B0606020202030204" pitchFamily="34" charset="0"/>
                <a:ea typeface="+mn-ea"/>
                <a:cs typeface="+mn-cs"/>
              </a:defRPr>
            </a:pPr>
            <a:endParaRPr lang="pt-BR"/>
          </a:p>
        </c:txPr>
        <c:crossAx val="409803152"/>
        <c:crosses val="autoZero"/>
        <c:auto val="1"/>
        <c:lblAlgn val="ctr"/>
        <c:lblOffset val="100"/>
        <c:noMultiLvlLbl val="0"/>
      </c:cat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1100" b="0" i="0" u="none" strike="noStrike" kern="1200" baseline="0">
              <a:solidFill>
                <a:schemeClr val="bg2">
                  <a:lumMod val="25000"/>
                </a:schemeClr>
              </a:solidFill>
              <a:latin typeface="Arial Narrow" panose="020B0606020202030204" pitchFamily="34" charset="0"/>
              <a:ea typeface="+mn-ea"/>
              <a:cs typeface="+mn-cs"/>
            </a:defRPr>
          </a:pPr>
          <a:endParaRPr lang="pt-BR"/>
        </a:p>
      </c:txPr>
    </c:legend>
    <c:plotVisOnly val="1"/>
    <c:dispBlanksAs val="gap"/>
    <c:showDLblsOverMax val="0"/>
  </c:chart>
  <c:spPr>
    <a:solidFill>
      <a:schemeClr val="bg1"/>
    </a:solidFill>
    <a:ln w="9525" cap="flat" cmpd="sng" algn="ctr">
      <a:noFill/>
      <a:round/>
    </a:ln>
    <a:effectLst/>
  </c:spPr>
  <c:txPr>
    <a:bodyPr/>
    <a:lstStyle/>
    <a:p>
      <a:pPr>
        <a:defRPr>
          <a:solidFill>
            <a:schemeClr val="bg2">
              <a:lumMod val="25000"/>
            </a:schemeClr>
          </a:solidFill>
          <a:latin typeface="Arial Narrow" panose="020B0606020202030204" pitchFamily="34" charset="0"/>
        </a:defRPr>
      </a:pPr>
      <a:endParaRPr lang="pt-BR"/>
    </a:p>
  </c:txPr>
  <c:printSettings>
    <c:headerFooter/>
    <c:pageMargins b="0.78740157499999996" l="0.511811024" r="0.511811024" t="0.78740157499999996" header="0.31496062000000002" footer="0.31496062000000002"/>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050" b="0" i="0" u="none" strike="noStrike" kern="1200" cap="none" spc="20" baseline="0">
                <a:solidFill>
                  <a:schemeClr val="bg2">
                    <a:lumMod val="25000"/>
                  </a:schemeClr>
                </a:solidFill>
                <a:latin typeface="Arial Narrow" panose="020B0606020202030204" pitchFamily="34" charset="0"/>
                <a:ea typeface="+mn-ea"/>
                <a:cs typeface="+mn-cs"/>
              </a:defRPr>
            </a:pPr>
            <a:r>
              <a:rPr lang="pt-BR"/>
              <a:t>Está</a:t>
            </a:r>
            <a:r>
              <a:rPr lang="pt-BR" baseline="0"/>
              <a:t> em um emprego remunerado atualmente?</a:t>
            </a:r>
            <a:endParaRPr lang="pt-BR"/>
          </a:p>
        </c:rich>
      </c:tx>
      <c:layout/>
      <c:overlay val="0"/>
      <c:spPr>
        <a:noFill/>
        <a:ln>
          <a:noFill/>
        </a:ln>
        <a:effectLst/>
      </c:spPr>
      <c:txPr>
        <a:bodyPr rot="0" spcFirstLastPara="1" vertOverflow="ellipsis" vert="horz" wrap="square" anchor="ctr" anchorCtr="1"/>
        <a:lstStyle/>
        <a:p>
          <a:pPr>
            <a:defRPr sz="1050" b="0" i="0" u="none" strike="noStrike" kern="1200" cap="none" spc="20" baseline="0">
              <a:solidFill>
                <a:schemeClr val="bg2">
                  <a:lumMod val="25000"/>
                </a:schemeClr>
              </a:solidFill>
              <a:latin typeface="Arial Narrow" panose="020B0606020202030204" pitchFamily="34" charset="0"/>
              <a:ea typeface="+mn-ea"/>
              <a:cs typeface="+mn-cs"/>
            </a:defRPr>
          </a:pPr>
          <a:endParaRPr lang="pt-BR"/>
        </a:p>
      </c:txPr>
    </c:title>
    <c:autoTitleDeleted val="0"/>
    <c:plotArea>
      <c:layout/>
      <c:barChart>
        <c:barDir val="col"/>
        <c:grouping val="clustered"/>
        <c:varyColors val="0"/>
        <c:ser>
          <c:idx val="0"/>
          <c:order val="0"/>
          <c:tx>
            <c:strRef>
              <c:f>EmpAtual!$H$8</c:f>
              <c:strCache>
                <c:ptCount val="1"/>
                <c:pt idx="0">
                  <c:v>%</c:v>
                </c:pt>
              </c:strCache>
            </c:strRef>
          </c:tx>
          <c:spPr>
            <a:solidFill>
              <a:schemeClr val="accent6">
                <a:lumMod val="40000"/>
                <a:lumOff val="60000"/>
              </a:schemeClr>
            </a:solidFill>
            <a:ln w="9525" cap="flat" cmpd="sng" algn="ctr">
              <a:solidFill>
                <a:schemeClr val="accent6">
                  <a:shade val="95000"/>
                </a:schemeClr>
              </a:solidFill>
              <a:round/>
            </a:ln>
            <a:effectLst/>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bg2">
                        <a:lumMod val="25000"/>
                      </a:schemeClr>
                    </a:solidFill>
                    <a:latin typeface="Arial Narrow" panose="020B0606020202030204" pitchFamily="34" charset="0"/>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strRef>
              <c:f>EmpAtual!$F$9:$F$11</c:f>
              <c:strCache>
                <c:ptCount val="3"/>
                <c:pt idx="0">
                  <c:v>Sim</c:v>
                </c:pt>
                <c:pt idx="1">
                  <c:v>Sim, em mais de um.</c:v>
                </c:pt>
                <c:pt idx="2">
                  <c:v>Não</c:v>
                </c:pt>
              </c:strCache>
            </c:strRef>
          </c:cat>
          <c:val>
            <c:numRef>
              <c:f>EmpAtual!$H$9:$H$11</c:f>
              <c:numCache>
                <c:formatCode>0.0%</c:formatCode>
                <c:ptCount val="3"/>
                <c:pt idx="0">
                  <c:v>0.69620253164556967</c:v>
                </c:pt>
                <c:pt idx="1">
                  <c:v>8.8607594936708861E-2</c:v>
                </c:pt>
                <c:pt idx="2">
                  <c:v>0.21518987341772153</c:v>
                </c:pt>
              </c:numCache>
            </c:numRef>
          </c:val>
          <c:extLst>
            <c:ext xmlns:c16="http://schemas.microsoft.com/office/drawing/2014/chart" uri="{C3380CC4-5D6E-409C-BE32-E72D297353CC}">
              <c16:uniqueId val="{00000000-27E4-4BCC-874F-FB0B0A6F0346}"/>
            </c:ext>
          </c:extLst>
        </c:ser>
        <c:dLbls>
          <c:showLegendKey val="0"/>
          <c:showVal val="0"/>
          <c:showCatName val="0"/>
          <c:showSerName val="0"/>
          <c:showPercent val="0"/>
          <c:showBubbleSize val="0"/>
        </c:dLbls>
        <c:gapWidth val="150"/>
        <c:axId val="409803544"/>
        <c:axId val="409521392"/>
      </c:barChart>
      <c:valAx>
        <c:axId val="409521392"/>
        <c:scaling>
          <c:orientation val="minMax"/>
        </c:scaling>
        <c:delete val="0"/>
        <c:axPos val="l"/>
        <c:numFmt formatCode="0.0%"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bg2">
                    <a:lumMod val="25000"/>
                  </a:schemeClr>
                </a:solidFill>
                <a:latin typeface="Arial Narrow" panose="020B0606020202030204" pitchFamily="34" charset="0"/>
                <a:ea typeface="+mn-ea"/>
                <a:cs typeface="+mn-cs"/>
              </a:defRPr>
            </a:pPr>
            <a:endParaRPr lang="pt-BR"/>
          </a:p>
        </c:txPr>
        <c:crossAx val="409803544"/>
        <c:crosses val="autoZero"/>
        <c:crossBetween val="between"/>
      </c:valAx>
      <c:catAx>
        <c:axId val="4098035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bg2">
                    <a:lumMod val="25000"/>
                  </a:schemeClr>
                </a:solidFill>
                <a:latin typeface="Arial Narrow" panose="020B0606020202030204" pitchFamily="34" charset="0"/>
                <a:ea typeface="+mn-ea"/>
                <a:cs typeface="+mn-cs"/>
              </a:defRPr>
            </a:pPr>
            <a:endParaRPr lang="pt-BR"/>
          </a:p>
        </c:txPr>
        <c:crossAx val="409521392"/>
        <c:crosses val="autoZero"/>
        <c:auto val="1"/>
        <c:lblAlgn val="ctr"/>
        <c:lblOffset val="100"/>
        <c:noMultiLvlLbl val="0"/>
      </c:cat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solidFill>
            <a:schemeClr val="bg2">
              <a:lumMod val="25000"/>
            </a:schemeClr>
          </a:solidFill>
          <a:latin typeface="Arial Narrow" panose="020B0606020202030204" pitchFamily="34" charset="0"/>
        </a:defRPr>
      </a:pPr>
      <a:endParaRPr lang="pt-BR"/>
    </a:p>
  </c:txPr>
  <c:printSettings>
    <c:headerFooter/>
    <c:pageMargins b="0.78740157499999996" l="0.511811024" r="0.511811024" t="0.78740157499999996" header="0.31496062000000002" footer="0.31496062000000002"/>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8"/>
    </mc:Choice>
    <mc:Fallback>
      <c:style val="8"/>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050" b="0" i="0" u="none" strike="noStrike" kern="1200" cap="none" spc="20" baseline="0">
                <a:solidFill>
                  <a:schemeClr val="bg2">
                    <a:lumMod val="25000"/>
                  </a:schemeClr>
                </a:solidFill>
                <a:latin typeface="Arial Narrow" panose="020B0606020202030204" pitchFamily="34" charset="0"/>
                <a:ea typeface="+mn-ea"/>
                <a:cs typeface="+mn-cs"/>
              </a:defRPr>
            </a:pPr>
            <a:r>
              <a:rPr lang="pt-BR"/>
              <a:t>Está em um emprego remunerado atualmente?</a:t>
            </a:r>
          </a:p>
        </c:rich>
      </c:tx>
      <c:layout/>
      <c:overlay val="0"/>
      <c:spPr>
        <a:noFill/>
        <a:ln>
          <a:noFill/>
        </a:ln>
        <a:effectLst/>
      </c:spPr>
      <c:txPr>
        <a:bodyPr rot="0" spcFirstLastPara="1" vertOverflow="ellipsis" vert="horz" wrap="square" anchor="ctr" anchorCtr="1"/>
        <a:lstStyle/>
        <a:p>
          <a:pPr>
            <a:defRPr sz="1050" b="0" i="0" u="none" strike="noStrike" kern="1200" cap="none" spc="20" baseline="0">
              <a:solidFill>
                <a:schemeClr val="bg2">
                  <a:lumMod val="25000"/>
                </a:schemeClr>
              </a:solidFill>
              <a:latin typeface="Arial Narrow" panose="020B0606020202030204" pitchFamily="34" charset="0"/>
              <a:ea typeface="+mn-ea"/>
              <a:cs typeface="+mn-cs"/>
            </a:defRPr>
          </a:pPr>
          <a:endParaRPr lang="pt-BR"/>
        </a:p>
      </c:txPr>
    </c:title>
    <c:autoTitleDeleted val="0"/>
    <c:plotArea>
      <c:layout/>
      <c:barChart>
        <c:barDir val="col"/>
        <c:grouping val="clustered"/>
        <c:varyColors val="0"/>
        <c:ser>
          <c:idx val="0"/>
          <c:order val="0"/>
          <c:tx>
            <c:strRef>
              <c:f>EmpAtual!$H$33</c:f>
              <c:strCache>
                <c:ptCount val="1"/>
                <c:pt idx="0">
                  <c:v>Bacharelado em Sistemas de Informação</c:v>
                </c:pt>
              </c:strCache>
            </c:strRef>
          </c:tx>
          <c:spPr>
            <a:solidFill>
              <a:srgbClr val="4472C4">
                <a:lumMod val="20000"/>
                <a:lumOff val="80000"/>
              </a:srgbClr>
            </a:solidFill>
            <a:ln w="9525" cap="flat" cmpd="sng" algn="ctr">
              <a:solidFill>
                <a:srgbClr val="4472C4">
                  <a:lumMod val="75000"/>
                </a:srgbClr>
              </a:solidFill>
              <a:round/>
            </a:ln>
            <a:effectLst/>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bg2">
                        <a:lumMod val="25000"/>
                      </a:schemeClr>
                    </a:solidFill>
                    <a:latin typeface="Arial Narrow" panose="020B0606020202030204" pitchFamily="34" charset="0"/>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strRef>
              <c:f>EmpAtual!$F$34:$F$36</c:f>
              <c:strCache>
                <c:ptCount val="3"/>
                <c:pt idx="0">
                  <c:v>Sim</c:v>
                </c:pt>
                <c:pt idx="1">
                  <c:v>Sim, em mais de um.</c:v>
                </c:pt>
                <c:pt idx="2">
                  <c:v>Não</c:v>
                </c:pt>
              </c:strCache>
            </c:strRef>
          </c:cat>
          <c:val>
            <c:numRef>
              <c:f>EmpAtual!$H$34:$H$36</c:f>
              <c:numCache>
                <c:formatCode>0.0%</c:formatCode>
                <c:ptCount val="3"/>
                <c:pt idx="0">
                  <c:v>0.8571428571428571</c:v>
                </c:pt>
                <c:pt idx="1">
                  <c:v>0.14285714285714285</c:v>
                </c:pt>
                <c:pt idx="2">
                  <c:v>0</c:v>
                </c:pt>
              </c:numCache>
            </c:numRef>
          </c:val>
          <c:extLst>
            <c:ext xmlns:c16="http://schemas.microsoft.com/office/drawing/2014/chart" uri="{C3380CC4-5D6E-409C-BE32-E72D297353CC}">
              <c16:uniqueId val="{00000000-F0FD-4A00-BC6D-A756EF42924F}"/>
            </c:ext>
          </c:extLst>
        </c:ser>
        <c:ser>
          <c:idx val="2"/>
          <c:order val="1"/>
          <c:tx>
            <c:strRef>
              <c:f>EmpAtual!$J$33</c:f>
              <c:strCache>
                <c:ptCount val="1"/>
                <c:pt idx="0">
                  <c:v>IFS</c:v>
                </c:pt>
              </c:strCache>
            </c:strRef>
          </c:tx>
          <c:spPr>
            <a:gradFill rotWithShape="1">
              <a:gsLst>
                <a:gs pos="0">
                  <a:schemeClr val="accent6">
                    <a:shade val="65000"/>
                    <a:lumMod val="110000"/>
                    <a:satMod val="105000"/>
                    <a:tint val="67000"/>
                  </a:schemeClr>
                </a:gs>
                <a:gs pos="50000">
                  <a:schemeClr val="accent6">
                    <a:shade val="65000"/>
                    <a:lumMod val="105000"/>
                    <a:satMod val="103000"/>
                    <a:tint val="73000"/>
                  </a:schemeClr>
                </a:gs>
                <a:gs pos="100000">
                  <a:schemeClr val="accent6">
                    <a:shade val="65000"/>
                    <a:lumMod val="105000"/>
                    <a:satMod val="109000"/>
                    <a:tint val="81000"/>
                  </a:schemeClr>
                </a:gs>
              </a:gsLst>
              <a:lin ang="5400000" scaled="0"/>
            </a:gradFill>
            <a:ln w="9525" cap="flat" cmpd="sng" algn="ctr">
              <a:solidFill>
                <a:srgbClr val="70AD47">
                  <a:lumMod val="50000"/>
                </a:srgb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2">
                        <a:lumMod val="25000"/>
                      </a:schemeClr>
                    </a:solidFill>
                    <a:latin typeface="Arial Narrow" panose="020B0606020202030204" pitchFamily="34" charset="0"/>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strRef>
              <c:f>EmpAtual!$F$34:$F$36</c:f>
              <c:strCache>
                <c:ptCount val="3"/>
                <c:pt idx="0">
                  <c:v>Sim</c:v>
                </c:pt>
                <c:pt idx="1">
                  <c:v>Sim, em mais de um.</c:v>
                </c:pt>
                <c:pt idx="2">
                  <c:v>Não</c:v>
                </c:pt>
              </c:strCache>
            </c:strRef>
          </c:cat>
          <c:val>
            <c:numRef>
              <c:f>EmpAtual!$J$34:$J$36</c:f>
              <c:numCache>
                <c:formatCode>0.0%</c:formatCode>
                <c:ptCount val="3"/>
                <c:pt idx="0">
                  <c:v>0.69620253164556967</c:v>
                </c:pt>
                <c:pt idx="1">
                  <c:v>8.8607594936708861E-2</c:v>
                </c:pt>
                <c:pt idx="2">
                  <c:v>0.21518987341772153</c:v>
                </c:pt>
              </c:numCache>
            </c:numRef>
          </c:val>
          <c:extLst>
            <c:ext xmlns:c16="http://schemas.microsoft.com/office/drawing/2014/chart" uri="{C3380CC4-5D6E-409C-BE32-E72D297353CC}">
              <c16:uniqueId val="{00000001-F0FD-4A00-BC6D-A756EF42924F}"/>
            </c:ext>
          </c:extLst>
        </c:ser>
        <c:dLbls>
          <c:showLegendKey val="0"/>
          <c:showVal val="0"/>
          <c:showCatName val="0"/>
          <c:showSerName val="0"/>
          <c:showPercent val="0"/>
          <c:showBubbleSize val="0"/>
        </c:dLbls>
        <c:gapWidth val="60"/>
        <c:axId val="409798056"/>
        <c:axId val="409801192"/>
      </c:barChart>
      <c:valAx>
        <c:axId val="409801192"/>
        <c:scaling>
          <c:orientation val="minMax"/>
        </c:scaling>
        <c:delete val="0"/>
        <c:axPos val="l"/>
        <c:numFmt formatCode="0.0%"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bg2">
                    <a:lumMod val="25000"/>
                  </a:schemeClr>
                </a:solidFill>
                <a:latin typeface="Arial Narrow" panose="020B0606020202030204" pitchFamily="34" charset="0"/>
                <a:ea typeface="+mn-ea"/>
                <a:cs typeface="+mn-cs"/>
              </a:defRPr>
            </a:pPr>
            <a:endParaRPr lang="pt-BR"/>
          </a:p>
        </c:txPr>
        <c:crossAx val="409798056"/>
        <c:crosses val="autoZero"/>
        <c:crossBetween val="between"/>
      </c:valAx>
      <c:catAx>
        <c:axId val="4097980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bg2">
                    <a:lumMod val="25000"/>
                  </a:schemeClr>
                </a:solidFill>
                <a:latin typeface="Arial Narrow" panose="020B0606020202030204" pitchFamily="34" charset="0"/>
                <a:ea typeface="+mn-ea"/>
                <a:cs typeface="+mn-cs"/>
              </a:defRPr>
            </a:pPr>
            <a:endParaRPr lang="pt-BR"/>
          </a:p>
        </c:txPr>
        <c:crossAx val="409801192"/>
        <c:crosses val="autoZero"/>
        <c:auto val="1"/>
        <c:lblAlgn val="ctr"/>
        <c:lblOffset val="100"/>
        <c:noMultiLvlLbl val="0"/>
      </c:cat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1100" b="0" i="0" u="none" strike="noStrike" kern="1200" baseline="0">
              <a:solidFill>
                <a:schemeClr val="bg2">
                  <a:lumMod val="25000"/>
                </a:schemeClr>
              </a:solidFill>
              <a:latin typeface="Arial Narrow" panose="020B0606020202030204" pitchFamily="34" charset="0"/>
              <a:ea typeface="+mn-ea"/>
              <a:cs typeface="+mn-cs"/>
            </a:defRPr>
          </a:pPr>
          <a:endParaRPr lang="pt-BR"/>
        </a:p>
      </c:txPr>
    </c:legend>
    <c:plotVisOnly val="1"/>
    <c:dispBlanksAs val="gap"/>
    <c:showDLblsOverMax val="0"/>
  </c:chart>
  <c:spPr>
    <a:solidFill>
      <a:schemeClr val="bg1"/>
    </a:solidFill>
    <a:ln w="9525" cap="flat" cmpd="sng" algn="ctr">
      <a:noFill/>
      <a:round/>
    </a:ln>
    <a:effectLst/>
  </c:spPr>
  <c:txPr>
    <a:bodyPr/>
    <a:lstStyle/>
    <a:p>
      <a:pPr>
        <a:defRPr>
          <a:solidFill>
            <a:schemeClr val="bg2">
              <a:lumMod val="25000"/>
            </a:schemeClr>
          </a:solidFill>
          <a:latin typeface="Arial Narrow" panose="020B0606020202030204" pitchFamily="34" charset="0"/>
        </a:defRPr>
      </a:pPr>
      <a:endParaRPr lang="pt-BR"/>
    </a:p>
  </c:txPr>
  <c:printSettings>
    <c:headerFooter/>
    <c:pageMargins b="0.78740157499999996" l="0.511811024" r="0.511811024" t="0.78740157499999996" header="0.31496062000000002" footer="0.31496062000000002"/>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8"/>
    </mc:Choice>
    <mc:Fallback>
      <c:style val="8"/>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050" b="0" i="0" u="none" strike="noStrike" kern="1200" cap="none" spc="20" baseline="0">
                <a:solidFill>
                  <a:schemeClr val="bg2">
                    <a:lumMod val="25000"/>
                  </a:schemeClr>
                </a:solidFill>
                <a:latin typeface="Arial Narrow" panose="020B0606020202030204" pitchFamily="34" charset="0"/>
                <a:ea typeface="+mn-ea"/>
                <a:cs typeface="+mn-cs"/>
              </a:defRPr>
            </a:pPr>
            <a:r>
              <a:rPr lang="pt-BR"/>
              <a:t>Emprego atual - Salário bruto</a:t>
            </a:r>
          </a:p>
        </c:rich>
      </c:tx>
      <c:layout/>
      <c:overlay val="0"/>
      <c:spPr>
        <a:noFill/>
        <a:ln>
          <a:noFill/>
        </a:ln>
        <a:effectLst/>
      </c:spPr>
      <c:txPr>
        <a:bodyPr rot="0" spcFirstLastPara="1" vertOverflow="ellipsis" vert="horz" wrap="square" anchor="ctr" anchorCtr="1"/>
        <a:lstStyle/>
        <a:p>
          <a:pPr>
            <a:defRPr sz="1050" b="0" i="0" u="none" strike="noStrike" kern="1200" cap="none" spc="20" baseline="0">
              <a:solidFill>
                <a:schemeClr val="bg2">
                  <a:lumMod val="25000"/>
                </a:schemeClr>
              </a:solidFill>
              <a:latin typeface="Arial Narrow" panose="020B0606020202030204" pitchFamily="34" charset="0"/>
              <a:ea typeface="+mn-ea"/>
              <a:cs typeface="+mn-cs"/>
            </a:defRPr>
          </a:pPr>
          <a:endParaRPr lang="pt-BR"/>
        </a:p>
      </c:txPr>
    </c:title>
    <c:autoTitleDeleted val="0"/>
    <c:plotArea>
      <c:layout/>
      <c:barChart>
        <c:barDir val="col"/>
        <c:grouping val="clustered"/>
        <c:varyColors val="0"/>
        <c:ser>
          <c:idx val="0"/>
          <c:order val="0"/>
          <c:tx>
            <c:strRef>
              <c:f>EmpAtual!$X$31</c:f>
              <c:strCache>
                <c:ptCount val="1"/>
                <c:pt idx="0">
                  <c:v>Bacharelado em Sistemas de Informação</c:v>
                </c:pt>
              </c:strCache>
            </c:strRef>
          </c:tx>
          <c:spPr>
            <a:solidFill>
              <a:srgbClr val="4472C4">
                <a:lumMod val="40000"/>
                <a:lumOff val="60000"/>
              </a:srgbClr>
            </a:solidFill>
            <a:ln w="9525" cap="flat" cmpd="sng" algn="ctr">
              <a:solidFill>
                <a:srgbClr val="4472C4">
                  <a:lumMod val="75000"/>
                </a:srgbClr>
              </a:solidFill>
              <a:round/>
            </a:ln>
            <a:effectLst/>
          </c:spPr>
          <c:invertIfNegative val="0"/>
          <c:dLbls>
            <c:spPr>
              <a:noFill/>
              <a:ln>
                <a:noFill/>
              </a:ln>
              <a:effectLst/>
            </c:spPr>
            <c:txPr>
              <a:bodyPr rot="-5400000" spcFirstLastPara="1" vertOverflow="ellipsis" wrap="square" anchor="ctr" anchorCtr="1"/>
              <a:lstStyle/>
              <a:p>
                <a:pPr>
                  <a:defRPr sz="1000" b="0" i="0" u="none" strike="noStrike" kern="1200" baseline="0">
                    <a:solidFill>
                      <a:schemeClr val="bg2">
                        <a:lumMod val="25000"/>
                      </a:schemeClr>
                    </a:solidFill>
                    <a:latin typeface="Arial Narrow" panose="020B0606020202030204" pitchFamily="34" charset="0"/>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strRef>
              <c:f>EmpAtual!$W$32:$W$37</c:f>
              <c:strCache>
                <c:ptCount val="6"/>
                <c:pt idx="0">
                  <c:v>Média</c:v>
                </c:pt>
                <c:pt idx="1">
                  <c:v>Máximo</c:v>
                </c:pt>
                <c:pt idx="2">
                  <c:v>Mínimo</c:v>
                </c:pt>
                <c:pt idx="3">
                  <c:v>Moda</c:v>
                </c:pt>
                <c:pt idx="4">
                  <c:v>Mediana</c:v>
                </c:pt>
                <c:pt idx="5">
                  <c:v>Desvio Padrão</c:v>
                </c:pt>
              </c:strCache>
            </c:strRef>
          </c:cat>
          <c:val>
            <c:numRef>
              <c:f>EmpAtual!$X$32:$X$37</c:f>
              <c:numCache>
                <c:formatCode>_("R$"* #,##0_);_("R$"* \(#,##0\);_("R$"* "-"_);_(@_)</c:formatCode>
                <c:ptCount val="6"/>
                <c:pt idx="0">
                  <c:v>3845.2352941176468</c:v>
                </c:pt>
                <c:pt idx="1">
                  <c:v>8000</c:v>
                </c:pt>
                <c:pt idx="2">
                  <c:v>1800</c:v>
                </c:pt>
                <c:pt idx="3">
                  <c:v>3000</c:v>
                </c:pt>
                <c:pt idx="4">
                  <c:v>3000</c:v>
                </c:pt>
                <c:pt idx="5">
                  <c:v>1892.5405388462543</c:v>
                </c:pt>
              </c:numCache>
            </c:numRef>
          </c:val>
          <c:extLst>
            <c:ext xmlns:c16="http://schemas.microsoft.com/office/drawing/2014/chart" uri="{C3380CC4-5D6E-409C-BE32-E72D297353CC}">
              <c16:uniqueId val="{00000000-B969-4E6F-A00E-137A8373DA38}"/>
            </c:ext>
          </c:extLst>
        </c:ser>
        <c:ser>
          <c:idx val="2"/>
          <c:order val="1"/>
          <c:tx>
            <c:strRef>
              <c:f>EmpAtual!$Y$31</c:f>
              <c:strCache>
                <c:ptCount val="1"/>
                <c:pt idx="0">
                  <c:v>IFS</c:v>
                </c:pt>
              </c:strCache>
            </c:strRef>
          </c:tx>
          <c:spPr>
            <a:gradFill rotWithShape="1">
              <a:gsLst>
                <a:gs pos="0">
                  <a:schemeClr val="accent6">
                    <a:shade val="65000"/>
                    <a:lumMod val="110000"/>
                    <a:satMod val="105000"/>
                    <a:tint val="67000"/>
                  </a:schemeClr>
                </a:gs>
                <a:gs pos="50000">
                  <a:schemeClr val="accent6">
                    <a:shade val="65000"/>
                    <a:lumMod val="105000"/>
                    <a:satMod val="103000"/>
                    <a:tint val="73000"/>
                  </a:schemeClr>
                </a:gs>
                <a:gs pos="100000">
                  <a:schemeClr val="accent6">
                    <a:shade val="65000"/>
                    <a:lumMod val="105000"/>
                    <a:satMod val="109000"/>
                    <a:tint val="81000"/>
                  </a:schemeClr>
                </a:gs>
              </a:gsLst>
              <a:lin ang="5400000" scaled="0"/>
            </a:gradFill>
            <a:ln w="9525" cap="flat" cmpd="sng" algn="ctr">
              <a:solidFill>
                <a:schemeClr val="accent6">
                  <a:shade val="65000"/>
                  <a:shade val="95000"/>
                </a:schemeClr>
              </a:solidFill>
              <a:round/>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000" b="0" i="0" u="none" strike="noStrike" kern="1200" baseline="0">
                    <a:solidFill>
                      <a:schemeClr val="bg2">
                        <a:lumMod val="25000"/>
                      </a:schemeClr>
                    </a:solidFill>
                    <a:latin typeface="Arial Narrow" panose="020B0606020202030204" pitchFamily="34" charset="0"/>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strRef>
              <c:f>EmpAtual!$W$32:$W$37</c:f>
              <c:strCache>
                <c:ptCount val="6"/>
                <c:pt idx="0">
                  <c:v>Média</c:v>
                </c:pt>
                <c:pt idx="1">
                  <c:v>Máximo</c:v>
                </c:pt>
                <c:pt idx="2">
                  <c:v>Mínimo</c:v>
                </c:pt>
                <c:pt idx="3">
                  <c:v>Moda</c:v>
                </c:pt>
                <c:pt idx="4">
                  <c:v>Mediana</c:v>
                </c:pt>
                <c:pt idx="5">
                  <c:v>Desvio Padrão</c:v>
                </c:pt>
              </c:strCache>
            </c:strRef>
          </c:cat>
          <c:val>
            <c:numRef>
              <c:f>EmpAtual!$Y$32:$Y$37</c:f>
              <c:numCache>
                <c:formatCode>_("R$"* #,##0_);_("R$"* \(#,##0\);_("R$"* "-"_);_(@_)</c:formatCode>
                <c:ptCount val="6"/>
                <c:pt idx="0">
                  <c:v>2845.6081081081079</c:v>
                </c:pt>
                <c:pt idx="2">
                  <c:v>600</c:v>
                </c:pt>
                <c:pt idx="3">
                  <c:v>1500</c:v>
                </c:pt>
                <c:pt idx="4">
                  <c:v>2000</c:v>
                </c:pt>
                <c:pt idx="5">
                  <c:v>2856.444804333863</c:v>
                </c:pt>
              </c:numCache>
            </c:numRef>
          </c:val>
          <c:extLst>
            <c:ext xmlns:c16="http://schemas.microsoft.com/office/drawing/2014/chart" uri="{C3380CC4-5D6E-409C-BE32-E72D297353CC}">
              <c16:uniqueId val="{00000001-B969-4E6F-A00E-137A8373DA38}"/>
            </c:ext>
          </c:extLst>
        </c:ser>
        <c:dLbls>
          <c:showLegendKey val="0"/>
          <c:showVal val="0"/>
          <c:showCatName val="0"/>
          <c:showSerName val="0"/>
          <c:showPercent val="0"/>
          <c:showBubbleSize val="0"/>
        </c:dLbls>
        <c:gapWidth val="60"/>
        <c:axId val="409800016"/>
        <c:axId val="409797664"/>
      </c:barChart>
      <c:valAx>
        <c:axId val="409797664"/>
        <c:scaling>
          <c:orientation val="minMax"/>
        </c:scaling>
        <c:delete val="0"/>
        <c:axPos val="l"/>
        <c:numFmt formatCode="_(&quot;R$&quot;* #,##0_);_(&quot;R$&quot;* \(#,##0\);_(&quot;R$&quot;* &quot;-&quot;_);_(@_)"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bg2">
                    <a:lumMod val="25000"/>
                  </a:schemeClr>
                </a:solidFill>
                <a:latin typeface="Arial Narrow" panose="020B0606020202030204" pitchFamily="34" charset="0"/>
                <a:ea typeface="+mn-ea"/>
                <a:cs typeface="+mn-cs"/>
              </a:defRPr>
            </a:pPr>
            <a:endParaRPr lang="pt-BR"/>
          </a:p>
        </c:txPr>
        <c:crossAx val="409800016"/>
        <c:crosses val="autoZero"/>
        <c:crossBetween val="between"/>
      </c:valAx>
      <c:catAx>
        <c:axId val="409800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bg2">
                    <a:lumMod val="25000"/>
                  </a:schemeClr>
                </a:solidFill>
                <a:latin typeface="Arial Narrow" panose="020B0606020202030204" pitchFamily="34" charset="0"/>
                <a:ea typeface="+mn-ea"/>
                <a:cs typeface="+mn-cs"/>
              </a:defRPr>
            </a:pPr>
            <a:endParaRPr lang="pt-BR"/>
          </a:p>
        </c:txPr>
        <c:crossAx val="409797664"/>
        <c:crosses val="autoZero"/>
        <c:auto val="1"/>
        <c:lblAlgn val="ctr"/>
        <c:lblOffset val="100"/>
        <c:noMultiLvlLbl val="0"/>
      </c:cat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1100" b="0" i="0" u="none" strike="noStrike" kern="1200" baseline="0">
              <a:solidFill>
                <a:schemeClr val="bg2">
                  <a:lumMod val="25000"/>
                </a:schemeClr>
              </a:solidFill>
              <a:latin typeface="Arial Narrow" panose="020B0606020202030204" pitchFamily="34" charset="0"/>
              <a:ea typeface="+mn-ea"/>
              <a:cs typeface="+mn-cs"/>
            </a:defRPr>
          </a:pPr>
          <a:endParaRPr lang="pt-BR"/>
        </a:p>
      </c:txPr>
    </c:legend>
    <c:plotVisOnly val="1"/>
    <c:dispBlanksAs val="gap"/>
    <c:showDLblsOverMax val="0"/>
  </c:chart>
  <c:spPr>
    <a:solidFill>
      <a:schemeClr val="bg1"/>
    </a:solidFill>
    <a:ln w="9525" cap="flat" cmpd="sng" algn="ctr">
      <a:noFill/>
      <a:round/>
    </a:ln>
    <a:effectLst/>
  </c:spPr>
  <c:txPr>
    <a:bodyPr/>
    <a:lstStyle/>
    <a:p>
      <a:pPr>
        <a:defRPr>
          <a:solidFill>
            <a:schemeClr val="bg2">
              <a:lumMod val="25000"/>
            </a:schemeClr>
          </a:solidFill>
          <a:latin typeface="Arial Narrow" panose="020B0606020202030204" pitchFamily="34" charset="0"/>
        </a:defRPr>
      </a:pPr>
      <a:endParaRPr lang="pt-BR"/>
    </a:p>
  </c:txPr>
  <c:printSettings>
    <c:headerFooter/>
    <c:pageMargins b="0.78740157499999996" l="0.511811024" r="0.511811024" t="0.78740157499999996" header="0.31496062000000002" footer="0.31496062000000002"/>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8"/>
    </mc:Choice>
    <mc:Fallback>
      <c:style val="8"/>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050" b="0" i="0" u="none" strike="noStrike" kern="1200" cap="none" spc="20" baseline="0">
                <a:solidFill>
                  <a:schemeClr val="bg2">
                    <a:lumMod val="25000"/>
                  </a:schemeClr>
                </a:solidFill>
                <a:latin typeface="Arial Narrow" panose="020B0606020202030204" pitchFamily="34" charset="0"/>
                <a:ea typeface="+mn-ea"/>
                <a:cs typeface="+mn-cs"/>
              </a:defRPr>
            </a:pPr>
            <a:r>
              <a:rPr lang="pt-BR"/>
              <a:t>Horas</a:t>
            </a:r>
            <a:r>
              <a:rPr lang="pt-BR" baseline="0"/>
              <a:t> de trabalho por semana</a:t>
            </a:r>
            <a:endParaRPr lang="pt-BR"/>
          </a:p>
        </c:rich>
      </c:tx>
      <c:layout/>
      <c:overlay val="0"/>
      <c:spPr>
        <a:noFill/>
        <a:ln>
          <a:noFill/>
        </a:ln>
        <a:effectLst/>
      </c:spPr>
      <c:txPr>
        <a:bodyPr rot="0" spcFirstLastPara="1" vertOverflow="ellipsis" vert="horz" wrap="square" anchor="ctr" anchorCtr="1"/>
        <a:lstStyle/>
        <a:p>
          <a:pPr>
            <a:defRPr sz="1050" b="0" i="0" u="none" strike="noStrike" kern="1200" cap="none" spc="20" baseline="0">
              <a:solidFill>
                <a:schemeClr val="bg2">
                  <a:lumMod val="25000"/>
                </a:schemeClr>
              </a:solidFill>
              <a:latin typeface="Arial Narrow" panose="020B0606020202030204" pitchFamily="34" charset="0"/>
              <a:ea typeface="+mn-ea"/>
              <a:cs typeface="+mn-cs"/>
            </a:defRPr>
          </a:pPr>
          <a:endParaRPr lang="pt-BR"/>
        </a:p>
      </c:txPr>
    </c:title>
    <c:autoTitleDeleted val="0"/>
    <c:plotArea>
      <c:layout/>
      <c:barChart>
        <c:barDir val="col"/>
        <c:grouping val="clustered"/>
        <c:varyColors val="0"/>
        <c:ser>
          <c:idx val="2"/>
          <c:order val="0"/>
          <c:tx>
            <c:strRef>
              <c:f>EmpAtual!$BD$8</c:f>
              <c:strCache>
                <c:ptCount val="1"/>
                <c:pt idx="0">
                  <c:v>%</c:v>
                </c:pt>
              </c:strCache>
            </c:strRef>
          </c:tx>
          <c:spPr>
            <a:gradFill rotWithShape="1">
              <a:gsLst>
                <a:gs pos="0">
                  <a:schemeClr val="accent6">
                    <a:shade val="65000"/>
                    <a:lumMod val="110000"/>
                    <a:satMod val="105000"/>
                    <a:tint val="67000"/>
                  </a:schemeClr>
                </a:gs>
                <a:gs pos="50000">
                  <a:schemeClr val="accent6">
                    <a:shade val="65000"/>
                    <a:lumMod val="105000"/>
                    <a:satMod val="103000"/>
                    <a:tint val="73000"/>
                  </a:schemeClr>
                </a:gs>
                <a:gs pos="100000">
                  <a:schemeClr val="accent6">
                    <a:shade val="65000"/>
                    <a:lumMod val="105000"/>
                    <a:satMod val="109000"/>
                    <a:tint val="81000"/>
                  </a:schemeClr>
                </a:gs>
              </a:gsLst>
              <a:lin ang="5400000" scaled="0"/>
            </a:gradFill>
            <a:ln w="9525" cap="flat" cmpd="sng" algn="ctr">
              <a:solidFill>
                <a:schemeClr val="accent6">
                  <a:shade val="65000"/>
                  <a:shade val="95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2">
                        <a:lumMod val="25000"/>
                      </a:schemeClr>
                    </a:solidFill>
                    <a:latin typeface="Arial Narrow" panose="020B0606020202030204" pitchFamily="34" charset="0"/>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strRef>
              <c:f>EmpAtual!$BB$9:$BB$13</c:f>
              <c:strCache>
                <c:ptCount val="5"/>
                <c:pt idx="0">
                  <c:v>Até 20 horas</c:v>
                </c:pt>
                <c:pt idx="1">
                  <c:v>De 21 a 30 horas</c:v>
                </c:pt>
                <c:pt idx="2">
                  <c:v>De 31 a 39 horas</c:v>
                </c:pt>
                <c:pt idx="3">
                  <c:v>De 40 a 44 horas</c:v>
                </c:pt>
                <c:pt idx="4">
                  <c:v>Acima de 44 horas</c:v>
                </c:pt>
              </c:strCache>
            </c:strRef>
          </c:cat>
          <c:val>
            <c:numRef>
              <c:f>EmpAtual!$BD$9:$BD$13</c:f>
              <c:numCache>
                <c:formatCode>0.0%</c:formatCode>
                <c:ptCount val="5"/>
                <c:pt idx="0">
                  <c:v>9.5541401273885357E-2</c:v>
                </c:pt>
                <c:pt idx="1">
                  <c:v>0.19108280254777071</c:v>
                </c:pt>
                <c:pt idx="2">
                  <c:v>8.9171974522292988E-2</c:v>
                </c:pt>
                <c:pt idx="3">
                  <c:v>0.49044585987261147</c:v>
                </c:pt>
                <c:pt idx="4">
                  <c:v>0.13375796178343949</c:v>
                </c:pt>
              </c:numCache>
            </c:numRef>
          </c:val>
          <c:extLst>
            <c:ext xmlns:c16="http://schemas.microsoft.com/office/drawing/2014/chart" uri="{C3380CC4-5D6E-409C-BE32-E72D297353CC}">
              <c16:uniqueId val="{00000000-2135-458A-8DE0-EEA94B5A13A4}"/>
            </c:ext>
          </c:extLst>
        </c:ser>
        <c:dLbls>
          <c:showLegendKey val="0"/>
          <c:showVal val="0"/>
          <c:showCatName val="0"/>
          <c:showSerName val="0"/>
          <c:showPercent val="0"/>
          <c:showBubbleSize val="0"/>
        </c:dLbls>
        <c:gapWidth val="60"/>
        <c:axId val="409800408"/>
        <c:axId val="409799624"/>
      </c:barChart>
      <c:valAx>
        <c:axId val="409799624"/>
        <c:scaling>
          <c:orientation val="minMax"/>
        </c:scaling>
        <c:delete val="0"/>
        <c:axPos val="l"/>
        <c:numFmt formatCode="0.0%"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bg2">
                    <a:lumMod val="25000"/>
                  </a:schemeClr>
                </a:solidFill>
                <a:latin typeface="Arial Narrow" panose="020B0606020202030204" pitchFamily="34" charset="0"/>
                <a:ea typeface="+mn-ea"/>
                <a:cs typeface="+mn-cs"/>
              </a:defRPr>
            </a:pPr>
            <a:endParaRPr lang="pt-BR"/>
          </a:p>
        </c:txPr>
        <c:crossAx val="409800408"/>
        <c:crosses val="autoZero"/>
        <c:crossBetween val="between"/>
      </c:valAx>
      <c:catAx>
        <c:axId val="4098004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bg2">
                    <a:lumMod val="25000"/>
                  </a:schemeClr>
                </a:solidFill>
                <a:latin typeface="Arial Narrow" panose="020B0606020202030204" pitchFamily="34" charset="0"/>
                <a:ea typeface="+mn-ea"/>
                <a:cs typeface="+mn-cs"/>
              </a:defRPr>
            </a:pPr>
            <a:endParaRPr lang="pt-BR"/>
          </a:p>
        </c:txPr>
        <c:crossAx val="409799624"/>
        <c:crosses val="autoZero"/>
        <c:auto val="1"/>
        <c:lblAlgn val="ctr"/>
        <c:lblOffset val="100"/>
        <c:noMultiLvlLbl val="0"/>
      </c:cat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solidFill>
            <a:schemeClr val="bg2">
              <a:lumMod val="25000"/>
            </a:schemeClr>
          </a:solidFill>
          <a:latin typeface="Arial Narrow" panose="020B0606020202030204" pitchFamily="34" charset="0"/>
        </a:defRPr>
      </a:pPr>
      <a:endParaRPr lang="pt-BR"/>
    </a:p>
  </c:txPr>
  <c:printSettings>
    <c:headerFooter/>
    <c:pageMargins b="0.78740157499999996" l="0.511811024" r="0.511811024" t="0.78740157499999996" header="0.31496062000000002" footer="0.31496062000000002"/>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8"/>
    </mc:Choice>
    <mc:Fallback>
      <c:style val="8"/>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050" b="0" i="0" u="none" strike="noStrike" kern="1200" cap="none" spc="20" baseline="0">
                <a:solidFill>
                  <a:schemeClr val="bg2">
                    <a:lumMod val="25000"/>
                  </a:schemeClr>
                </a:solidFill>
                <a:latin typeface="Arial Narrow" panose="020B0606020202030204" pitchFamily="34" charset="0"/>
                <a:ea typeface="+mn-ea"/>
                <a:cs typeface="+mn-cs"/>
              </a:defRPr>
            </a:pPr>
            <a:r>
              <a:rPr lang="pt-BR"/>
              <a:t>Tipo</a:t>
            </a:r>
            <a:r>
              <a:rPr lang="pt-BR" baseline="0"/>
              <a:t> de Contrato Funcional</a:t>
            </a:r>
            <a:endParaRPr lang="pt-BR"/>
          </a:p>
        </c:rich>
      </c:tx>
      <c:layout/>
      <c:overlay val="0"/>
      <c:spPr>
        <a:noFill/>
        <a:ln>
          <a:noFill/>
        </a:ln>
        <a:effectLst/>
      </c:spPr>
      <c:txPr>
        <a:bodyPr rot="0" spcFirstLastPara="1" vertOverflow="ellipsis" vert="horz" wrap="square" anchor="ctr" anchorCtr="1"/>
        <a:lstStyle/>
        <a:p>
          <a:pPr>
            <a:defRPr sz="1050" b="0" i="0" u="none" strike="noStrike" kern="1200" cap="none" spc="20" baseline="0">
              <a:solidFill>
                <a:schemeClr val="bg2">
                  <a:lumMod val="25000"/>
                </a:schemeClr>
              </a:solidFill>
              <a:latin typeface="Arial Narrow" panose="020B0606020202030204" pitchFamily="34" charset="0"/>
              <a:ea typeface="+mn-ea"/>
              <a:cs typeface="+mn-cs"/>
            </a:defRPr>
          </a:pPr>
          <a:endParaRPr lang="pt-BR"/>
        </a:p>
      </c:txPr>
    </c:title>
    <c:autoTitleDeleted val="0"/>
    <c:plotArea>
      <c:layout/>
      <c:barChart>
        <c:barDir val="col"/>
        <c:grouping val="clustered"/>
        <c:varyColors val="0"/>
        <c:ser>
          <c:idx val="2"/>
          <c:order val="0"/>
          <c:tx>
            <c:strRef>
              <c:f>EmpAtual!$BI$8</c:f>
              <c:strCache>
                <c:ptCount val="1"/>
                <c:pt idx="0">
                  <c:v>%</c:v>
                </c:pt>
              </c:strCache>
            </c:strRef>
          </c:tx>
          <c:spPr>
            <a:gradFill rotWithShape="1">
              <a:gsLst>
                <a:gs pos="0">
                  <a:schemeClr val="accent6">
                    <a:shade val="65000"/>
                    <a:lumMod val="110000"/>
                    <a:satMod val="105000"/>
                    <a:tint val="67000"/>
                  </a:schemeClr>
                </a:gs>
                <a:gs pos="50000">
                  <a:schemeClr val="accent6">
                    <a:shade val="65000"/>
                    <a:lumMod val="105000"/>
                    <a:satMod val="103000"/>
                    <a:tint val="73000"/>
                  </a:schemeClr>
                </a:gs>
                <a:gs pos="100000">
                  <a:schemeClr val="accent6">
                    <a:shade val="65000"/>
                    <a:lumMod val="105000"/>
                    <a:satMod val="109000"/>
                    <a:tint val="81000"/>
                  </a:schemeClr>
                </a:gs>
              </a:gsLst>
              <a:lin ang="5400000" scaled="0"/>
            </a:gradFill>
            <a:ln w="9525" cap="flat" cmpd="sng" algn="ctr">
              <a:solidFill>
                <a:schemeClr val="accent6">
                  <a:shade val="65000"/>
                  <a:shade val="95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2">
                        <a:lumMod val="25000"/>
                      </a:schemeClr>
                    </a:solidFill>
                    <a:latin typeface="Arial Narrow" panose="020B0606020202030204" pitchFamily="34" charset="0"/>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strRef>
              <c:f>EmpAtual!$BG$9:$BG$13</c:f>
              <c:strCache>
                <c:ptCount val="5"/>
                <c:pt idx="0">
                  <c:v>Regime estatutário</c:v>
                </c:pt>
                <c:pt idx="1">
                  <c:v>Contrato temporário</c:v>
                </c:pt>
                <c:pt idx="2">
                  <c:v>Contrato CLT por tempo indeterminado</c:v>
                </c:pt>
                <c:pt idx="3">
                  <c:v>Sou Autônomo</c:v>
                </c:pt>
                <c:pt idx="4">
                  <c:v>Outros</c:v>
                </c:pt>
              </c:strCache>
            </c:strRef>
          </c:cat>
          <c:val>
            <c:numRef>
              <c:f>EmpAtual!$BI$9:$BI$13</c:f>
              <c:numCache>
                <c:formatCode>0.0%</c:formatCode>
                <c:ptCount val="5"/>
                <c:pt idx="0">
                  <c:v>0.2356687898089172</c:v>
                </c:pt>
                <c:pt idx="1">
                  <c:v>0.10828025477707007</c:v>
                </c:pt>
                <c:pt idx="2">
                  <c:v>0.51592356687898089</c:v>
                </c:pt>
                <c:pt idx="3">
                  <c:v>8.2802547770700632E-2</c:v>
                </c:pt>
                <c:pt idx="4">
                  <c:v>5.7324840764331211E-2</c:v>
                </c:pt>
              </c:numCache>
            </c:numRef>
          </c:val>
          <c:extLst>
            <c:ext xmlns:c16="http://schemas.microsoft.com/office/drawing/2014/chart" uri="{C3380CC4-5D6E-409C-BE32-E72D297353CC}">
              <c16:uniqueId val="{00000000-027E-4815-BB2E-B68AD819F2E6}"/>
            </c:ext>
          </c:extLst>
        </c:ser>
        <c:dLbls>
          <c:showLegendKey val="0"/>
          <c:showVal val="0"/>
          <c:showCatName val="0"/>
          <c:showSerName val="0"/>
          <c:showPercent val="0"/>
          <c:showBubbleSize val="0"/>
        </c:dLbls>
        <c:gapWidth val="60"/>
        <c:axId val="409801584"/>
        <c:axId val="409804328"/>
      </c:barChart>
      <c:valAx>
        <c:axId val="409804328"/>
        <c:scaling>
          <c:orientation val="minMax"/>
        </c:scaling>
        <c:delete val="0"/>
        <c:axPos val="l"/>
        <c:numFmt formatCode="0.0%"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bg2">
                    <a:lumMod val="25000"/>
                  </a:schemeClr>
                </a:solidFill>
                <a:latin typeface="Arial Narrow" panose="020B0606020202030204" pitchFamily="34" charset="0"/>
                <a:ea typeface="+mn-ea"/>
                <a:cs typeface="+mn-cs"/>
              </a:defRPr>
            </a:pPr>
            <a:endParaRPr lang="pt-BR"/>
          </a:p>
        </c:txPr>
        <c:crossAx val="409801584"/>
        <c:crosses val="autoZero"/>
        <c:crossBetween val="between"/>
      </c:valAx>
      <c:catAx>
        <c:axId val="4098015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bg2">
                    <a:lumMod val="25000"/>
                  </a:schemeClr>
                </a:solidFill>
                <a:latin typeface="Arial Narrow" panose="020B0606020202030204" pitchFamily="34" charset="0"/>
                <a:ea typeface="+mn-ea"/>
                <a:cs typeface="+mn-cs"/>
              </a:defRPr>
            </a:pPr>
            <a:endParaRPr lang="pt-BR"/>
          </a:p>
        </c:txPr>
        <c:crossAx val="409804328"/>
        <c:crosses val="autoZero"/>
        <c:auto val="1"/>
        <c:lblAlgn val="ctr"/>
        <c:lblOffset val="100"/>
        <c:noMultiLvlLbl val="0"/>
      </c:cat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solidFill>
            <a:schemeClr val="bg2">
              <a:lumMod val="25000"/>
            </a:schemeClr>
          </a:solidFill>
          <a:latin typeface="Arial Narrow" panose="020B0606020202030204" pitchFamily="34" charset="0"/>
        </a:defRPr>
      </a:pPr>
      <a:endParaRPr lang="pt-BR"/>
    </a:p>
  </c:txPr>
  <c:printSettings>
    <c:headerFooter/>
    <c:pageMargins b="0.78740157499999996" l="0.511811024" r="0.511811024" t="0.78740157499999996" header="0.31496062000000002" footer="0.31496062000000002"/>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8"/>
    </mc:Choice>
    <mc:Fallback>
      <c:style val="8"/>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050" b="0" i="0" u="none" strike="noStrike" kern="1200" cap="none" spc="20" baseline="0">
                <a:solidFill>
                  <a:schemeClr val="bg2">
                    <a:lumMod val="25000"/>
                  </a:schemeClr>
                </a:solidFill>
                <a:latin typeface="Arial Narrow" panose="020B0606020202030204" pitchFamily="34" charset="0"/>
                <a:ea typeface="+mn-ea"/>
                <a:cs typeface="+mn-cs"/>
              </a:defRPr>
            </a:pPr>
            <a:r>
              <a:rPr lang="pt-BR"/>
              <a:t>Tempo</a:t>
            </a:r>
            <a:r>
              <a:rPr lang="pt-BR" baseline="0"/>
              <a:t> no emprego atual</a:t>
            </a:r>
            <a:endParaRPr lang="pt-BR"/>
          </a:p>
        </c:rich>
      </c:tx>
      <c:layout/>
      <c:overlay val="0"/>
      <c:spPr>
        <a:noFill/>
        <a:ln>
          <a:noFill/>
        </a:ln>
        <a:effectLst/>
      </c:spPr>
      <c:txPr>
        <a:bodyPr rot="0" spcFirstLastPara="1" vertOverflow="ellipsis" vert="horz" wrap="square" anchor="ctr" anchorCtr="1"/>
        <a:lstStyle/>
        <a:p>
          <a:pPr>
            <a:defRPr sz="1050" b="0" i="0" u="none" strike="noStrike" kern="1200" cap="none" spc="20" baseline="0">
              <a:solidFill>
                <a:schemeClr val="bg2">
                  <a:lumMod val="25000"/>
                </a:schemeClr>
              </a:solidFill>
              <a:latin typeface="Arial Narrow" panose="020B0606020202030204" pitchFamily="34" charset="0"/>
              <a:ea typeface="+mn-ea"/>
              <a:cs typeface="+mn-cs"/>
            </a:defRPr>
          </a:pPr>
          <a:endParaRPr lang="pt-BR"/>
        </a:p>
      </c:txPr>
    </c:title>
    <c:autoTitleDeleted val="0"/>
    <c:plotArea>
      <c:layout/>
      <c:barChart>
        <c:barDir val="col"/>
        <c:grouping val="clustered"/>
        <c:varyColors val="0"/>
        <c:ser>
          <c:idx val="2"/>
          <c:order val="0"/>
          <c:tx>
            <c:strRef>
              <c:f>EmpAtual!$BN$8</c:f>
              <c:strCache>
                <c:ptCount val="1"/>
                <c:pt idx="0">
                  <c:v>%</c:v>
                </c:pt>
              </c:strCache>
            </c:strRef>
          </c:tx>
          <c:spPr>
            <a:gradFill rotWithShape="1">
              <a:gsLst>
                <a:gs pos="0">
                  <a:schemeClr val="accent6">
                    <a:shade val="65000"/>
                    <a:lumMod val="110000"/>
                    <a:satMod val="105000"/>
                    <a:tint val="67000"/>
                  </a:schemeClr>
                </a:gs>
                <a:gs pos="50000">
                  <a:schemeClr val="accent6">
                    <a:shade val="65000"/>
                    <a:lumMod val="105000"/>
                    <a:satMod val="103000"/>
                    <a:tint val="73000"/>
                  </a:schemeClr>
                </a:gs>
                <a:gs pos="100000">
                  <a:schemeClr val="accent6">
                    <a:shade val="65000"/>
                    <a:lumMod val="105000"/>
                    <a:satMod val="109000"/>
                    <a:tint val="81000"/>
                  </a:schemeClr>
                </a:gs>
              </a:gsLst>
              <a:lin ang="5400000" scaled="0"/>
            </a:gradFill>
            <a:ln w="9525" cap="flat" cmpd="sng" algn="ctr">
              <a:solidFill>
                <a:schemeClr val="accent6">
                  <a:shade val="65000"/>
                  <a:shade val="95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2">
                        <a:lumMod val="25000"/>
                      </a:schemeClr>
                    </a:solidFill>
                    <a:latin typeface="Arial Narrow" panose="020B0606020202030204" pitchFamily="34" charset="0"/>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strRef>
              <c:f>EmpAtual!$BL$9:$BL$12</c:f>
              <c:strCache>
                <c:ptCount val="4"/>
                <c:pt idx="0">
                  <c:v>Até 6 meses</c:v>
                </c:pt>
                <c:pt idx="1">
                  <c:v>Entre 6 meses e 1 ano</c:v>
                </c:pt>
                <c:pt idx="2">
                  <c:v>Entre 1 e 2 anos</c:v>
                </c:pt>
                <c:pt idx="3">
                  <c:v>Mais de 2 anos</c:v>
                </c:pt>
              </c:strCache>
            </c:strRef>
          </c:cat>
          <c:val>
            <c:numRef>
              <c:f>EmpAtual!$BN$9:$BN$12</c:f>
              <c:numCache>
                <c:formatCode>0.0%</c:formatCode>
                <c:ptCount val="4"/>
                <c:pt idx="0">
                  <c:v>0.13194444444444445</c:v>
                </c:pt>
                <c:pt idx="1">
                  <c:v>0.1388888888888889</c:v>
                </c:pt>
                <c:pt idx="2">
                  <c:v>0.15972222222222221</c:v>
                </c:pt>
                <c:pt idx="3">
                  <c:v>0.56944444444444442</c:v>
                </c:pt>
              </c:numCache>
            </c:numRef>
          </c:val>
          <c:extLst>
            <c:ext xmlns:c16="http://schemas.microsoft.com/office/drawing/2014/chart" uri="{C3380CC4-5D6E-409C-BE32-E72D297353CC}">
              <c16:uniqueId val="{00000000-FCA2-4A31-98F8-1B0531495B58}"/>
            </c:ext>
          </c:extLst>
        </c:ser>
        <c:dLbls>
          <c:showLegendKey val="0"/>
          <c:showVal val="0"/>
          <c:showCatName val="0"/>
          <c:showSerName val="0"/>
          <c:showPercent val="0"/>
          <c:showBubbleSize val="0"/>
        </c:dLbls>
        <c:gapWidth val="60"/>
        <c:axId val="409803936"/>
        <c:axId val="409802368"/>
      </c:barChart>
      <c:valAx>
        <c:axId val="409802368"/>
        <c:scaling>
          <c:orientation val="minMax"/>
        </c:scaling>
        <c:delete val="0"/>
        <c:axPos val="l"/>
        <c:numFmt formatCode="0.0%"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bg2">
                    <a:lumMod val="25000"/>
                  </a:schemeClr>
                </a:solidFill>
                <a:latin typeface="Arial Narrow" panose="020B0606020202030204" pitchFamily="34" charset="0"/>
                <a:ea typeface="+mn-ea"/>
                <a:cs typeface="+mn-cs"/>
              </a:defRPr>
            </a:pPr>
            <a:endParaRPr lang="pt-BR"/>
          </a:p>
        </c:txPr>
        <c:crossAx val="409803936"/>
        <c:crosses val="autoZero"/>
        <c:crossBetween val="between"/>
      </c:valAx>
      <c:catAx>
        <c:axId val="4098039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bg2">
                    <a:lumMod val="25000"/>
                  </a:schemeClr>
                </a:solidFill>
                <a:latin typeface="Arial Narrow" panose="020B0606020202030204" pitchFamily="34" charset="0"/>
                <a:ea typeface="+mn-ea"/>
                <a:cs typeface="+mn-cs"/>
              </a:defRPr>
            </a:pPr>
            <a:endParaRPr lang="pt-BR"/>
          </a:p>
        </c:txPr>
        <c:crossAx val="409802368"/>
        <c:crosses val="autoZero"/>
        <c:auto val="1"/>
        <c:lblAlgn val="ctr"/>
        <c:lblOffset val="100"/>
        <c:noMultiLvlLbl val="0"/>
      </c:cat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solidFill>
            <a:schemeClr val="bg2">
              <a:lumMod val="25000"/>
            </a:schemeClr>
          </a:solidFill>
          <a:latin typeface="Arial Narrow" panose="020B0606020202030204" pitchFamily="34" charset="0"/>
        </a:defRPr>
      </a:pPr>
      <a:endParaRPr lang="pt-BR"/>
    </a:p>
  </c:txPr>
  <c:printSettings>
    <c:headerFooter/>
    <c:pageMargins b="0.78740157499999996" l="0.511811024" r="0.511811024" t="0.78740157499999996" header="0.31496062000000002" footer="0.31496062000000002"/>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8"/>
    </mc:Choice>
    <mc:Fallback>
      <c:style val="8"/>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050" b="0" i="0" u="none" strike="noStrike" kern="1200" cap="none" spc="20" baseline="0">
                <a:solidFill>
                  <a:schemeClr val="bg2">
                    <a:lumMod val="25000"/>
                  </a:schemeClr>
                </a:solidFill>
                <a:latin typeface="Arial Narrow" panose="020B0606020202030204" pitchFamily="34" charset="0"/>
                <a:ea typeface="+mn-ea"/>
                <a:cs typeface="+mn-cs"/>
              </a:defRPr>
            </a:pPr>
            <a:r>
              <a:rPr lang="pt-BR"/>
              <a:t>Aceitação</a:t>
            </a:r>
            <a:r>
              <a:rPr lang="pt-BR" baseline="0"/>
              <a:t> no Mercado de Trabalho</a:t>
            </a:r>
            <a:endParaRPr lang="pt-BR"/>
          </a:p>
        </c:rich>
      </c:tx>
      <c:layout/>
      <c:overlay val="0"/>
      <c:spPr>
        <a:noFill/>
        <a:ln>
          <a:noFill/>
        </a:ln>
        <a:effectLst/>
      </c:spPr>
      <c:txPr>
        <a:bodyPr rot="0" spcFirstLastPara="1" vertOverflow="ellipsis" vert="horz" wrap="square" anchor="ctr" anchorCtr="1"/>
        <a:lstStyle/>
        <a:p>
          <a:pPr>
            <a:defRPr sz="1050" b="0" i="0" u="none" strike="noStrike" kern="1200" cap="none" spc="20" baseline="0">
              <a:solidFill>
                <a:schemeClr val="bg2">
                  <a:lumMod val="25000"/>
                </a:schemeClr>
              </a:solidFill>
              <a:latin typeface="Arial Narrow" panose="020B0606020202030204" pitchFamily="34" charset="0"/>
              <a:ea typeface="+mn-ea"/>
              <a:cs typeface="+mn-cs"/>
            </a:defRPr>
          </a:pPr>
          <a:endParaRPr lang="pt-BR"/>
        </a:p>
      </c:txPr>
    </c:title>
    <c:autoTitleDeleted val="0"/>
    <c:plotArea>
      <c:layout/>
      <c:barChart>
        <c:barDir val="col"/>
        <c:grouping val="clustered"/>
        <c:varyColors val="0"/>
        <c:ser>
          <c:idx val="1"/>
          <c:order val="0"/>
          <c:tx>
            <c:strRef>
              <c:f>EmpAtual!$DB$8</c:f>
              <c:strCache>
                <c:ptCount val="1"/>
                <c:pt idx="0">
                  <c:v>%</c:v>
                </c:pt>
              </c:strCache>
            </c:strRef>
          </c:tx>
          <c:spPr>
            <a:gradFill rotWithShape="1">
              <a:gsLst>
                <a:gs pos="0">
                  <a:schemeClr val="accent6">
                    <a:shade val="76000"/>
                    <a:lumMod val="110000"/>
                    <a:satMod val="105000"/>
                    <a:tint val="67000"/>
                  </a:schemeClr>
                </a:gs>
                <a:gs pos="50000">
                  <a:schemeClr val="accent6">
                    <a:shade val="76000"/>
                    <a:lumMod val="105000"/>
                    <a:satMod val="103000"/>
                    <a:tint val="73000"/>
                  </a:schemeClr>
                </a:gs>
                <a:gs pos="100000">
                  <a:schemeClr val="accent6">
                    <a:shade val="76000"/>
                    <a:lumMod val="105000"/>
                    <a:satMod val="109000"/>
                    <a:tint val="81000"/>
                  </a:schemeClr>
                </a:gs>
              </a:gsLst>
              <a:lin ang="5400000" scaled="0"/>
            </a:gradFill>
            <a:ln w="9525" cap="flat" cmpd="sng" algn="ctr">
              <a:solidFill>
                <a:schemeClr val="accent6">
                  <a:shade val="76000"/>
                  <a:shade val="95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2">
                        <a:lumMod val="25000"/>
                      </a:schemeClr>
                    </a:solidFill>
                    <a:latin typeface="Arial Narrow" panose="020B0606020202030204" pitchFamily="34" charset="0"/>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val>
            <c:numRef>
              <c:f>EmpAtual!$DB$9:$DB$13</c:f>
              <c:numCache>
                <c:formatCode>0.0%</c:formatCode>
                <c:ptCount val="5"/>
                <c:pt idx="0">
                  <c:v>0.11808118081180811</c:v>
                </c:pt>
                <c:pt idx="1">
                  <c:v>0.16605166051660517</c:v>
                </c:pt>
                <c:pt idx="2">
                  <c:v>0.2767527675276753</c:v>
                </c:pt>
                <c:pt idx="3">
                  <c:v>0.22878228782287824</c:v>
                </c:pt>
                <c:pt idx="4">
                  <c:v>0.21033210332103322</c:v>
                </c:pt>
              </c:numCache>
            </c:numRef>
          </c:val>
          <c:extLst>
            <c:ext xmlns:c16="http://schemas.microsoft.com/office/drawing/2014/chart" uri="{C3380CC4-5D6E-409C-BE32-E72D297353CC}">
              <c16:uniqueId val="{00000000-83BB-4563-A024-A134F3244347}"/>
            </c:ext>
          </c:extLst>
        </c:ser>
        <c:dLbls>
          <c:showLegendKey val="0"/>
          <c:showVal val="0"/>
          <c:showCatName val="0"/>
          <c:showSerName val="0"/>
          <c:showPercent val="0"/>
          <c:showBubbleSize val="0"/>
        </c:dLbls>
        <c:gapWidth val="60"/>
        <c:axId val="410402840"/>
        <c:axId val="410402448"/>
      </c:barChart>
      <c:valAx>
        <c:axId val="410402448"/>
        <c:scaling>
          <c:orientation val="minMax"/>
        </c:scaling>
        <c:delete val="0"/>
        <c:axPos val="l"/>
        <c:numFmt formatCode="0.0%"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bg2">
                    <a:lumMod val="25000"/>
                  </a:schemeClr>
                </a:solidFill>
                <a:latin typeface="Arial Narrow" panose="020B0606020202030204" pitchFamily="34" charset="0"/>
                <a:ea typeface="+mn-ea"/>
                <a:cs typeface="+mn-cs"/>
              </a:defRPr>
            </a:pPr>
            <a:endParaRPr lang="pt-BR"/>
          </a:p>
        </c:txPr>
        <c:crossAx val="410402840"/>
        <c:crosses val="autoZero"/>
        <c:crossBetween val="between"/>
      </c:valAx>
      <c:catAx>
        <c:axId val="4104028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bg2">
                    <a:lumMod val="25000"/>
                  </a:schemeClr>
                </a:solidFill>
                <a:latin typeface="Arial Narrow" panose="020B0606020202030204" pitchFamily="34" charset="0"/>
                <a:ea typeface="+mn-ea"/>
                <a:cs typeface="+mn-cs"/>
              </a:defRPr>
            </a:pPr>
            <a:endParaRPr lang="pt-BR"/>
          </a:p>
        </c:txPr>
        <c:crossAx val="410402448"/>
        <c:crosses val="autoZero"/>
        <c:auto val="1"/>
        <c:lblAlgn val="ctr"/>
        <c:lblOffset val="100"/>
        <c:noMultiLvlLbl val="0"/>
      </c:cat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solidFill>
            <a:schemeClr val="bg2">
              <a:lumMod val="25000"/>
            </a:schemeClr>
          </a:solidFill>
          <a:latin typeface="Arial Narrow" panose="020B0606020202030204" pitchFamily="34" charset="0"/>
        </a:defRPr>
      </a:pPr>
      <a:endParaRPr lang="pt-BR"/>
    </a:p>
  </c:txPr>
  <c:printSettings>
    <c:headerFooter/>
    <c:pageMargins b="0.78740157499999996" l="0.511811024" r="0.511811024" t="0.78740157499999996" header="0.31496062000000002" footer="0.31496062000000002"/>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8"/>
    </mc:Choice>
    <mc:Fallback>
      <c:style val="8"/>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050" b="0" i="0" u="none" strike="noStrike" kern="1200" cap="none" spc="20" baseline="0">
                <a:solidFill>
                  <a:schemeClr val="bg2">
                    <a:lumMod val="25000"/>
                  </a:schemeClr>
                </a:solidFill>
                <a:latin typeface="Arial Narrow" panose="020B0606020202030204" pitchFamily="34" charset="0"/>
                <a:ea typeface="+mn-ea"/>
                <a:cs typeface="+mn-cs"/>
              </a:defRPr>
            </a:pPr>
            <a:r>
              <a:rPr lang="pt-BR"/>
              <a:t>Aceitação</a:t>
            </a:r>
            <a:r>
              <a:rPr lang="pt-BR" baseline="0"/>
              <a:t> no Mercado de Trabalho</a:t>
            </a:r>
            <a:endParaRPr lang="pt-BR"/>
          </a:p>
        </c:rich>
      </c:tx>
      <c:layout/>
      <c:overlay val="0"/>
      <c:spPr>
        <a:noFill/>
        <a:ln>
          <a:noFill/>
        </a:ln>
        <a:effectLst/>
      </c:spPr>
      <c:txPr>
        <a:bodyPr rot="0" spcFirstLastPara="1" vertOverflow="ellipsis" vert="horz" wrap="square" anchor="ctr" anchorCtr="1"/>
        <a:lstStyle/>
        <a:p>
          <a:pPr>
            <a:defRPr sz="1050" b="0" i="0" u="none" strike="noStrike" kern="1200" cap="none" spc="20" baseline="0">
              <a:solidFill>
                <a:schemeClr val="bg2">
                  <a:lumMod val="25000"/>
                </a:schemeClr>
              </a:solidFill>
              <a:latin typeface="Arial Narrow" panose="020B0606020202030204" pitchFamily="34" charset="0"/>
              <a:ea typeface="+mn-ea"/>
              <a:cs typeface="+mn-cs"/>
            </a:defRPr>
          </a:pPr>
          <a:endParaRPr lang="pt-BR"/>
        </a:p>
      </c:txPr>
    </c:title>
    <c:autoTitleDeleted val="0"/>
    <c:plotArea>
      <c:layout/>
      <c:barChart>
        <c:barDir val="col"/>
        <c:grouping val="clustered"/>
        <c:varyColors val="0"/>
        <c:ser>
          <c:idx val="2"/>
          <c:order val="0"/>
          <c:tx>
            <c:strRef>
              <c:f>EmpAtual!$DD$31</c:f>
              <c:strCache>
                <c:ptCount val="1"/>
                <c:pt idx="0">
                  <c:v>IFS</c:v>
                </c:pt>
              </c:strCache>
            </c:strRef>
          </c:tx>
          <c:spPr>
            <a:gradFill rotWithShape="1">
              <a:gsLst>
                <a:gs pos="0">
                  <a:schemeClr val="accent6">
                    <a:shade val="65000"/>
                    <a:lumMod val="110000"/>
                    <a:satMod val="105000"/>
                    <a:tint val="67000"/>
                  </a:schemeClr>
                </a:gs>
                <a:gs pos="50000">
                  <a:schemeClr val="accent6">
                    <a:shade val="65000"/>
                    <a:lumMod val="105000"/>
                    <a:satMod val="103000"/>
                    <a:tint val="73000"/>
                  </a:schemeClr>
                </a:gs>
                <a:gs pos="100000">
                  <a:schemeClr val="accent6">
                    <a:shade val="65000"/>
                    <a:lumMod val="105000"/>
                    <a:satMod val="109000"/>
                    <a:tint val="81000"/>
                  </a:schemeClr>
                </a:gs>
              </a:gsLst>
              <a:lin ang="5400000" scaled="0"/>
            </a:gradFill>
            <a:ln w="9525" cap="flat" cmpd="sng" algn="ctr">
              <a:solidFill>
                <a:schemeClr val="accent6">
                  <a:shade val="65000"/>
                  <a:shade val="95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2">
                        <a:lumMod val="25000"/>
                      </a:schemeClr>
                    </a:solidFill>
                    <a:latin typeface="Arial Narrow" panose="020B0606020202030204" pitchFamily="34" charset="0"/>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val>
            <c:numRef>
              <c:f>EmpAtual!$DD$32:$DD$36</c:f>
              <c:numCache>
                <c:formatCode>0.0%</c:formatCode>
                <c:ptCount val="5"/>
                <c:pt idx="0">
                  <c:v>0.11808118081180811</c:v>
                </c:pt>
                <c:pt idx="1">
                  <c:v>0.16605166051660517</c:v>
                </c:pt>
                <c:pt idx="2">
                  <c:v>0.2767527675276753</c:v>
                </c:pt>
                <c:pt idx="3">
                  <c:v>0.22878228782287824</c:v>
                </c:pt>
                <c:pt idx="4">
                  <c:v>0.21033210332103322</c:v>
                </c:pt>
              </c:numCache>
            </c:numRef>
          </c:val>
          <c:extLst>
            <c:ext xmlns:c16="http://schemas.microsoft.com/office/drawing/2014/chart" uri="{C3380CC4-5D6E-409C-BE32-E72D297353CC}">
              <c16:uniqueId val="{00000000-E530-4F73-84CD-AD904A917026}"/>
            </c:ext>
          </c:extLst>
        </c:ser>
        <c:ser>
          <c:idx val="1"/>
          <c:order val="1"/>
          <c:tx>
            <c:strRef>
              <c:f>EmpAtual!$DB$31</c:f>
              <c:strCache>
                <c:ptCount val="1"/>
                <c:pt idx="0">
                  <c:v>Bacharelado em Sistemas de Informação</c:v>
                </c:pt>
              </c:strCache>
            </c:strRef>
          </c:tx>
          <c:spPr>
            <a:solidFill>
              <a:srgbClr val="4472C4">
                <a:lumMod val="40000"/>
                <a:lumOff val="60000"/>
              </a:srgbClr>
            </a:solidFill>
            <a:ln w="9525" cap="flat" cmpd="sng" algn="ctr">
              <a:solidFill>
                <a:srgbClr val="4472C4">
                  <a:lumMod val="75000"/>
                </a:srgb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2">
                        <a:lumMod val="25000"/>
                      </a:schemeClr>
                    </a:solidFill>
                    <a:latin typeface="Arial Narrow" panose="020B0606020202030204" pitchFamily="34" charset="0"/>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val>
            <c:numRef>
              <c:f>EmpAtual!$DB$32:$DB$36</c:f>
              <c:numCache>
                <c:formatCode>0.0%</c:formatCode>
                <c:ptCount val="5"/>
                <c:pt idx="0">
                  <c:v>0</c:v>
                </c:pt>
                <c:pt idx="1">
                  <c:v>0</c:v>
                </c:pt>
                <c:pt idx="2">
                  <c:v>0.10526315789473684</c:v>
                </c:pt>
                <c:pt idx="3">
                  <c:v>0.31578947368421051</c:v>
                </c:pt>
                <c:pt idx="4">
                  <c:v>0.57894736842105265</c:v>
                </c:pt>
              </c:numCache>
            </c:numRef>
          </c:val>
          <c:extLst>
            <c:ext xmlns:c16="http://schemas.microsoft.com/office/drawing/2014/chart" uri="{C3380CC4-5D6E-409C-BE32-E72D297353CC}">
              <c16:uniqueId val="{00000001-E530-4F73-84CD-AD904A917026}"/>
            </c:ext>
          </c:extLst>
        </c:ser>
        <c:dLbls>
          <c:showLegendKey val="0"/>
          <c:showVal val="0"/>
          <c:showCatName val="0"/>
          <c:showSerName val="0"/>
          <c:showPercent val="0"/>
          <c:showBubbleSize val="0"/>
        </c:dLbls>
        <c:gapWidth val="60"/>
        <c:axId val="410398136"/>
        <c:axId val="410398528"/>
      </c:barChart>
      <c:valAx>
        <c:axId val="410398528"/>
        <c:scaling>
          <c:orientation val="minMax"/>
        </c:scaling>
        <c:delete val="0"/>
        <c:axPos val="l"/>
        <c:numFmt formatCode="0.0%"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bg2">
                    <a:lumMod val="25000"/>
                  </a:schemeClr>
                </a:solidFill>
                <a:latin typeface="Arial Narrow" panose="020B0606020202030204" pitchFamily="34" charset="0"/>
                <a:ea typeface="+mn-ea"/>
                <a:cs typeface="+mn-cs"/>
              </a:defRPr>
            </a:pPr>
            <a:endParaRPr lang="pt-BR"/>
          </a:p>
        </c:txPr>
        <c:crossAx val="410398136"/>
        <c:crosses val="autoZero"/>
        <c:crossBetween val="between"/>
      </c:valAx>
      <c:catAx>
        <c:axId val="4103981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bg2">
                    <a:lumMod val="25000"/>
                  </a:schemeClr>
                </a:solidFill>
                <a:latin typeface="Arial Narrow" panose="020B0606020202030204" pitchFamily="34" charset="0"/>
                <a:ea typeface="+mn-ea"/>
                <a:cs typeface="+mn-cs"/>
              </a:defRPr>
            </a:pPr>
            <a:endParaRPr lang="pt-BR"/>
          </a:p>
        </c:txPr>
        <c:crossAx val="410398528"/>
        <c:crosses val="autoZero"/>
        <c:auto val="1"/>
        <c:lblAlgn val="ctr"/>
        <c:lblOffset val="100"/>
        <c:noMultiLvlLbl val="0"/>
      </c:cat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solidFill>
            <a:schemeClr val="bg2">
              <a:lumMod val="25000"/>
            </a:schemeClr>
          </a:solidFill>
          <a:latin typeface="Arial Narrow" panose="020B0606020202030204" pitchFamily="34" charset="0"/>
        </a:defRPr>
      </a:pPr>
      <a:endParaRPr lang="pt-BR"/>
    </a:p>
  </c:txPr>
  <c:printSettings>
    <c:headerFooter/>
    <c:pageMargins b="0.78740157499999996" l="0.511811024" r="0.511811024" t="0.78740157499999996" header="0.31496062000000002" footer="0.3149606200000000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8"/>
    </mc:Choice>
    <mc:Fallback>
      <c:style val="8"/>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050" b="0" i="0" u="none" strike="noStrike" kern="1200" cap="none" spc="20" baseline="0">
                <a:solidFill>
                  <a:schemeClr val="bg2">
                    <a:lumMod val="25000"/>
                  </a:schemeClr>
                </a:solidFill>
                <a:latin typeface="Arial Narrow" panose="020B0606020202030204" pitchFamily="34" charset="0"/>
                <a:ea typeface="+mn-ea"/>
                <a:cs typeface="+mn-cs"/>
              </a:defRPr>
            </a:pPr>
            <a:r>
              <a:rPr lang="pt-BR"/>
              <a:t>Grau</a:t>
            </a:r>
            <a:r>
              <a:rPr lang="pt-BR" baseline="0"/>
              <a:t> de Instrução dos pais e mães</a:t>
            </a:r>
            <a:endParaRPr lang="pt-BR"/>
          </a:p>
        </c:rich>
      </c:tx>
      <c:overlay val="0"/>
      <c:spPr>
        <a:noFill/>
        <a:ln>
          <a:noFill/>
        </a:ln>
        <a:effectLst/>
      </c:spPr>
      <c:txPr>
        <a:bodyPr rot="0" spcFirstLastPara="1" vertOverflow="ellipsis" vert="horz" wrap="square" anchor="ctr" anchorCtr="1"/>
        <a:lstStyle/>
        <a:p>
          <a:pPr>
            <a:defRPr sz="1050" b="0" i="0" u="none" strike="noStrike" kern="1200" cap="none" spc="20" baseline="0">
              <a:solidFill>
                <a:schemeClr val="bg2">
                  <a:lumMod val="25000"/>
                </a:schemeClr>
              </a:solidFill>
              <a:latin typeface="Arial Narrow" panose="020B0606020202030204" pitchFamily="34" charset="0"/>
              <a:ea typeface="+mn-ea"/>
              <a:cs typeface="+mn-cs"/>
            </a:defRPr>
          </a:pPr>
          <a:endParaRPr lang="pt-BR"/>
        </a:p>
      </c:txPr>
    </c:title>
    <c:autoTitleDeleted val="0"/>
    <c:plotArea>
      <c:layout/>
      <c:barChart>
        <c:barDir val="col"/>
        <c:grouping val="clustered"/>
        <c:varyColors val="0"/>
        <c:ser>
          <c:idx val="0"/>
          <c:order val="0"/>
          <c:tx>
            <c:strRef>
              <c:f>CaractAmostra!$BR$63</c:f>
              <c:strCache>
                <c:ptCount val="1"/>
                <c:pt idx="0">
                  <c:v>Pai</c:v>
                </c:pt>
              </c:strCache>
            </c:strRef>
          </c:tx>
          <c:spPr>
            <a:solidFill>
              <a:srgbClr val="4472C4">
                <a:lumMod val="60000"/>
                <a:lumOff val="40000"/>
              </a:srgbClr>
            </a:solidFill>
            <a:ln w="9525" cap="flat" cmpd="sng" algn="ctr">
              <a:solidFill>
                <a:srgbClr val="4472C4"/>
              </a:solidFill>
              <a:round/>
            </a:ln>
            <a:effectLst/>
          </c:spPr>
          <c:invertIfNegative val="0"/>
          <c:dLbls>
            <c:spPr>
              <a:noFill/>
              <a:ln>
                <a:noFill/>
              </a:ln>
              <a:effectLst/>
            </c:spPr>
            <c:txPr>
              <a:bodyPr rot="-5400000" spcFirstLastPara="1" vertOverflow="ellipsis" wrap="square" anchor="ctr" anchorCtr="1"/>
              <a:lstStyle/>
              <a:p>
                <a:pPr>
                  <a:defRPr sz="1000" b="0" i="0" u="none" strike="noStrike" kern="1200" baseline="0">
                    <a:solidFill>
                      <a:schemeClr val="bg2">
                        <a:lumMod val="25000"/>
                      </a:schemeClr>
                    </a:solidFill>
                    <a:latin typeface="Arial Narrow" panose="020B0606020202030204" pitchFamily="34" charset="0"/>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CaractAmostra!$BQ$64:$BQ$70</c:f>
              <c:strCache>
                <c:ptCount val="7"/>
                <c:pt idx="0">
                  <c:v>Fund. incompleto</c:v>
                </c:pt>
                <c:pt idx="1">
                  <c:v>Fund. completo</c:v>
                </c:pt>
                <c:pt idx="2">
                  <c:v>Médio incompleto</c:v>
                </c:pt>
                <c:pt idx="3">
                  <c:v>Médio completo</c:v>
                </c:pt>
                <c:pt idx="4">
                  <c:v>Superior incompleto</c:v>
                </c:pt>
                <c:pt idx="5">
                  <c:v>Superior completo</c:v>
                </c:pt>
                <c:pt idx="6">
                  <c:v>Pós-graduação</c:v>
                </c:pt>
              </c:strCache>
            </c:strRef>
          </c:cat>
          <c:val>
            <c:numRef>
              <c:f>CaractAmostra!$BR$64:$BR$70</c:f>
              <c:numCache>
                <c:formatCode>0.0%</c:formatCode>
                <c:ptCount val="7"/>
                <c:pt idx="0">
                  <c:v>0.17777777777777778</c:v>
                </c:pt>
                <c:pt idx="1">
                  <c:v>0.13333333333333333</c:v>
                </c:pt>
                <c:pt idx="2">
                  <c:v>0</c:v>
                </c:pt>
                <c:pt idx="3">
                  <c:v>0.26666666666666666</c:v>
                </c:pt>
                <c:pt idx="4">
                  <c:v>6.6666666666666666E-2</c:v>
                </c:pt>
                <c:pt idx="5">
                  <c:v>0.2</c:v>
                </c:pt>
                <c:pt idx="6">
                  <c:v>0.15555555555555556</c:v>
                </c:pt>
              </c:numCache>
            </c:numRef>
          </c:val>
          <c:extLst>
            <c:ext xmlns:c16="http://schemas.microsoft.com/office/drawing/2014/chart" uri="{C3380CC4-5D6E-409C-BE32-E72D297353CC}">
              <c16:uniqueId val="{00000000-C392-408A-8605-3078438591DC}"/>
            </c:ext>
          </c:extLst>
        </c:ser>
        <c:ser>
          <c:idx val="2"/>
          <c:order val="1"/>
          <c:tx>
            <c:strRef>
              <c:f>CaractAmostra!$BS$63</c:f>
              <c:strCache>
                <c:ptCount val="1"/>
                <c:pt idx="0">
                  <c:v>Mãe</c:v>
                </c:pt>
              </c:strCache>
            </c:strRef>
          </c:tx>
          <c:spPr>
            <a:gradFill rotWithShape="1">
              <a:gsLst>
                <a:gs pos="0">
                  <a:schemeClr val="accent6">
                    <a:shade val="65000"/>
                    <a:lumMod val="110000"/>
                    <a:satMod val="105000"/>
                    <a:tint val="67000"/>
                  </a:schemeClr>
                </a:gs>
                <a:gs pos="50000">
                  <a:schemeClr val="accent6">
                    <a:shade val="65000"/>
                    <a:lumMod val="105000"/>
                    <a:satMod val="103000"/>
                    <a:tint val="73000"/>
                  </a:schemeClr>
                </a:gs>
                <a:gs pos="100000">
                  <a:schemeClr val="accent6">
                    <a:shade val="65000"/>
                    <a:lumMod val="105000"/>
                    <a:satMod val="109000"/>
                    <a:tint val="81000"/>
                  </a:schemeClr>
                </a:gs>
              </a:gsLst>
              <a:lin ang="5400000" scaled="0"/>
            </a:gradFill>
            <a:ln w="9525" cap="flat" cmpd="sng" algn="ctr">
              <a:solidFill>
                <a:srgbClr val="70AD47">
                  <a:lumMod val="75000"/>
                </a:srgbClr>
              </a:solidFill>
              <a:round/>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000" b="0" i="0" u="none" strike="noStrike" kern="1200" baseline="0">
                    <a:solidFill>
                      <a:schemeClr val="bg2">
                        <a:lumMod val="25000"/>
                      </a:schemeClr>
                    </a:solidFill>
                    <a:latin typeface="Arial Narrow" panose="020B0606020202030204" pitchFamily="34" charset="0"/>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CaractAmostra!$BQ$64:$BQ$70</c:f>
              <c:strCache>
                <c:ptCount val="7"/>
                <c:pt idx="0">
                  <c:v>Fund. incompleto</c:v>
                </c:pt>
                <c:pt idx="1">
                  <c:v>Fund. completo</c:v>
                </c:pt>
                <c:pt idx="2">
                  <c:v>Médio incompleto</c:v>
                </c:pt>
                <c:pt idx="3">
                  <c:v>Médio completo</c:v>
                </c:pt>
                <c:pt idx="4">
                  <c:v>Superior incompleto</c:v>
                </c:pt>
                <c:pt idx="5">
                  <c:v>Superior completo</c:v>
                </c:pt>
                <c:pt idx="6">
                  <c:v>Pós-graduação</c:v>
                </c:pt>
              </c:strCache>
            </c:strRef>
          </c:cat>
          <c:val>
            <c:numRef>
              <c:f>CaractAmostra!$BS$64:$BS$70</c:f>
              <c:numCache>
                <c:formatCode>0.0%</c:formatCode>
                <c:ptCount val="7"/>
                <c:pt idx="0">
                  <c:v>0.13333333333333333</c:v>
                </c:pt>
                <c:pt idx="1">
                  <c:v>8.8888888888888892E-2</c:v>
                </c:pt>
                <c:pt idx="2">
                  <c:v>6.6666666666666666E-2</c:v>
                </c:pt>
                <c:pt idx="3">
                  <c:v>0.31111111111111112</c:v>
                </c:pt>
                <c:pt idx="4">
                  <c:v>2.2222222222222223E-2</c:v>
                </c:pt>
                <c:pt idx="5">
                  <c:v>0.28888888888888886</c:v>
                </c:pt>
                <c:pt idx="6">
                  <c:v>8.8888888888888892E-2</c:v>
                </c:pt>
              </c:numCache>
            </c:numRef>
          </c:val>
          <c:extLst>
            <c:ext xmlns:c16="http://schemas.microsoft.com/office/drawing/2014/chart" uri="{C3380CC4-5D6E-409C-BE32-E72D297353CC}">
              <c16:uniqueId val="{00000001-C392-408A-8605-3078438591DC}"/>
            </c:ext>
          </c:extLst>
        </c:ser>
        <c:dLbls>
          <c:showLegendKey val="0"/>
          <c:showVal val="0"/>
          <c:showCatName val="0"/>
          <c:showSerName val="0"/>
          <c:showPercent val="0"/>
          <c:showBubbleSize val="0"/>
        </c:dLbls>
        <c:gapWidth val="60"/>
        <c:axId val="411134352"/>
        <c:axId val="411134744"/>
      </c:barChart>
      <c:valAx>
        <c:axId val="411134744"/>
        <c:scaling>
          <c:orientation val="minMax"/>
        </c:scaling>
        <c:delete val="0"/>
        <c:axPos val="l"/>
        <c:numFmt formatCode="0.0%"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bg2">
                    <a:lumMod val="25000"/>
                  </a:schemeClr>
                </a:solidFill>
                <a:latin typeface="Arial Narrow" panose="020B0606020202030204" pitchFamily="34" charset="0"/>
                <a:ea typeface="+mn-ea"/>
                <a:cs typeface="+mn-cs"/>
              </a:defRPr>
            </a:pPr>
            <a:endParaRPr lang="pt-BR"/>
          </a:p>
        </c:txPr>
        <c:crossAx val="411134352"/>
        <c:crosses val="autoZero"/>
        <c:crossBetween val="between"/>
      </c:valAx>
      <c:catAx>
        <c:axId val="411134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bg2">
                    <a:lumMod val="25000"/>
                  </a:schemeClr>
                </a:solidFill>
                <a:latin typeface="Arial Narrow" panose="020B0606020202030204" pitchFamily="34" charset="0"/>
                <a:ea typeface="+mn-ea"/>
                <a:cs typeface="+mn-cs"/>
              </a:defRPr>
            </a:pPr>
            <a:endParaRPr lang="pt-BR"/>
          </a:p>
        </c:txPr>
        <c:crossAx val="411134744"/>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bg2">
                  <a:lumMod val="25000"/>
                </a:schemeClr>
              </a:solidFill>
              <a:latin typeface="Arial Narrow" panose="020B0606020202030204" pitchFamily="34" charset="0"/>
              <a:ea typeface="+mn-ea"/>
              <a:cs typeface="+mn-cs"/>
            </a:defRPr>
          </a:pPr>
          <a:endParaRPr lang="pt-BR"/>
        </a:p>
      </c:txPr>
    </c:legend>
    <c:plotVisOnly val="1"/>
    <c:dispBlanksAs val="gap"/>
    <c:showDLblsOverMax val="0"/>
  </c:chart>
  <c:spPr>
    <a:solidFill>
      <a:schemeClr val="bg1"/>
    </a:solidFill>
    <a:ln w="9525" cap="flat" cmpd="sng" algn="ctr">
      <a:noFill/>
      <a:round/>
    </a:ln>
    <a:effectLst/>
  </c:spPr>
  <c:txPr>
    <a:bodyPr/>
    <a:lstStyle/>
    <a:p>
      <a:pPr>
        <a:defRPr>
          <a:solidFill>
            <a:schemeClr val="bg2">
              <a:lumMod val="25000"/>
            </a:schemeClr>
          </a:solidFill>
          <a:latin typeface="Arial Narrow" panose="020B0606020202030204" pitchFamily="34" charset="0"/>
        </a:defRPr>
      </a:pPr>
      <a:endParaRPr lang="pt-BR"/>
    </a:p>
  </c:txPr>
  <c:printSettings>
    <c:headerFooter/>
    <c:pageMargins b="0.78740157499999996" l="0.511811024" r="0.511811024" t="0.78740157499999996" header="0.31496062000000002" footer="0.31496062000000002"/>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8"/>
    </mc:Choice>
    <mc:Fallback>
      <c:style val="8"/>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050" b="0" i="0" u="none" strike="noStrike" kern="1200" cap="none" spc="20" baseline="0">
                <a:solidFill>
                  <a:schemeClr val="bg2">
                    <a:lumMod val="25000"/>
                  </a:schemeClr>
                </a:solidFill>
                <a:latin typeface="Arial Narrow" panose="020B0606020202030204" pitchFamily="34" charset="0"/>
                <a:ea typeface="+mn-ea"/>
                <a:cs typeface="+mn-cs"/>
              </a:defRPr>
            </a:pPr>
            <a:r>
              <a:rPr lang="pt-BR"/>
              <a:t>Pontos</a:t>
            </a:r>
            <a:r>
              <a:rPr lang="pt-BR" baseline="0"/>
              <a:t> que mais dificultaram o acesso ao mercado de trabalho</a:t>
            </a:r>
            <a:endParaRPr lang="pt-BR"/>
          </a:p>
        </c:rich>
      </c:tx>
      <c:layout/>
      <c:overlay val="0"/>
      <c:spPr>
        <a:noFill/>
        <a:ln>
          <a:noFill/>
        </a:ln>
        <a:effectLst/>
      </c:spPr>
      <c:txPr>
        <a:bodyPr rot="0" spcFirstLastPara="1" vertOverflow="ellipsis" vert="horz" wrap="square" anchor="ctr" anchorCtr="1"/>
        <a:lstStyle/>
        <a:p>
          <a:pPr>
            <a:defRPr sz="1050" b="0" i="0" u="none" strike="noStrike" kern="1200" cap="none" spc="20" baseline="0">
              <a:solidFill>
                <a:schemeClr val="bg2">
                  <a:lumMod val="25000"/>
                </a:schemeClr>
              </a:solidFill>
              <a:latin typeface="Arial Narrow" panose="020B0606020202030204" pitchFamily="34" charset="0"/>
              <a:ea typeface="+mn-ea"/>
              <a:cs typeface="+mn-cs"/>
            </a:defRPr>
          </a:pPr>
          <a:endParaRPr lang="pt-BR"/>
        </a:p>
      </c:txPr>
    </c:title>
    <c:autoTitleDeleted val="0"/>
    <c:plotArea>
      <c:layout/>
      <c:barChart>
        <c:barDir val="col"/>
        <c:grouping val="clustered"/>
        <c:varyColors val="0"/>
        <c:ser>
          <c:idx val="2"/>
          <c:order val="0"/>
          <c:tx>
            <c:strRef>
              <c:f>EmpAtual!$DI$8</c:f>
              <c:strCache>
                <c:ptCount val="1"/>
                <c:pt idx="0">
                  <c:v>%</c:v>
                </c:pt>
              </c:strCache>
            </c:strRef>
          </c:tx>
          <c:spPr>
            <a:gradFill rotWithShape="1">
              <a:gsLst>
                <a:gs pos="0">
                  <a:schemeClr val="accent6">
                    <a:shade val="65000"/>
                    <a:lumMod val="110000"/>
                    <a:satMod val="105000"/>
                    <a:tint val="67000"/>
                  </a:schemeClr>
                </a:gs>
                <a:gs pos="50000">
                  <a:schemeClr val="accent6">
                    <a:shade val="65000"/>
                    <a:lumMod val="105000"/>
                    <a:satMod val="103000"/>
                    <a:tint val="73000"/>
                  </a:schemeClr>
                </a:gs>
                <a:gs pos="100000">
                  <a:schemeClr val="accent6">
                    <a:shade val="65000"/>
                    <a:lumMod val="105000"/>
                    <a:satMod val="109000"/>
                    <a:tint val="81000"/>
                  </a:schemeClr>
                </a:gs>
              </a:gsLst>
              <a:lin ang="5400000" scaled="0"/>
            </a:gradFill>
            <a:ln w="9525" cap="flat" cmpd="sng" algn="ctr">
              <a:solidFill>
                <a:schemeClr val="accent6">
                  <a:shade val="65000"/>
                  <a:shade val="95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2">
                        <a:lumMod val="25000"/>
                      </a:schemeClr>
                    </a:solidFill>
                    <a:latin typeface="Arial Narrow" panose="020B0606020202030204" pitchFamily="34" charset="0"/>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strRef>
              <c:f>EmpAtual!$DG$9:$DG$19</c:f>
              <c:strCache>
                <c:ptCount val="11"/>
                <c:pt idx="0">
                  <c:v>Baixa demanda do mercado para minha área de atuação</c:v>
                </c:pt>
                <c:pt idx="1">
                  <c:v>Má reputação do IFS</c:v>
                </c:pt>
                <c:pt idx="2">
                  <c:v>Concorrentes mais preparados</c:v>
                </c:pt>
                <c:pt idx="3">
                  <c:v>Situação econômica do país/estado</c:v>
                </c:pt>
                <c:pt idx="4">
                  <c:v>Falta de contatos que pudessem me indicar a vagas de emprego</c:v>
                </c:pt>
                <c:pt idx="5">
                  <c:v>Falta de conhecimento em inglês</c:v>
                </c:pt>
                <c:pt idx="6">
                  <c:v>Falta de conhecimento em espanhol</c:v>
                </c:pt>
                <c:pt idx="7">
                  <c:v>Pouca experiência profissional</c:v>
                </c:pt>
                <c:pt idx="8">
                  <c:v>Falta de cursos de aperfeiçoamento</c:v>
                </c:pt>
                <c:pt idx="9">
                  <c:v>Discriminação (racial, cor, gênero, social, etc.)</c:v>
                </c:pt>
                <c:pt idx="10">
                  <c:v>Outros</c:v>
                </c:pt>
              </c:strCache>
            </c:strRef>
          </c:cat>
          <c:val>
            <c:numRef>
              <c:f>EmpAtual!$DI$9:$DI$19</c:f>
              <c:numCache>
                <c:formatCode>0.0%</c:formatCode>
                <c:ptCount val="11"/>
                <c:pt idx="0">
                  <c:v>0.56088560885608851</c:v>
                </c:pt>
                <c:pt idx="1">
                  <c:v>7.3800738007380072E-3</c:v>
                </c:pt>
                <c:pt idx="2">
                  <c:v>7.3800738007380073E-2</c:v>
                </c:pt>
                <c:pt idx="3">
                  <c:v>0.38745387453874541</c:v>
                </c:pt>
                <c:pt idx="4">
                  <c:v>0.3210332103321033</c:v>
                </c:pt>
                <c:pt idx="5">
                  <c:v>7.3800738007380073E-2</c:v>
                </c:pt>
                <c:pt idx="6">
                  <c:v>3.6900369003690036E-3</c:v>
                </c:pt>
                <c:pt idx="7">
                  <c:v>0.34317343173431736</c:v>
                </c:pt>
                <c:pt idx="8">
                  <c:v>7.7490774907749083E-2</c:v>
                </c:pt>
                <c:pt idx="9">
                  <c:v>2.5830258302583026E-2</c:v>
                </c:pt>
                <c:pt idx="10">
                  <c:v>0.11439114391143912</c:v>
                </c:pt>
              </c:numCache>
            </c:numRef>
          </c:val>
          <c:extLst>
            <c:ext xmlns:c16="http://schemas.microsoft.com/office/drawing/2014/chart" uri="{C3380CC4-5D6E-409C-BE32-E72D297353CC}">
              <c16:uniqueId val="{00000000-C06F-4843-95B6-74AF6AB88FB5}"/>
            </c:ext>
          </c:extLst>
        </c:ser>
        <c:dLbls>
          <c:showLegendKey val="0"/>
          <c:showVal val="0"/>
          <c:showCatName val="0"/>
          <c:showSerName val="0"/>
          <c:showPercent val="0"/>
          <c:showBubbleSize val="0"/>
        </c:dLbls>
        <c:gapWidth val="60"/>
        <c:axId val="410401664"/>
        <c:axId val="410399312"/>
      </c:barChart>
      <c:valAx>
        <c:axId val="410399312"/>
        <c:scaling>
          <c:orientation val="minMax"/>
        </c:scaling>
        <c:delete val="0"/>
        <c:axPos val="l"/>
        <c:numFmt formatCode="0.0%"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bg2">
                    <a:lumMod val="25000"/>
                  </a:schemeClr>
                </a:solidFill>
                <a:latin typeface="Arial Narrow" panose="020B0606020202030204" pitchFamily="34" charset="0"/>
                <a:ea typeface="+mn-ea"/>
                <a:cs typeface="+mn-cs"/>
              </a:defRPr>
            </a:pPr>
            <a:endParaRPr lang="pt-BR"/>
          </a:p>
        </c:txPr>
        <c:crossAx val="410401664"/>
        <c:crosses val="autoZero"/>
        <c:crossBetween val="between"/>
      </c:valAx>
      <c:catAx>
        <c:axId val="4104016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bg2">
                    <a:lumMod val="25000"/>
                  </a:schemeClr>
                </a:solidFill>
                <a:latin typeface="Arial Narrow" panose="020B0606020202030204" pitchFamily="34" charset="0"/>
                <a:ea typeface="+mn-ea"/>
                <a:cs typeface="+mn-cs"/>
              </a:defRPr>
            </a:pPr>
            <a:endParaRPr lang="pt-BR"/>
          </a:p>
        </c:txPr>
        <c:crossAx val="410399312"/>
        <c:crosses val="autoZero"/>
        <c:auto val="1"/>
        <c:lblAlgn val="ctr"/>
        <c:lblOffset val="100"/>
        <c:noMultiLvlLbl val="0"/>
      </c:cat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solidFill>
            <a:schemeClr val="bg2">
              <a:lumMod val="25000"/>
            </a:schemeClr>
          </a:solidFill>
          <a:latin typeface="Arial Narrow" panose="020B0606020202030204" pitchFamily="34" charset="0"/>
        </a:defRPr>
      </a:pPr>
      <a:endParaRPr lang="pt-BR"/>
    </a:p>
  </c:txPr>
  <c:printSettings>
    <c:headerFooter/>
    <c:pageMargins b="0.78740157499999996" l="0.511811024" r="0.511811024" t="0.78740157499999996" header="0.31496062000000002" footer="0.31496062000000002"/>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8"/>
    </mc:Choice>
    <mc:Fallback>
      <c:style val="8"/>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050" b="0" i="0" u="none" strike="noStrike" kern="1200" cap="none" spc="20" baseline="0">
                <a:solidFill>
                  <a:schemeClr val="bg2">
                    <a:lumMod val="25000"/>
                  </a:schemeClr>
                </a:solidFill>
                <a:latin typeface="Arial Narrow" panose="020B0606020202030204" pitchFamily="34" charset="0"/>
                <a:ea typeface="+mn-ea"/>
                <a:cs typeface="+mn-cs"/>
              </a:defRPr>
            </a:pPr>
            <a:r>
              <a:rPr lang="pt-BR"/>
              <a:t>Pontos que facilitaram o</a:t>
            </a:r>
            <a:r>
              <a:rPr lang="pt-BR" baseline="0"/>
              <a:t> acesso ao mercado de trabalho</a:t>
            </a:r>
            <a:endParaRPr lang="pt-BR"/>
          </a:p>
        </c:rich>
      </c:tx>
      <c:layout/>
      <c:overlay val="0"/>
      <c:spPr>
        <a:noFill/>
        <a:ln>
          <a:noFill/>
        </a:ln>
        <a:effectLst/>
      </c:spPr>
      <c:txPr>
        <a:bodyPr rot="0" spcFirstLastPara="1" vertOverflow="ellipsis" vert="horz" wrap="square" anchor="ctr" anchorCtr="1"/>
        <a:lstStyle/>
        <a:p>
          <a:pPr>
            <a:defRPr sz="1050" b="0" i="0" u="none" strike="noStrike" kern="1200" cap="none" spc="20" baseline="0">
              <a:solidFill>
                <a:schemeClr val="bg2">
                  <a:lumMod val="25000"/>
                </a:schemeClr>
              </a:solidFill>
              <a:latin typeface="Arial Narrow" panose="020B0606020202030204" pitchFamily="34" charset="0"/>
              <a:ea typeface="+mn-ea"/>
              <a:cs typeface="+mn-cs"/>
            </a:defRPr>
          </a:pPr>
          <a:endParaRPr lang="pt-BR"/>
        </a:p>
      </c:txPr>
    </c:title>
    <c:autoTitleDeleted val="0"/>
    <c:plotArea>
      <c:layout/>
      <c:barChart>
        <c:barDir val="col"/>
        <c:grouping val="clustered"/>
        <c:varyColors val="0"/>
        <c:ser>
          <c:idx val="2"/>
          <c:order val="0"/>
          <c:tx>
            <c:strRef>
              <c:f>EmpAtual!$DN$8</c:f>
              <c:strCache>
                <c:ptCount val="1"/>
                <c:pt idx="0">
                  <c:v>%</c:v>
                </c:pt>
              </c:strCache>
            </c:strRef>
          </c:tx>
          <c:spPr>
            <a:gradFill rotWithShape="1">
              <a:gsLst>
                <a:gs pos="0">
                  <a:schemeClr val="accent6">
                    <a:shade val="65000"/>
                    <a:lumMod val="110000"/>
                    <a:satMod val="105000"/>
                    <a:tint val="67000"/>
                  </a:schemeClr>
                </a:gs>
                <a:gs pos="50000">
                  <a:schemeClr val="accent6">
                    <a:shade val="65000"/>
                    <a:lumMod val="105000"/>
                    <a:satMod val="103000"/>
                    <a:tint val="73000"/>
                  </a:schemeClr>
                </a:gs>
                <a:gs pos="100000">
                  <a:schemeClr val="accent6">
                    <a:shade val="65000"/>
                    <a:lumMod val="105000"/>
                    <a:satMod val="109000"/>
                    <a:tint val="81000"/>
                  </a:schemeClr>
                </a:gs>
              </a:gsLst>
              <a:lin ang="5400000" scaled="0"/>
            </a:gradFill>
            <a:ln w="9525" cap="flat" cmpd="sng" algn="ctr">
              <a:solidFill>
                <a:schemeClr val="accent6">
                  <a:shade val="65000"/>
                  <a:shade val="95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2">
                        <a:lumMod val="25000"/>
                      </a:schemeClr>
                    </a:solidFill>
                    <a:latin typeface="Arial Narrow" panose="020B0606020202030204" pitchFamily="34" charset="0"/>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strRef>
              <c:f>EmpAtual!$DL$9:$DL$20</c:f>
              <c:strCache>
                <c:ptCount val="12"/>
                <c:pt idx="0">
                  <c:v>Alta demanda do mercado para minha área de atuação</c:v>
                </c:pt>
                <c:pt idx="1">
                  <c:v>Boa reputação do IFS</c:v>
                </c:pt>
                <c:pt idx="2">
                  <c:v>Concorrentes menos preparados</c:v>
                </c:pt>
                <c:pt idx="3">
                  <c:v>Situação econômica do país/estado</c:v>
                </c:pt>
                <c:pt idx="4">
                  <c:v>Existência de contatos que pudessem me indicar a vagas de emprego</c:v>
                </c:pt>
                <c:pt idx="5">
                  <c:v>Conhecimento em inglês</c:v>
                </c:pt>
                <c:pt idx="6">
                  <c:v>Conhecimento em espanhol</c:v>
                </c:pt>
                <c:pt idx="7">
                  <c:v>Experiências internacionais</c:v>
                </c:pt>
                <c:pt idx="8">
                  <c:v>Experiência profissional</c:v>
                </c:pt>
                <c:pt idx="9">
                  <c:v>Cursos de aperfeiçoamento</c:v>
                </c:pt>
                <c:pt idx="10">
                  <c:v>Discriminação (racial, cor, gênero, social, etc.)</c:v>
                </c:pt>
                <c:pt idx="11">
                  <c:v>Outros</c:v>
                </c:pt>
              </c:strCache>
            </c:strRef>
          </c:cat>
          <c:val>
            <c:numRef>
              <c:f>EmpAtual!$DN$9:$DN$20</c:f>
              <c:numCache>
                <c:formatCode>0.0%</c:formatCode>
                <c:ptCount val="12"/>
                <c:pt idx="0">
                  <c:v>9.5940959409594101E-2</c:v>
                </c:pt>
                <c:pt idx="1">
                  <c:v>0.39852398523985239</c:v>
                </c:pt>
                <c:pt idx="2">
                  <c:v>0.24723247232472326</c:v>
                </c:pt>
                <c:pt idx="3">
                  <c:v>2.2140221402214021E-2</c:v>
                </c:pt>
                <c:pt idx="4">
                  <c:v>0.24723247232472326</c:v>
                </c:pt>
                <c:pt idx="5">
                  <c:v>8.4870848708487087E-2</c:v>
                </c:pt>
                <c:pt idx="6">
                  <c:v>2.9520295202952029E-2</c:v>
                </c:pt>
                <c:pt idx="7">
                  <c:v>2.2140221402214021E-2</c:v>
                </c:pt>
                <c:pt idx="8">
                  <c:v>0.25830258302583026</c:v>
                </c:pt>
                <c:pt idx="9">
                  <c:v>0.26568265682656828</c:v>
                </c:pt>
                <c:pt idx="10">
                  <c:v>3.6900369003690036E-3</c:v>
                </c:pt>
                <c:pt idx="11">
                  <c:v>0.11070110701107011</c:v>
                </c:pt>
              </c:numCache>
            </c:numRef>
          </c:val>
          <c:extLst>
            <c:ext xmlns:c16="http://schemas.microsoft.com/office/drawing/2014/chart" uri="{C3380CC4-5D6E-409C-BE32-E72D297353CC}">
              <c16:uniqueId val="{00000000-34F3-49FE-8448-39D6D2EF6DE9}"/>
            </c:ext>
          </c:extLst>
        </c:ser>
        <c:dLbls>
          <c:showLegendKey val="0"/>
          <c:showVal val="0"/>
          <c:showCatName val="0"/>
          <c:showSerName val="0"/>
          <c:showPercent val="0"/>
          <c:showBubbleSize val="0"/>
        </c:dLbls>
        <c:gapWidth val="60"/>
        <c:axId val="410399704"/>
        <c:axId val="410401272"/>
      </c:barChart>
      <c:valAx>
        <c:axId val="410401272"/>
        <c:scaling>
          <c:orientation val="minMax"/>
        </c:scaling>
        <c:delete val="0"/>
        <c:axPos val="l"/>
        <c:numFmt formatCode="0.0%"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bg2">
                    <a:lumMod val="25000"/>
                  </a:schemeClr>
                </a:solidFill>
                <a:latin typeface="Arial Narrow" panose="020B0606020202030204" pitchFamily="34" charset="0"/>
                <a:ea typeface="+mn-ea"/>
                <a:cs typeface="+mn-cs"/>
              </a:defRPr>
            </a:pPr>
            <a:endParaRPr lang="pt-BR"/>
          </a:p>
        </c:txPr>
        <c:crossAx val="410399704"/>
        <c:crosses val="autoZero"/>
        <c:crossBetween val="between"/>
      </c:valAx>
      <c:catAx>
        <c:axId val="4103997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bg2">
                    <a:lumMod val="25000"/>
                  </a:schemeClr>
                </a:solidFill>
                <a:latin typeface="Arial Narrow" panose="020B0606020202030204" pitchFamily="34" charset="0"/>
                <a:ea typeface="+mn-ea"/>
                <a:cs typeface="+mn-cs"/>
              </a:defRPr>
            </a:pPr>
            <a:endParaRPr lang="pt-BR"/>
          </a:p>
        </c:txPr>
        <c:crossAx val="410401272"/>
        <c:crosses val="autoZero"/>
        <c:auto val="1"/>
        <c:lblAlgn val="ctr"/>
        <c:lblOffset val="100"/>
        <c:noMultiLvlLbl val="0"/>
      </c:cat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solidFill>
            <a:schemeClr val="bg2">
              <a:lumMod val="25000"/>
            </a:schemeClr>
          </a:solidFill>
          <a:latin typeface="Arial Narrow" panose="020B0606020202030204" pitchFamily="34" charset="0"/>
        </a:defRPr>
      </a:pPr>
      <a:endParaRPr lang="pt-BR"/>
    </a:p>
  </c:txPr>
  <c:printSettings>
    <c:headerFooter/>
    <c:pageMargins b="0.78740157499999996" l="0.511811024" r="0.511811024" t="0.78740157499999996" header="0.31496062000000002" footer="0.31496062000000002"/>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8"/>
    </mc:Choice>
    <mc:Fallback>
      <c:style val="8"/>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050" b="0" i="0" u="none" strike="noStrike" kern="1200" cap="none" spc="20" baseline="0">
                <a:solidFill>
                  <a:schemeClr val="bg2">
                    <a:lumMod val="25000"/>
                  </a:schemeClr>
                </a:solidFill>
                <a:latin typeface="Arial Narrow" panose="020B0606020202030204" pitchFamily="34" charset="0"/>
                <a:ea typeface="+mn-ea"/>
                <a:cs typeface="+mn-cs"/>
              </a:defRPr>
            </a:pPr>
            <a:r>
              <a:rPr lang="pt-BR"/>
              <a:t>Pontos que facilitaram o</a:t>
            </a:r>
            <a:r>
              <a:rPr lang="pt-BR" baseline="0"/>
              <a:t> acesso ao mercado de trabalho</a:t>
            </a:r>
            <a:endParaRPr lang="pt-BR"/>
          </a:p>
        </c:rich>
      </c:tx>
      <c:layout/>
      <c:overlay val="0"/>
      <c:spPr>
        <a:noFill/>
        <a:ln>
          <a:noFill/>
        </a:ln>
        <a:effectLst/>
      </c:spPr>
      <c:txPr>
        <a:bodyPr rot="0" spcFirstLastPara="1" vertOverflow="ellipsis" vert="horz" wrap="square" anchor="ctr" anchorCtr="1"/>
        <a:lstStyle/>
        <a:p>
          <a:pPr>
            <a:defRPr sz="1050" b="0" i="0" u="none" strike="noStrike" kern="1200" cap="none" spc="20" baseline="0">
              <a:solidFill>
                <a:schemeClr val="bg2">
                  <a:lumMod val="25000"/>
                </a:schemeClr>
              </a:solidFill>
              <a:latin typeface="Arial Narrow" panose="020B0606020202030204" pitchFamily="34" charset="0"/>
              <a:ea typeface="+mn-ea"/>
              <a:cs typeface="+mn-cs"/>
            </a:defRPr>
          </a:pPr>
          <a:endParaRPr lang="pt-BR"/>
        </a:p>
      </c:txPr>
    </c:title>
    <c:autoTitleDeleted val="0"/>
    <c:plotArea>
      <c:layout/>
      <c:barChart>
        <c:barDir val="col"/>
        <c:grouping val="clustered"/>
        <c:varyColors val="0"/>
        <c:ser>
          <c:idx val="2"/>
          <c:order val="0"/>
          <c:tx>
            <c:strRef>
              <c:f>EmpAtual!$DN$31</c:f>
              <c:strCache>
                <c:ptCount val="1"/>
                <c:pt idx="0">
                  <c:v>%</c:v>
                </c:pt>
              </c:strCache>
            </c:strRef>
          </c:tx>
          <c:spPr>
            <a:solidFill>
              <a:srgbClr val="4472C4">
                <a:lumMod val="40000"/>
                <a:lumOff val="60000"/>
              </a:srgbClr>
            </a:solidFill>
            <a:ln w="9525" cap="flat" cmpd="sng" algn="ctr">
              <a:solidFill>
                <a:srgbClr val="4472C4">
                  <a:lumMod val="75000"/>
                </a:srgb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2">
                        <a:lumMod val="25000"/>
                      </a:schemeClr>
                    </a:solidFill>
                    <a:latin typeface="Arial Narrow" panose="020B0606020202030204" pitchFamily="34" charset="0"/>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strRef>
              <c:f>EmpAtual!$DL$32:$DL$42</c:f>
              <c:strCache>
                <c:ptCount val="11"/>
                <c:pt idx="0">
                  <c:v>Alta demanda do mercado para minha área de atuação</c:v>
                </c:pt>
                <c:pt idx="1">
                  <c:v>Boa reputação do IFS</c:v>
                </c:pt>
                <c:pt idx="2">
                  <c:v>Concorrentes menos preparados</c:v>
                </c:pt>
                <c:pt idx="3">
                  <c:v>Situação econômica do país/estado</c:v>
                </c:pt>
                <c:pt idx="4">
                  <c:v>Existência de contatos que pudessem me indicar a vagas de emprego</c:v>
                </c:pt>
                <c:pt idx="5">
                  <c:v>Conhecimento em inglês</c:v>
                </c:pt>
                <c:pt idx="6">
                  <c:v>Conhecimento em espanhol</c:v>
                </c:pt>
                <c:pt idx="7">
                  <c:v>Experiências internacionais</c:v>
                </c:pt>
                <c:pt idx="8">
                  <c:v>Experiência profissional</c:v>
                </c:pt>
                <c:pt idx="9">
                  <c:v>Cursos de aperfeiçoamento</c:v>
                </c:pt>
                <c:pt idx="10">
                  <c:v>Discriminação (racial, cor, gênero, social, etc.)</c:v>
                </c:pt>
              </c:strCache>
            </c:strRef>
          </c:cat>
          <c:val>
            <c:numRef>
              <c:f>EmpAtual!$DN$32:$DN$42</c:f>
              <c:numCache>
                <c:formatCode>0.0%</c:formatCode>
                <c:ptCount val="11"/>
                <c:pt idx="0">
                  <c:v>0.31578947368421051</c:v>
                </c:pt>
                <c:pt idx="1">
                  <c:v>0.42105263157894735</c:v>
                </c:pt>
                <c:pt idx="2">
                  <c:v>0.21052631578947367</c:v>
                </c:pt>
                <c:pt idx="3">
                  <c:v>0</c:v>
                </c:pt>
                <c:pt idx="4">
                  <c:v>0.31578947368421051</c:v>
                </c:pt>
                <c:pt idx="5">
                  <c:v>0.15789473684210525</c:v>
                </c:pt>
                <c:pt idx="6">
                  <c:v>0</c:v>
                </c:pt>
                <c:pt idx="7">
                  <c:v>5.2631578947368418E-2</c:v>
                </c:pt>
                <c:pt idx="8">
                  <c:v>0.52631578947368418</c:v>
                </c:pt>
                <c:pt idx="9">
                  <c:v>0.21052631578947367</c:v>
                </c:pt>
                <c:pt idx="10">
                  <c:v>0</c:v>
                </c:pt>
              </c:numCache>
            </c:numRef>
          </c:val>
          <c:extLst>
            <c:ext xmlns:c16="http://schemas.microsoft.com/office/drawing/2014/chart" uri="{C3380CC4-5D6E-409C-BE32-E72D297353CC}">
              <c16:uniqueId val="{00000000-DCB5-4CA8-8C89-F8CB9B89043E}"/>
            </c:ext>
          </c:extLst>
        </c:ser>
        <c:dLbls>
          <c:showLegendKey val="0"/>
          <c:showVal val="0"/>
          <c:showCatName val="0"/>
          <c:showSerName val="0"/>
          <c:showPercent val="0"/>
          <c:showBubbleSize val="0"/>
        </c:dLbls>
        <c:gapWidth val="60"/>
        <c:axId val="410399704"/>
        <c:axId val="410401272"/>
      </c:barChart>
      <c:valAx>
        <c:axId val="410401272"/>
        <c:scaling>
          <c:orientation val="minMax"/>
        </c:scaling>
        <c:delete val="0"/>
        <c:axPos val="l"/>
        <c:numFmt formatCode="0.0%"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bg2">
                    <a:lumMod val="25000"/>
                  </a:schemeClr>
                </a:solidFill>
                <a:latin typeface="Arial Narrow" panose="020B0606020202030204" pitchFamily="34" charset="0"/>
                <a:ea typeface="+mn-ea"/>
                <a:cs typeface="+mn-cs"/>
              </a:defRPr>
            </a:pPr>
            <a:endParaRPr lang="pt-BR"/>
          </a:p>
        </c:txPr>
        <c:crossAx val="410399704"/>
        <c:crosses val="autoZero"/>
        <c:crossBetween val="between"/>
      </c:valAx>
      <c:catAx>
        <c:axId val="4103997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bg2">
                    <a:lumMod val="25000"/>
                  </a:schemeClr>
                </a:solidFill>
                <a:latin typeface="Arial Narrow" panose="020B0606020202030204" pitchFamily="34" charset="0"/>
                <a:ea typeface="+mn-ea"/>
                <a:cs typeface="+mn-cs"/>
              </a:defRPr>
            </a:pPr>
            <a:endParaRPr lang="pt-BR"/>
          </a:p>
        </c:txPr>
        <c:crossAx val="410401272"/>
        <c:crosses val="autoZero"/>
        <c:auto val="1"/>
        <c:lblAlgn val="ctr"/>
        <c:lblOffset val="100"/>
        <c:noMultiLvlLbl val="0"/>
      </c:cat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solidFill>
            <a:schemeClr val="bg2">
              <a:lumMod val="25000"/>
            </a:schemeClr>
          </a:solidFill>
          <a:latin typeface="Arial Narrow" panose="020B0606020202030204" pitchFamily="34" charset="0"/>
        </a:defRPr>
      </a:pPr>
      <a:endParaRPr lang="pt-BR"/>
    </a:p>
  </c:txPr>
  <c:printSettings>
    <c:headerFooter/>
    <c:pageMargins b="0.78740157499999996" l="0.511811024" r="0.511811024" t="0.78740157499999996" header="0.31496062000000002" footer="0.31496062000000002"/>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8"/>
    </mc:Choice>
    <mc:Fallback>
      <c:style val="8"/>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050" b="0" i="0" u="none" strike="noStrike" kern="1200" cap="none" spc="20" baseline="0">
                <a:solidFill>
                  <a:schemeClr val="bg2">
                    <a:lumMod val="25000"/>
                  </a:schemeClr>
                </a:solidFill>
                <a:latin typeface="Arial Narrow" panose="020B0606020202030204" pitchFamily="34" charset="0"/>
                <a:ea typeface="+mn-ea"/>
                <a:cs typeface="+mn-cs"/>
              </a:defRPr>
            </a:pPr>
            <a:r>
              <a:rPr lang="pt-BR"/>
              <a:t>Pontos</a:t>
            </a:r>
            <a:r>
              <a:rPr lang="pt-BR" baseline="0"/>
              <a:t> que mais dificultaram o acesso ao mercado de trabalho</a:t>
            </a:r>
            <a:endParaRPr lang="pt-BR"/>
          </a:p>
        </c:rich>
      </c:tx>
      <c:layout/>
      <c:overlay val="0"/>
      <c:spPr>
        <a:noFill/>
        <a:ln>
          <a:noFill/>
        </a:ln>
        <a:effectLst/>
      </c:spPr>
      <c:txPr>
        <a:bodyPr rot="0" spcFirstLastPara="1" vertOverflow="ellipsis" vert="horz" wrap="square" anchor="ctr" anchorCtr="1"/>
        <a:lstStyle/>
        <a:p>
          <a:pPr>
            <a:defRPr sz="1050" b="0" i="0" u="none" strike="noStrike" kern="1200" cap="none" spc="20" baseline="0">
              <a:solidFill>
                <a:schemeClr val="bg2">
                  <a:lumMod val="25000"/>
                </a:schemeClr>
              </a:solidFill>
              <a:latin typeface="Arial Narrow" panose="020B0606020202030204" pitchFamily="34" charset="0"/>
              <a:ea typeface="+mn-ea"/>
              <a:cs typeface="+mn-cs"/>
            </a:defRPr>
          </a:pPr>
          <a:endParaRPr lang="pt-BR"/>
        </a:p>
      </c:txPr>
    </c:title>
    <c:autoTitleDeleted val="0"/>
    <c:plotArea>
      <c:layout/>
      <c:barChart>
        <c:barDir val="col"/>
        <c:grouping val="clustered"/>
        <c:varyColors val="0"/>
        <c:ser>
          <c:idx val="2"/>
          <c:order val="0"/>
          <c:tx>
            <c:strRef>
              <c:f>EmpAtual!$DI$8</c:f>
              <c:strCache>
                <c:ptCount val="1"/>
                <c:pt idx="0">
                  <c:v>%</c:v>
                </c:pt>
              </c:strCache>
            </c:strRef>
          </c:tx>
          <c:spPr>
            <a:solidFill>
              <a:srgbClr val="4472C4">
                <a:lumMod val="40000"/>
                <a:lumOff val="60000"/>
              </a:srgbClr>
            </a:solidFill>
            <a:ln w="9525" cap="flat" cmpd="sng" algn="ctr">
              <a:solidFill>
                <a:srgbClr val="4472C4">
                  <a:lumMod val="75000"/>
                </a:srgb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2">
                        <a:lumMod val="25000"/>
                      </a:schemeClr>
                    </a:solidFill>
                    <a:latin typeface="Arial Narrow" panose="020B0606020202030204" pitchFamily="34" charset="0"/>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strRef>
              <c:f>EmpAtual!$DG$32:$DG$41</c:f>
              <c:strCache>
                <c:ptCount val="10"/>
                <c:pt idx="0">
                  <c:v>Baixa demanda do mercado para minha área de atuação</c:v>
                </c:pt>
                <c:pt idx="1">
                  <c:v>Má reputação do IFS</c:v>
                </c:pt>
                <c:pt idx="2">
                  <c:v>Concorrentes mais preparados</c:v>
                </c:pt>
                <c:pt idx="3">
                  <c:v>Situação econômica do país/estado</c:v>
                </c:pt>
                <c:pt idx="4">
                  <c:v>Falta de contatos que pudessem me indicar a vagas de emprego</c:v>
                </c:pt>
                <c:pt idx="5">
                  <c:v>Falta de conhecimento em inglês</c:v>
                </c:pt>
                <c:pt idx="6">
                  <c:v>Falta de conhecimento em espanhol</c:v>
                </c:pt>
                <c:pt idx="7">
                  <c:v>Pouca experiência profissional</c:v>
                </c:pt>
                <c:pt idx="8">
                  <c:v>Falta de cursos de aperfeiçoamento</c:v>
                </c:pt>
                <c:pt idx="9">
                  <c:v>Discriminação (racial, cor, gênero, social, etc.)</c:v>
                </c:pt>
              </c:strCache>
            </c:strRef>
          </c:cat>
          <c:val>
            <c:numRef>
              <c:f>EmpAtual!$DI$32:$DI$41</c:f>
              <c:numCache>
                <c:formatCode>0.0%</c:formatCode>
                <c:ptCount val="10"/>
                <c:pt idx="0">
                  <c:v>0.21052631578947367</c:v>
                </c:pt>
                <c:pt idx="1">
                  <c:v>0</c:v>
                </c:pt>
                <c:pt idx="2">
                  <c:v>0.21052631578947367</c:v>
                </c:pt>
                <c:pt idx="3">
                  <c:v>0.36842105263157893</c:v>
                </c:pt>
                <c:pt idx="4">
                  <c:v>0.21052631578947367</c:v>
                </c:pt>
                <c:pt idx="5">
                  <c:v>0.15789473684210525</c:v>
                </c:pt>
                <c:pt idx="6">
                  <c:v>0</c:v>
                </c:pt>
                <c:pt idx="7">
                  <c:v>0.42105263157894735</c:v>
                </c:pt>
                <c:pt idx="8">
                  <c:v>5.2631578947368418E-2</c:v>
                </c:pt>
                <c:pt idx="9">
                  <c:v>0</c:v>
                </c:pt>
              </c:numCache>
            </c:numRef>
          </c:val>
          <c:extLst>
            <c:ext xmlns:c16="http://schemas.microsoft.com/office/drawing/2014/chart" uri="{C3380CC4-5D6E-409C-BE32-E72D297353CC}">
              <c16:uniqueId val="{00000000-F3A4-46E9-A457-BE0700B83E53}"/>
            </c:ext>
          </c:extLst>
        </c:ser>
        <c:dLbls>
          <c:showLegendKey val="0"/>
          <c:showVal val="0"/>
          <c:showCatName val="0"/>
          <c:showSerName val="0"/>
          <c:showPercent val="0"/>
          <c:showBubbleSize val="0"/>
        </c:dLbls>
        <c:gapWidth val="60"/>
        <c:axId val="410401664"/>
        <c:axId val="410399312"/>
      </c:barChart>
      <c:valAx>
        <c:axId val="410399312"/>
        <c:scaling>
          <c:orientation val="minMax"/>
        </c:scaling>
        <c:delete val="0"/>
        <c:axPos val="l"/>
        <c:numFmt formatCode="0.0%"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bg2">
                    <a:lumMod val="25000"/>
                  </a:schemeClr>
                </a:solidFill>
                <a:latin typeface="Arial Narrow" panose="020B0606020202030204" pitchFamily="34" charset="0"/>
                <a:ea typeface="+mn-ea"/>
                <a:cs typeface="+mn-cs"/>
              </a:defRPr>
            </a:pPr>
            <a:endParaRPr lang="pt-BR"/>
          </a:p>
        </c:txPr>
        <c:crossAx val="410401664"/>
        <c:crosses val="autoZero"/>
        <c:crossBetween val="between"/>
      </c:valAx>
      <c:catAx>
        <c:axId val="4104016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bg2">
                    <a:lumMod val="25000"/>
                  </a:schemeClr>
                </a:solidFill>
                <a:latin typeface="Arial Narrow" panose="020B0606020202030204" pitchFamily="34" charset="0"/>
                <a:ea typeface="+mn-ea"/>
                <a:cs typeface="+mn-cs"/>
              </a:defRPr>
            </a:pPr>
            <a:endParaRPr lang="pt-BR"/>
          </a:p>
        </c:txPr>
        <c:crossAx val="410399312"/>
        <c:crosses val="autoZero"/>
        <c:auto val="1"/>
        <c:lblAlgn val="ctr"/>
        <c:lblOffset val="100"/>
        <c:noMultiLvlLbl val="0"/>
      </c:cat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solidFill>
            <a:schemeClr val="bg2">
              <a:lumMod val="25000"/>
            </a:schemeClr>
          </a:solidFill>
          <a:latin typeface="Arial Narrow" panose="020B0606020202030204" pitchFamily="34" charset="0"/>
        </a:defRPr>
      </a:pPr>
      <a:endParaRPr lang="pt-BR"/>
    </a:p>
  </c:txPr>
  <c:printSettings>
    <c:headerFooter/>
    <c:pageMargins b="0.78740157499999996" l="0.511811024" r="0.511811024" t="0.78740157499999996" header="0.31496062000000002" footer="0.31496062000000002"/>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8"/>
    </mc:Choice>
    <mc:Fallback>
      <c:style val="8"/>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050" b="0" i="0" u="none" strike="noStrike" kern="1200" cap="none" spc="20" baseline="0">
                <a:solidFill>
                  <a:schemeClr val="bg2">
                    <a:lumMod val="25000"/>
                  </a:schemeClr>
                </a:solidFill>
                <a:latin typeface="Arial Narrow" panose="020B0606020202030204" pitchFamily="34" charset="0"/>
                <a:ea typeface="+mn-ea"/>
                <a:cs typeface="+mn-cs"/>
              </a:defRPr>
            </a:pPr>
            <a:r>
              <a:rPr lang="pt-BR"/>
              <a:t>Tempo</a:t>
            </a:r>
            <a:r>
              <a:rPr lang="pt-BR" baseline="0"/>
              <a:t> no emprego atual</a:t>
            </a:r>
            <a:endParaRPr lang="pt-BR"/>
          </a:p>
        </c:rich>
      </c:tx>
      <c:layout/>
      <c:overlay val="0"/>
      <c:spPr>
        <a:noFill/>
        <a:ln>
          <a:noFill/>
        </a:ln>
        <a:effectLst/>
      </c:spPr>
      <c:txPr>
        <a:bodyPr rot="0" spcFirstLastPara="1" vertOverflow="ellipsis" vert="horz" wrap="square" anchor="ctr" anchorCtr="1"/>
        <a:lstStyle/>
        <a:p>
          <a:pPr>
            <a:defRPr sz="1050" b="0" i="0" u="none" strike="noStrike" kern="1200" cap="none" spc="20" baseline="0">
              <a:solidFill>
                <a:schemeClr val="bg2">
                  <a:lumMod val="25000"/>
                </a:schemeClr>
              </a:solidFill>
              <a:latin typeface="Arial Narrow" panose="020B0606020202030204" pitchFamily="34" charset="0"/>
              <a:ea typeface="+mn-ea"/>
              <a:cs typeface="+mn-cs"/>
            </a:defRPr>
          </a:pPr>
          <a:endParaRPr lang="pt-BR"/>
        </a:p>
      </c:txPr>
    </c:title>
    <c:autoTitleDeleted val="0"/>
    <c:plotArea>
      <c:layout/>
      <c:barChart>
        <c:barDir val="col"/>
        <c:grouping val="clustered"/>
        <c:varyColors val="0"/>
        <c:ser>
          <c:idx val="2"/>
          <c:order val="0"/>
          <c:tx>
            <c:strRef>
              <c:f>EmpAtual!$BN$25</c:f>
              <c:strCache>
                <c:ptCount val="1"/>
                <c:pt idx="0">
                  <c:v>%</c:v>
                </c:pt>
              </c:strCache>
            </c:strRef>
          </c:tx>
          <c:spPr>
            <a:solidFill>
              <a:srgbClr val="4472C4">
                <a:lumMod val="40000"/>
                <a:lumOff val="60000"/>
              </a:srgbClr>
            </a:solidFill>
            <a:ln w="9525" cap="flat" cmpd="sng" algn="ctr">
              <a:solidFill>
                <a:srgbClr val="4472C4">
                  <a:lumMod val="50000"/>
                </a:srgb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2">
                        <a:lumMod val="25000"/>
                      </a:schemeClr>
                    </a:solidFill>
                    <a:latin typeface="Arial Narrow" panose="020B0606020202030204" pitchFamily="34" charset="0"/>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strRef>
              <c:f>EmpAtual!$BL$26:$BL$29</c:f>
              <c:strCache>
                <c:ptCount val="4"/>
                <c:pt idx="0">
                  <c:v>Até 6 meses</c:v>
                </c:pt>
                <c:pt idx="1">
                  <c:v>Entre 6 meses e 1 ano</c:v>
                </c:pt>
                <c:pt idx="2">
                  <c:v>Entre 1 e 2 anos</c:v>
                </c:pt>
                <c:pt idx="3">
                  <c:v>Mais de 2 anos</c:v>
                </c:pt>
              </c:strCache>
            </c:strRef>
          </c:cat>
          <c:val>
            <c:numRef>
              <c:f>EmpAtual!$BN$26:$BN$29</c:f>
              <c:numCache>
                <c:formatCode>0.0%</c:formatCode>
                <c:ptCount val="4"/>
                <c:pt idx="0">
                  <c:v>3.4482758620689655E-2</c:v>
                </c:pt>
                <c:pt idx="1">
                  <c:v>0.10344827586206896</c:v>
                </c:pt>
                <c:pt idx="2">
                  <c:v>0.13793103448275862</c:v>
                </c:pt>
                <c:pt idx="3">
                  <c:v>0.72413793103448276</c:v>
                </c:pt>
              </c:numCache>
            </c:numRef>
          </c:val>
          <c:extLst>
            <c:ext xmlns:c16="http://schemas.microsoft.com/office/drawing/2014/chart" uri="{C3380CC4-5D6E-409C-BE32-E72D297353CC}">
              <c16:uniqueId val="{00000000-392A-4BEC-950A-DE7C85E74D3B}"/>
            </c:ext>
          </c:extLst>
        </c:ser>
        <c:dLbls>
          <c:showLegendKey val="0"/>
          <c:showVal val="0"/>
          <c:showCatName val="0"/>
          <c:showSerName val="0"/>
          <c:showPercent val="0"/>
          <c:showBubbleSize val="0"/>
        </c:dLbls>
        <c:gapWidth val="60"/>
        <c:axId val="409803936"/>
        <c:axId val="409802368"/>
      </c:barChart>
      <c:valAx>
        <c:axId val="409802368"/>
        <c:scaling>
          <c:orientation val="minMax"/>
        </c:scaling>
        <c:delete val="0"/>
        <c:axPos val="l"/>
        <c:numFmt formatCode="0.0%"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bg2">
                    <a:lumMod val="25000"/>
                  </a:schemeClr>
                </a:solidFill>
                <a:latin typeface="Arial Narrow" panose="020B0606020202030204" pitchFamily="34" charset="0"/>
                <a:ea typeface="+mn-ea"/>
                <a:cs typeface="+mn-cs"/>
              </a:defRPr>
            </a:pPr>
            <a:endParaRPr lang="pt-BR"/>
          </a:p>
        </c:txPr>
        <c:crossAx val="409803936"/>
        <c:crosses val="autoZero"/>
        <c:crossBetween val="between"/>
      </c:valAx>
      <c:catAx>
        <c:axId val="4098039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bg2">
                    <a:lumMod val="25000"/>
                  </a:schemeClr>
                </a:solidFill>
                <a:latin typeface="Arial Narrow" panose="020B0606020202030204" pitchFamily="34" charset="0"/>
                <a:ea typeface="+mn-ea"/>
                <a:cs typeface="+mn-cs"/>
              </a:defRPr>
            </a:pPr>
            <a:endParaRPr lang="pt-BR"/>
          </a:p>
        </c:txPr>
        <c:crossAx val="409802368"/>
        <c:crosses val="autoZero"/>
        <c:auto val="1"/>
        <c:lblAlgn val="ctr"/>
        <c:lblOffset val="100"/>
        <c:noMultiLvlLbl val="0"/>
      </c:cat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solidFill>
            <a:schemeClr val="bg2">
              <a:lumMod val="25000"/>
            </a:schemeClr>
          </a:solidFill>
          <a:latin typeface="Arial Narrow" panose="020B0606020202030204" pitchFamily="34" charset="0"/>
        </a:defRPr>
      </a:pPr>
      <a:endParaRPr lang="pt-BR"/>
    </a:p>
  </c:txPr>
  <c:printSettings>
    <c:headerFooter/>
    <c:pageMargins b="0.78740157499999996" l="0.511811024" r="0.511811024" t="0.78740157499999996" header="0.31496062000000002" footer="0.31496062000000002"/>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8"/>
    </mc:Choice>
    <mc:Fallback>
      <c:style val="8"/>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050" b="0" i="0" u="none" strike="noStrike" kern="1200" cap="none" spc="20" baseline="0">
                <a:solidFill>
                  <a:schemeClr val="bg2">
                    <a:lumMod val="25000"/>
                  </a:schemeClr>
                </a:solidFill>
                <a:latin typeface="Arial Narrow" panose="020B0606020202030204" pitchFamily="34" charset="0"/>
                <a:ea typeface="+mn-ea"/>
                <a:cs typeface="+mn-cs"/>
              </a:defRPr>
            </a:pPr>
            <a:r>
              <a:rPr lang="pt-BR"/>
              <a:t>Formas</a:t>
            </a:r>
            <a:r>
              <a:rPr lang="pt-BR" baseline="0"/>
              <a:t> de ingresso no IFS</a:t>
            </a:r>
            <a:endParaRPr lang="pt-BR"/>
          </a:p>
        </c:rich>
      </c:tx>
      <c:layout/>
      <c:overlay val="0"/>
      <c:spPr>
        <a:noFill/>
        <a:ln>
          <a:noFill/>
        </a:ln>
        <a:effectLst/>
      </c:spPr>
      <c:txPr>
        <a:bodyPr rot="0" spcFirstLastPara="1" vertOverflow="ellipsis" vert="horz" wrap="square" anchor="ctr" anchorCtr="1"/>
        <a:lstStyle/>
        <a:p>
          <a:pPr>
            <a:defRPr sz="1050" b="0" i="0" u="none" strike="noStrike" kern="1200" cap="none" spc="20" baseline="0">
              <a:solidFill>
                <a:schemeClr val="bg2">
                  <a:lumMod val="25000"/>
                </a:schemeClr>
              </a:solidFill>
              <a:latin typeface="Arial Narrow" panose="020B0606020202030204" pitchFamily="34" charset="0"/>
              <a:ea typeface="+mn-ea"/>
              <a:cs typeface="+mn-cs"/>
            </a:defRPr>
          </a:pPr>
          <a:endParaRPr lang="pt-BR"/>
        </a:p>
      </c:txPr>
    </c:title>
    <c:autoTitleDeleted val="0"/>
    <c:plotArea>
      <c:layout/>
      <c:barChart>
        <c:barDir val="col"/>
        <c:grouping val="clustered"/>
        <c:varyColors val="0"/>
        <c:ser>
          <c:idx val="2"/>
          <c:order val="0"/>
          <c:tx>
            <c:strRef>
              <c:f>AvalInst!$H$8</c:f>
              <c:strCache>
                <c:ptCount val="1"/>
                <c:pt idx="0">
                  <c:v>%</c:v>
                </c:pt>
              </c:strCache>
            </c:strRef>
          </c:tx>
          <c:spPr>
            <a:gradFill rotWithShape="1">
              <a:gsLst>
                <a:gs pos="0">
                  <a:schemeClr val="accent6">
                    <a:shade val="65000"/>
                    <a:lumMod val="110000"/>
                    <a:satMod val="105000"/>
                    <a:tint val="67000"/>
                  </a:schemeClr>
                </a:gs>
                <a:gs pos="50000">
                  <a:schemeClr val="accent6">
                    <a:shade val="65000"/>
                    <a:lumMod val="105000"/>
                    <a:satMod val="103000"/>
                    <a:tint val="73000"/>
                  </a:schemeClr>
                </a:gs>
                <a:gs pos="100000">
                  <a:schemeClr val="accent6">
                    <a:shade val="65000"/>
                    <a:lumMod val="105000"/>
                    <a:satMod val="109000"/>
                    <a:tint val="81000"/>
                  </a:schemeClr>
                </a:gs>
              </a:gsLst>
              <a:lin ang="5400000" scaled="0"/>
            </a:gradFill>
            <a:ln w="9525" cap="flat" cmpd="sng" algn="ctr">
              <a:solidFill>
                <a:schemeClr val="accent6">
                  <a:shade val="65000"/>
                  <a:shade val="95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2">
                        <a:lumMod val="25000"/>
                      </a:schemeClr>
                    </a:solidFill>
                    <a:latin typeface="Arial Narrow" panose="020B0606020202030204" pitchFamily="34" charset="0"/>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strRef>
              <c:f>AvalInst!$F$9:$F$15</c:f>
              <c:strCache>
                <c:ptCount val="7"/>
                <c:pt idx="0">
                  <c:v>SISU</c:v>
                </c:pt>
                <c:pt idx="1">
                  <c:v>Vestibular do próprio IFS</c:v>
                </c:pt>
                <c:pt idx="2">
                  <c:v>Processo seletivo via análise de currículo</c:v>
                </c:pt>
                <c:pt idx="3">
                  <c:v>Reintegração</c:v>
                </c:pt>
                <c:pt idx="4">
                  <c:v>Transferência interna</c:v>
                </c:pt>
                <c:pt idx="5">
                  <c:v>Transferência externa</c:v>
                </c:pt>
                <c:pt idx="6">
                  <c:v>Portador de Diploma</c:v>
                </c:pt>
              </c:strCache>
            </c:strRef>
          </c:cat>
          <c:val>
            <c:numRef>
              <c:f>AvalInst!$H$9:$H$15</c:f>
              <c:numCache>
                <c:formatCode>0.0%</c:formatCode>
                <c:ptCount val="7"/>
                <c:pt idx="0">
                  <c:v>0.28044280442804426</c:v>
                </c:pt>
                <c:pt idx="1">
                  <c:v>0.67527675276752763</c:v>
                </c:pt>
                <c:pt idx="2">
                  <c:v>7.3800738007380072E-3</c:v>
                </c:pt>
                <c:pt idx="3">
                  <c:v>0</c:v>
                </c:pt>
                <c:pt idx="4">
                  <c:v>0</c:v>
                </c:pt>
                <c:pt idx="5">
                  <c:v>2.9520295202952029E-2</c:v>
                </c:pt>
                <c:pt idx="6">
                  <c:v>7.3800738007380072E-3</c:v>
                </c:pt>
              </c:numCache>
            </c:numRef>
          </c:val>
          <c:extLst>
            <c:ext xmlns:c16="http://schemas.microsoft.com/office/drawing/2014/chart" uri="{C3380CC4-5D6E-409C-BE32-E72D297353CC}">
              <c16:uniqueId val="{00000000-C9EB-4153-A143-E08A09DC97AE}"/>
            </c:ext>
          </c:extLst>
        </c:ser>
        <c:dLbls>
          <c:showLegendKey val="0"/>
          <c:showVal val="0"/>
          <c:showCatName val="0"/>
          <c:showSerName val="0"/>
          <c:showPercent val="0"/>
          <c:showBubbleSize val="0"/>
        </c:dLbls>
        <c:gapWidth val="60"/>
        <c:axId val="410402056"/>
        <c:axId val="410400488"/>
      </c:barChart>
      <c:valAx>
        <c:axId val="410400488"/>
        <c:scaling>
          <c:orientation val="minMax"/>
        </c:scaling>
        <c:delete val="0"/>
        <c:axPos val="l"/>
        <c:numFmt formatCode="0.0%"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bg2">
                    <a:lumMod val="25000"/>
                  </a:schemeClr>
                </a:solidFill>
                <a:latin typeface="Arial Narrow" panose="020B0606020202030204" pitchFamily="34" charset="0"/>
                <a:ea typeface="+mn-ea"/>
                <a:cs typeface="+mn-cs"/>
              </a:defRPr>
            </a:pPr>
            <a:endParaRPr lang="pt-BR"/>
          </a:p>
        </c:txPr>
        <c:crossAx val="410402056"/>
        <c:crosses val="autoZero"/>
        <c:crossBetween val="between"/>
      </c:valAx>
      <c:catAx>
        <c:axId val="4104020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bg2">
                    <a:lumMod val="25000"/>
                  </a:schemeClr>
                </a:solidFill>
                <a:latin typeface="Arial Narrow" panose="020B0606020202030204" pitchFamily="34" charset="0"/>
                <a:ea typeface="+mn-ea"/>
                <a:cs typeface="+mn-cs"/>
              </a:defRPr>
            </a:pPr>
            <a:endParaRPr lang="pt-BR"/>
          </a:p>
        </c:txPr>
        <c:crossAx val="410400488"/>
        <c:crosses val="autoZero"/>
        <c:auto val="1"/>
        <c:lblAlgn val="ctr"/>
        <c:lblOffset val="100"/>
        <c:noMultiLvlLbl val="0"/>
      </c:cat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solidFill>
            <a:schemeClr val="bg2">
              <a:lumMod val="25000"/>
            </a:schemeClr>
          </a:solidFill>
          <a:latin typeface="Arial Narrow" panose="020B0606020202030204" pitchFamily="34" charset="0"/>
        </a:defRPr>
      </a:pPr>
      <a:endParaRPr lang="pt-BR"/>
    </a:p>
  </c:txPr>
  <c:printSettings>
    <c:headerFooter/>
    <c:pageMargins b="0.78740157499999996" l="0.511811024" r="0.511811024" t="0.78740157499999996" header="0.31496062000000002" footer="0.31496062000000002"/>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8"/>
    </mc:Choice>
    <mc:Fallback>
      <c:style val="8"/>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050" b="0" i="0" u="none" strike="noStrike" kern="1200" cap="none" spc="20" baseline="0">
                <a:solidFill>
                  <a:schemeClr val="bg2">
                    <a:lumMod val="25000"/>
                  </a:schemeClr>
                </a:solidFill>
                <a:latin typeface="Arial Narrow" panose="020B0606020202030204" pitchFamily="34" charset="0"/>
                <a:ea typeface="+mn-ea"/>
                <a:cs typeface="+mn-cs"/>
              </a:defRPr>
            </a:pPr>
            <a:r>
              <a:rPr lang="pt-BR"/>
              <a:t>Se pudesse escolher novamente, você escolheria o mesmo curso na mesma</a:t>
            </a:r>
            <a:r>
              <a:rPr lang="pt-BR" baseline="0"/>
              <a:t> instituição?</a:t>
            </a:r>
            <a:endParaRPr lang="pt-BR"/>
          </a:p>
        </c:rich>
      </c:tx>
      <c:layout/>
      <c:overlay val="0"/>
      <c:spPr>
        <a:noFill/>
        <a:ln>
          <a:noFill/>
        </a:ln>
        <a:effectLst/>
      </c:spPr>
      <c:txPr>
        <a:bodyPr rot="0" spcFirstLastPara="1" vertOverflow="ellipsis" vert="horz" wrap="square" anchor="ctr" anchorCtr="1"/>
        <a:lstStyle/>
        <a:p>
          <a:pPr>
            <a:defRPr sz="1050" b="0" i="0" u="none" strike="noStrike" kern="1200" cap="none" spc="20" baseline="0">
              <a:solidFill>
                <a:schemeClr val="bg2">
                  <a:lumMod val="25000"/>
                </a:schemeClr>
              </a:solidFill>
              <a:latin typeface="Arial Narrow" panose="020B0606020202030204" pitchFamily="34" charset="0"/>
              <a:ea typeface="+mn-ea"/>
              <a:cs typeface="+mn-cs"/>
            </a:defRPr>
          </a:pPr>
          <a:endParaRPr lang="pt-BR"/>
        </a:p>
      </c:txPr>
    </c:title>
    <c:autoTitleDeleted val="0"/>
    <c:plotArea>
      <c:layout/>
      <c:barChart>
        <c:barDir val="col"/>
        <c:grouping val="clustered"/>
        <c:varyColors val="0"/>
        <c:ser>
          <c:idx val="2"/>
          <c:order val="0"/>
          <c:tx>
            <c:strRef>
              <c:f>AvalInst!$BH$8</c:f>
              <c:strCache>
                <c:ptCount val="1"/>
                <c:pt idx="0">
                  <c:v>%</c:v>
                </c:pt>
              </c:strCache>
            </c:strRef>
          </c:tx>
          <c:spPr>
            <a:gradFill rotWithShape="1">
              <a:gsLst>
                <a:gs pos="0">
                  <a:schemeClr val="accent6">
                    <a:shade val="65000"/>
                    <a:lumMod val="110000"/>
                    <a:satMod val="105000"/>
                    <a:tint val="67000"/>
                  </a:schemeClr>
                </a:gs>
                <a:gs pos="50000">
                  <a:schemeClr val="accent6">
                    <a:shade val="65000"/>
                    <a:lumMod val="105000"/>
                    <a:satMod val="103000"/>
                    <a:tint val="73000"/>
                  </a:schemeClr>
                </a:gs>
                <a:gs pos="100000">
                  <a:schemeClr val="accent6">
                    <a:shade val="65000"/>
                    <a:lumMod val="105000"/>
                    <a:satMod val="109000"/>
                    <a:tint val="81000"/>
                  </a:schemeClr>
                </a:gs>
              </a:gsLst>
              <a:lin ang="5400000" scaled="0"/>
            </a:gradFill>
            <a:ln w="9525" cap="flat" cmpd="sng" algn="ctr">
              <a:solidFill>
                <a:schemeClr val="accent6">
                  <a:shade val="65000"/>
                  <a:shade val="95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2">
                        <a:lumMod val="25000"/>
                      </a:schemeClr>
                    </a:solidFill>
                    <a:latin typeface="Arial Narrow" panose="020B0606020202030204" pitchFamily="34" charset="0"/>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strRef>
              <c:f>AvalInst!$BF$9:$BF$13</c:f>
              <c:strCache>
                <c:ptCount val="5"/>
                <c:pt idx="0">
                  <c:v>Sim</c:v>
                </c:pt>
                <c:pt idx="1">
                  <c:v>Não, eu faria um CURSO DIFERENTE na MESMA INSTITUIÇÃO</c:v>
                </c:pt>
                <c:pt idx="2">
                  <c:v>Não, eu faria o MESMO CURSO mas em OUTRA INSTITUIÇÃO</c:v>
                </c:pt>
                <c:pt idx="3">
                  <c:v>Não, eu faria um CURSO DIFERENTE em OUTRA INSTITUIÇÃO</c:v>
                </c:pt>
                <c:pt idx="4">
                  <c:v>Eu decidiria não cursar uma graduação</c:v>
                </c:pt>
              </c:strCache>
            </c:strRef>
          </c:cat>
          <c:val>
            <c:numRef>
              <c:f>AvalInst!$BH$9:$BH$13</c:f>
              <c:numCache>
                <c:formatCode>0.0%</c:formatCode>
                <c:ptCount val="5"/>
                <c:pt idx="0">
                  <c:v>0.60885608856088558</c:v>
                </c:pt>
                <c:pt idx="1">
                  <c:v>0.23616236162361623</c:v>
                </c:pt>
                <c:pt idx="2">
                  <c:v>2.9520295202952029E-2</c:v>
                </c:pt>
                <c:pt idx="3">
                  <c:v>0.11070110701107011</c:v>
                </c:pt>
                <c:pt idx="4">
                  <c:v>1.4760147601476014E-2</c:v>
                </c:pt>
              </c:numCache>
            </c:numRef>
          </c:val>
          <c:extLst>
            <c:ext xmlns:c16="http://schemas.microsoft.com/office/drawing/2014/chart" uri="{C3380CC4-5D6E-409C-BE32-E72D297353CC}">
              <c16:uniqueId val="{00000000-FBDF-4379-B886-E430D4EC0FA3}"/>
            </c:ext>
          </c:extLst>
        </c:ser>
        <c:dLbls>
          <c:showLegendKey val="0"/>
          <c:showVal val="0"/>
          <c:showCatName val="0"/>
          <c:showSerName val="0"/>
          <c:showPercent val="0"/>
          <c:showBubbleSize val="0"/>
        </c:dLbls>
        <c:gapWidth val="60"/>
        <c:axId val="410396568"/>
        <c:axId val="410395784"/>
      </c:barChart>
      <c:valAx>
        <c:axId val="410395784"/>
        <c:scaling>
          <c:orientation val="minMax"/>
        </c:scaling>
        <c:delete val="0"/>
        <c:axPos val="l"/>
        <c:numFmt formatCode="0.0%"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bg2">
                    <a:lumMod val="25000"/>
                  </a:schemeClr>
                </a:solidFill>
                <a:latin typeface="Arial Narrow" panose="020B0606020202030204" pitchFamily="34" charset="0"/>
                <a:ea typeface="+mn-ea"/>
                <a:cs typeface="+mn-cs"/>
              </a:defRPr>
            </a:pPr>
            <a:endParaRPr lang="pt-BR"/>
          </a:p>
        </c:txPr>
        <c:crossAx val="410396568"/>
        <c:crosses val="autoZero"/>
        <c:crossBetween val="between"/>
      </c:valAx>
      <c:catAx>
        <c:axId val="4103965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bg2">
                    <a:lumMod val="25000"/>
                  </a:schemeClr>
                </a:solidFill>
                <a:latin typeface="Arial Narrow" panose="020B0606020202030204" pitchFamily="34" charset="0"/>
                <a:ea typeface="+mn-ea"/>
                <a:cs typeface="+mn-cs"/>
              </a:defRPr>
            </a:pPr>
            <a:endParaRPr lang="pt-BR"/>
          </a:p>
        </c:txPr>
        <c:crossAx val="410395784"/>
        <c:crosses val="autoZero"/>
        <c:auto val="1"/>
        <c:lblAlgn val="ctr"/>
        <c:lblOffset val="100"/>
        <c:noMultiLvlLbl val="0"/>
      </c:cat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solidFill>
            <a:schemeClr val="bg2">
              <a:lumMod val="25000"/>
            </a:schemeClr>
          </a:solidFill>
          <a:latin typeface="Arial Narrow" panose="020B0606020202030204" pitchFamily="34" charset="0"/>
        </a:defRPr>
      </a:pPr>
      <a:endParaRPr lang="pt-BR"/>
    </a:p>
  </c:txPr>
  <c:printSettings>
    <c:headerFooter/>
    <c:pageMargins b="0.78740157499999996" l="0.511811024" r="0.511811024" t="0.78740157499999996" header="0.31496062000000002" footer="0.31496062000000002"/>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Arial Narrow" panose="020B0606020202030204" pitchFamily="34" charset="0"/>
                <a:ea typeface="+mn-ea"/>
                <a:cs typeface="+mn-cs"/>
              </a:defRPr>
            </a:pPr>
            <a:r>
              <a:rPr lang="pt-BR" sz="1200"/>
              <a:t>Participação</a:t>
            </a:r>
            <a:r>
              <a:rPr lang="pt-BR" sz="1200" baseline="0"/>
              <a:t> em atividades de Pesquisa</a:t>
            </a:r>
            <a:endParaRPr lang="pt-BR" sz="1200"/>
          </a:p>
        </c:rich>
      </c:tx>
      <c:layout/>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Arial Narrow" panose="020B0606020202030204" pitchFamily="34" charset="0"/>
              <a:ea typeface="+mn-ea"/>
              <a:cs typeface="+mn-cs"/>
            </a:defRPr>
          </a:pPr>
          <a:endParaRPr lang="pt-BR"/>
        </a:p>
      </c:txPr>
    </c:title>
    <c:autoTitleDeleted val="0"/>
    <c:plotArea>
      <c:layout/>
      <c:doughnutChart>
        <c:varyColors val="1"/>
        <c:ser>
          <c:idx val="1"/>
          <c:order val="0"/>
          <c:tx>
            <c:strRef>
              <c:f>AvalInst!$BL$8</c:f>
              <c:strCache>
                <c:ptCount val="1"/>
                <c:pt idx="0">
                  <c:v>f</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20EA-4AB2-92E2-B8A876F47771}"/>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20EA-4AB2-92E2-B8A876F47771}"/>
              </c:ext>
            </c:extLst>
          </c:dPt>
          <c:dLbls>
            <c:dLbl>
              <c:idx val="0"/>
              <c:layout>
                <c:manualLayout>
                  <c:x val="0.10555555555555546"/>
                  <c:y val="3.7037037037036952E-2"/>
                </c:manualLayout>
              </c:layout>
              <c:showLegendKey val="1"/>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1-20EA-4AB2-92E2-B8A876F47771}"/>
                </c:ext>
              </c:extLst>
            </c:dLbl>
            <c:dLbl>
              <c:idx val="1"/>
              <c:layout>
                <c:manualLayout>
                  <c:x val="-8.3333333333333329E-2"/>
                  <c:y val="-7.8703703703703748E-2"/>
                </c:manualLayout>
              </c:layout>
              <c:showLegendKey val="1"/>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3-20EA-4AB2-92E2-B8A876F47771}"/>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Arial Narrow" panose="020B0606020202030204" pitchFamily="34" charset="0"/>
                    <a:ea typeface="+mn-ea"/>
                    <a:cs typeface="+mn-cs"/>
                  </a:defRPr>
                </a:pPr>
                <a:endParaRPr lang="pt-BR"/>
              </a:p>
            </c:txPr>
            <c:showLegendKey val="1"/>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AvalInst!$BK$9:$BK$10</c:f>
              <c:strCache>
                <c:ptCount val="2"/>
                <c:pt idx="0">
                  <c:v>Sim</c:v>
                </c:pt>
                <c:pt idx="1">
                  <c:v>Não</c:v>
                </c:pt>
              </c:strCache>
            </c:strRef>
          </c:cat>
          <c:val>
            <c:numRef>
              <c:f>AvalInst!$BL$9:$BL$10</c:f>
              <c:numCache>
                <c:formatCode>#,##0</c:formatCode>
                <c:ptCount val="2"/>
                <c:pt idx="0">
                  <c:v>186</c:v>
                </c:pt>
                <c:pt idx="1">
                  <c:v>85</c:v>
                </c:pt>
              </c:numCache>
            </c:numRef>
          </c:val>
          <c:extLst>
            <c:ext xmlns:c16="http://schemas.microsoft.com/office/drawing/2014/chart" uri="{C3380CC4-5D6E-409C-BE32-E72D297353CC}">
              <c16:uniqueId val="{00000004-20EA-4AB2-92E2-B8A876F47771}"/>
            </c:ext>
          </c:extLst>
        </c:ser>
        <c:dLbls>
          <c:showLegendKey val="0"/>
          <c:showVal val="0"/>
          <c:showCatName val="0"/>
          <c:showSerName val="0"/>
          <c:showPercent val="1"/>
          <c:showBubbleSize val="0"/>
          <c:showLeaderLines val="1"/>
        </c:dLbls>
        <c:firstSliceAng val="0"/>
        <c:holeSize val="60"/>
      </c:doughnutChart>
      <c:spPr>
        <a:noFill/>
        <a:ln>
          <a:noFill/>
        </a:ln>
        <a:effectLst/>
      </c:spPr>
    </c:plotArea>
    <c:legend>
      <c:legendPos val="b"/>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Arial Narrow" panose="020B0606020202030204" pitchFamily="34" charset="0"/>
              <a:ea typeface="+mn-ea"/>
              <a:cs typeface="+mn-cs"/>
            </a:defRPr>
          </a:pPr>
          <a:endParaRPr lang="pt-BR"/>
        </a:p>
      </c:txPr>
    </c:legend>
    <c:plotVisOnly val="1"/>
    <c:dispBlanksAs val="gap"/>
    <c:showDLblsOverMax val="0"/>
  </c:chart>
  <c:spPr>
    <a:solidFill>
      <a:schemeClr val="bg1"/>
    </a:solidFill>
    <a:ln w="9525" cap="flat" cmpd="sng" algn="ctr">
      <a:noFill/>
      <a:round/>
    </a:ln>
    <a:effectLst/>
  </c:spPr>
  <c:txPr>
    <a:bodyPr/>
    <a:lstStyle/>
    <a:p>
      <a:pPr>
        <a:defRPr>
          <a:latin typeface="Arial Narrow" panose="020B0606020202030204" pitchFamily="34" charset="0"/>
        </a:defRPr>
      </a:pPr>
      <a:endParaRPr lang="pt-BR"/>
    </a:p>
  </c:txPr>
  <c:printSettings>
    <c:headerFooter/>
    <c:pageMargins b="0.78740157499999996" l="0.511811024" r="0.511811024" t="0.78740157499999996" header="0.31496062000000002" footer="0.31496062000000002"/>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8"/>
    </mc:Choice>
    <mc:Fallback>
      <c:style val="8"/>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050" b="0" i="0" u="none" strike="noStrike" kern="1200" cap="none" spc="20" baseline="0">
                <a:solidFill>
                  <a:schemeClr val="bg2">
                    <a:lumMod val="25000"/>
                  </a:schemeClr>
                </a:solidFill>
                <a:latin typeface="Arial Narrow" panose="020B0606020202030204" pitchFamily="34" charset="0"/>
                <a:ea typeface="+mn-ea"/>
                <a:cs typeface="+mn-cs"/>
              </a:defRPr>
            </a:pPr>
            <a:r>
              <a:rPr lang="pt-BR"/>
              <a:t>Participação</a:t>
            </a:r>
            <a:r>
              <a:rPr lang="pt-BR" baseline="0"/>
              <a:t> em atividades de Pesquisa</a:t>
            </a:r>
            <a:endParaRPr lang="pt-BR"/>
          </a:p>
        </c:rich>
      </c:tx>
      <c:layout/>
      <c:overlay val="0"/>
      <c:spPr>
        <a:noFill/>
        <a:ln>
          <a:noFill/>
        </a:ln>
        <a:effectLst/>
      </c:spPr>
      <c:txPr>
        <a:bodyPr rot="0" spcFirstLastPara="1" vertOverflow="ellipsis" vert="horz" wrap="square" anchor="ctr" anchorCtr="1"/>
        <a:lstStyle/>
        <a:p>
          <a:pPr>
            <a:defRPr sz="1050" b="0" i="0" u="none" strike="noStrike" kern="1200" cap="none" spc="20" baseline="0">
              <a:solidFill>
                <a:schemeClr val="bg2">
                  <a:lumMod val="25000"/>
                </a:schemeClr>
              </a:solidFill>
              <a:latin typeface="Arial Narrow" panose="020B0606020202030204" pitchFamily="34" charset="0"/>
              <a:ea typeface="+mn-ea"/>
              <a:cs typeface="+mn-cs"/>
            </a:defRPr>
          </a:pPr>
          <a:endParaRPr lang="pt-BR"/>
        </a:p>
      </c:txPr>
    </c:title>
    <c:autoTitleDeleted val="0"/>
    <c:plotArea>
      <c:layout/>
      <c:barChart>
        <c:barDir val="col"/>
        <c:grouping val="clustered"/>
        <c:varyColors val="0"/>
        <c:ser>
          <c:idx val="2"/>
          <c:order val="0"/>
          <c:tx>
            <c:strRef>
              <c:f>AvalInst!$BR$17</c:f>
              <c:strCache>
                <c:ptCount val="1"/>
                <c:pt idx="0">
                  <c:v>%</c:v>
                </c:pt>
              </c:strCache>
            </c:strRef>
          </c:tx>
          <c:spPr>
            <a:gradFill rotWithShape="1">
              <a:gsLst>
                <a:gs pos="0">
                  <a:schemeClr val="accent6">
                    <a:shade val="65000"/>
                    <a:lumMod val="110000"/>
                    <a:satMod val="105000"/>
                    <a:tint val="67000"/>
                  </a:schemeClr>
                </a:gs>
                <a:gs pos="50000">
                  <a:schemeClr val="accent6">
                    <a:shade val="65000"/>
                    <a:lumMod val="105000"/>
                    <a:satMod val="103000"/>
                    <a:tint val="73000"/>
                  </a:schemeClr>
                </a:gs>
                <a:gs pos="100000">
                  <a:schemeClr val="accent6">
                    <a:shade val="65000"/>
                    <a:lumMod val="105000"/>
                    <a:satMod val="109000"/>
                    <a:tint val="81000"/>
                  </a:schemeClr>
                </a:gs>
              </a:gsLst>
              <a:lin ang="5400000" scaled="0"/>
            </a:gradFill>
            <a:ln w="9525" cap="flat" cmpd="sng" algn="ctr">
              <a:solidFill>
                <a:schemeClr val="accent6">
                  <a:shade val="65000"/>
                  <a:shade val="95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2">
                        <a:lumMod val="25000"/>
                      </a:schemeClr>
                    </a:solidFill>
                    <a:latin typeface="Arial Narrow" panose="020B0606020202030204" pitchFamily="34" charset="0"/>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strRef>
              <c:f>AvalInst!$BP$18:$BP$22</c:f>
              <c:strCache>
                <c:ptCount val="5"/>
                <c:pt idx="0">
                  <c:v>Grupos de pesquisa</c:v>
                </c:pt>
                <c:pt idx="1">
                  <c:v>Projetos de pesquisa</c:v>
                </c:pt>
                <c:pt idx="2">
                  <c:v>Publicações científicas</c:v>
                </c:pt>
                <c:pt idx="3">
                  <c:v>Eventos científicos</c:v>
                </c:pt>
                <c:pt idx="4">
                  <c:v>Outros</c:v>
                </c:pt>
              </c:strCache>
            </c:strRef>
          </c:cat>
          <c:val>
            <c:numRef>
              <c:f>AvalInst!$BR$18:$BR$22</c:f>
              <c:numCache>
                <c:formatCode>0.0%</c:formatCode>
                <c:ptCount val="5"/>
                <c:pt idx="0">
                  <c:v>0.42473118279569894</c:v>
                </c:pt>
                <c:pt idx="1">
                  <c:v>0.74193548387096775</c:v>
                </c:pt>
                <c:pt idx="2">
                  <c:v>0.35483870967741937</c:v>
                </c:pt>
                <c:pt idx="3">
                  <c:v>0.41935483870967744</c:v>
                </c:pt>
                <c:pt idx="4">
                  <c:v>4.8387096774193547E-2</c:v>
                </c:pt>
              </c:numCache>
            </c:numRef>
          </c:val>
          <c:extLst>
            <c:ext xmlns:c16="http://schemas.microsoft.com/office/drawing/2014/chart" uri="{C3380CC4-5D6E-409C-BE32-E72D297353CC}">
              <c16:uniqueId val="{00000000-B81D-4669-A657-5F007D40933B}"/>
            </c:ext>
          </c:extLst>
        </c:ser>
        <c:dLbls>
          <c:showLegendKey val="0"/>
          <c:showVal val="0"/>
          <c:showCatName val="0"/>
          <c:showSerName val="0"/>
          <c:showPercent val="0"/>
          <c:showBubbleSize val="0"/>
        </c:dLbls>
        <c:gapWidth val="60"/>
        <c:axId val="411135528"/>
        <c:axId val="410397744"/>
      </c:barChart>
      <c:valAx>
        <c:axId val="410397744"/>
        <c:scaling>
          <c:orientation val="minMax"/>
        </c:scaling>
        <c:delete val="0"/>
        <c:axPos val="l"/>
        <c:numFmt formatCode="0.0%"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bg2">
                    <a:lumMod val="25000"/>
                  </a:schemeClr>
                </a:solidFill>
                <a:latin typeface="Arial Narrow" panose="020B0606020202030204" pitchFamily="34" charset="0"/>
                <a:ea typeface="+mn-ea"/>
                <a:cs typeface="+mn-cs"/>
              </a:defRPr>
            </a:pPr>
            <a:endParaRPr lang="pt-BR"/>
          </a:p>
        </c:txPr>
        <c:crossAx val="411135528"/>
        <c:crosses val="autoZero"/>
        <c:crossBetween val="between"/>
      </c:valAx>
      <c:catAx>
        <c:axId val="4111355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bg2">
                    <a:lumMod val="25000"/>
                  </a:schemeClr>
                </a:solidFill>
                <a:latin typeface="Arial Narrow" panose="020B0606020202030204" pitchFamily="34" charset="0"/>
                <a:ea typeface="+mn-ea"/>
                <a:cs typeface="+mn-cs"/>
              </a:defRPr>
            </a:pPr>
            <a:endParaRPr lang="pt-BR"/>
          </a:p>
        </c:txPr>
        <c:crossAx val="410397744"/>
        <c:crosses val="autoZero"/>
        <c:auto val="1"/>
        <c:lblAlgn val="ctr"/>
        <c:lblOffset val="100"/>
        <c:noMultiLvlLbl val="0"/>
      </c:cat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solidFill>
            <a:schemeClr val="bg2">
              <a:lumMod val="25000"/>
            </a:schemeClr>
          </a:solidFill>
          <a:latin typeface="Arial Narrow" panose="020B0606020202030204" pitchFamily="34" charset="0"/>
        </a:defRPr>
      </a:pPr>
      <a:endParaRPr lang="pt-BR"/>
    </a:p>
  </c:txPr>
  <c:printSettings>
    <c:headerFooter/>
    <c:pageMargins b="0.78740157499999996" l="0.511811024" r="0.511811024" t="0.78740157499999996" header="0.31496062000000002" footer="0.31496062000000002"/>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Arial Narrow" panose="020B0606020202030204" pitchFamily="34" charset="0"/>
                <a:ea typeface="+mn-ea"/>
                <a:cs typeface="+mn-cs"/>
              </a:defRPr>
            </a:pPr>
            <a:r>
              <a:rPr lang="pt-BR" sz="1200"/>
              <a:t>Participação</a:t>
            </a:r>
            <a:r>
              <a:rPr lang="pt-BR" sz="1200" baseline="0"/>
              <a:t> em atividades de Extensão</a:t>
            </a:r>
            <a:endParaRPr lang="pt-BR" sz="1200"/>
          </a:p>
        </c:rich>
      </c:tx>
      <c:layout/>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Arial Narrow" panose="020B0606020202030204" pitchFamily="34" charset="0"/>
              <a:ea typeface="+mn-ea"/>
              <a:cs typeface="+mn-cs"/>
            </a:defRPr>
          </a:pPr>
          <a:endParaRPr lang="pt-BR"/>
        </a:p>
      </c:txPr>
    </c:title>
    <c:autoTitleDeleted val="0"/>
    <c:plotArea>
      <c:layout/>
      <c:doughnutChart>
        <c:varyColors val="1"/>
        <c:ser>
          <c:idx val="0"/>
          <c:order val="0"/>
          <c:tx>
            <c:strRef>
              <c:f>AvalInst!$CD$8</c:f>
              <c:strCache>
                <c:ptCount val="1"/>
                <c:pt idx="0">
                  <c:v>f</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6BFD-463F-8E00-0EF6352B5047}"/>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6BFD-463F-8E00-0EF6352B5047}"/>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6BFD-463F-8E00-0EF6352B5047}"/>
              </c:ext>
            </c:extLst>
          </c:dPt>
          <c:dLbls>
            <c:dLbl>
              <c:idx val="0"/>
              <c:layout>
                <c:manualLayout>
                  <c:x val="0.11666666666666657"/>
                  <c:y val="-0.10648148148148148"/>
                </c:manualLayout>
              </c:layout>
              <c:showLegendKey val="1"/>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1-6BFD-463F-8E00-0EF6352B5047}"/>
                </c:ext>
              </c:extLst>
            </c:dLbl>
            <c:dLbl>
              <c:idx val="1"/>
              <c:layout>
                <c:manualLayout>
                  <c:x val="-8.8888888888888934E-2"/>
                  <c:y val="6.9444444444444448E-2"/>
                </c:manualLayout>
              </c:layout>
              <c:showLegendKey val="1"/>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3-6BFD-463F-8E00-0EF6352B5047}"/>
                </c:ext>
              </c:extLst>
            </c:dLbl>
            <c:dLbl>
              <c:idx val="2"/>
              <c:layout>
                <c:manualLayout>
                  <c:x val="-9.999999999999995E-2"/>
                  <c:y val="-6.0185185185185182E-2"/>
                </c:manualLayout>
              </c:layout>
              <c:showLegendKey val="1"/>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5-6BFD-463F-8E00-0EF6352B5047}"/>
                </c:ext>
              </c:extLst>
            </c:dLbl>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Arial Narrow" panose="020B0606020202030204" pitchFamily="34" charset="0"/>
                    <a:ea typeface="+mn-ea"/>
                    <a:cs typeface="+mn-cs"/>
                  </a:defRPr>
                </a:pPr>
                <a:endParaRPr lang="pt-BR"/>
              </a:p>
            </c:txPr>
            <c:showLegendKey val="1"/>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AvalInst!$CC$9:$CC$10</c:f>
              <c:strCache>
                <c:ptCount val="2"/>
                <c:pt idx="0">
                  <c:v>Sim</c:v>
                </c:pt>
                <c:pt idx="1">
                  <c:v>Não</c:v>
                </c:pt>
              </c:strCache>
            </c:strRef>
          </c:cat>
          <c:val>
            <c:numRef>
              <c:f>AvalInst!$CD$9:$CD$10</c:f>
              <c:numCache>
                <c:formatCode>#,##0</c:formatCode>
                <c:ptCount val="2"/>
                <c:pt idx="0">
                  <c:v>141</c:v>
                </c:pt>
                <c:pt idx="1">
                  <c:v>130</c:v>
                </c:pt>
              </c:numCache>
            </c:numRef>
          </c:val>
          <c:extLst>
            <c:ext xmlns:c16="http://schemas.microsoft.com/office/drawing/2014/chart" uri="{C3380CC4-5D6E-409C-BE32-E72D297353CC}">
              <c16:uniqueId val="{00000006-6BFD-463F-8E00-0EF6352B5047}"/>
            </c:ext>
          </c:extLst>
        </c:ser>
        <c:dLbls>
          <c:showLegendKey val="0"/>
          <c:showVal val="0"/>
          <c:showCatName val="0"/>
          <c:showSerName val="0"/>
          <c:showPercent val="1"/>
          <c:showBubbleSize val="0"/>
          <c:showLeaderLines val="1"/>
        </c:dLbls>
        <c:firstSliceAng val="0"/>
        <c:holeSize val="60"/>
      </c:doughnutChart>
      <c:spPr>
        <a:noFill/>
        <a:ln>
          <a:noFill/>
        </a:ln>
        <a:effectLst/>
      </c:spPr>
    </c:plotArea>
    <c:legend>
      <c:legendPos val="b"/>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Arial Narrow" panose="020B0606020202030204" pitchFamily="34" charset="0"/>
              <a:ea typeface="+mn-ea"/>
              <a:cs typeface="+mn-cs"/>
            </a:defRPr>
          </a:pPr>
          <a:endParaRPr lang="pt-BR"/>
        </a:p>
      </c:txPr>
    </c:legend>
    <c:plotVisOnly val="1"/>
    <c:dispBlanksAs val="gap"/>
    <c:showDLblsOverMax val="0"/>
  </c:chart>
  <c:spPr>
    <a:solidFill>
      <a:schemeClr val="bg1"/>
    </a:solidFill>
    <a:ln w="9525" cap="flat" cmpd="sng" algn="ctr">
      <a:noFill/>
      <a:round/>
    </a:ln>
    <a:effectLst/>
  </c:spPr>
  <c:txPr>
    <a:bodyPr/>
    <a:lstStyle/>
    <a:p>
      <a:pPr>
        <a:defRPr>
          <a:latin typeface="Arial Narrow" panose="020B0606020202030204" pitchFamily="34" charset="0"/>
        </a:defRPr>
      </a:pPr>
      <a:endParaRPr lang="pt-BR"/>
    </a:p>
  </c:txPr>
  <c:printSettings>
    <c:headerFooter/>
    <c:pageMargins b="0.78740157499999996" l="0.511811024" r="0.511811024" t="0.78740157499999996" header="0.31496062000000002" footer="0.3149606200000000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1050" b="0" i="0" u="none" strike="noStrike" kern="1200" cap="none" spc="20" baseline="0">
                <a:solidFill>
                  <a:schemeClr val="bg2">
                    <a:lumMod val="25000"/>
                  </a:schemeClr>
                </a:solidFill>
                <a:latin typeface="Arial Narrow" panose="020B0606020202030204" pitchFamily="34" charset="0"/>
                <a:ea typeface="+mn-ea"/>
                <a:cs typeface="+mn-cs"/>
              </a:defRPr>
            </a:pPr>
            <a:r>
              <a:rPr lang="pt-BR"/>
              <a:t>Ano</a:t>
            </a:r>
            <a:r>
              <a:rPr lang="pt-BR" baseline="0"/>
              <a:t> de conclusão dos estudos</a:t>
            </a:r>
            <a:endParaRPr lang="pt-BR"/>
          </a:p>
        </c:rich>
      </c:tx>
      <c:overlay val="0"/>
      <c:spPr>
        <a:noFill/>
        <a:ln>
          <a:noFill/>
        </a:ln>
        <a:effectLst/>
      </c:spPr>
      <c:txPr>
        <a:bodyPr rot="0" spcFirstLastPara="1" vertOverflow="ellipsis" vert="horz" wrap="square" anchor="ctr" anchorCtr="1"/>
        <a:lstStyle/>
        <a:p>
          <a:pPr>
            <a:defRPr sz="1050" b="0" i="0" u="none" strike="noStrike" kern="1200" cap="none" spc="20" baseline="0">
              <a:solidFill>
                <a:schemeClr val="bg2">
                  <a:lumMod val="25000"/>
                </a:schemeClr>
              </a:solidFill>
              <a:latin typeface="Arial Narrow" panose="020B0606020202030204" pitchFamily="34" charset="0"/>
              <a:ea typeface="+mn-ea"/>
              <a:cs typeface="+mn-cs"/>
            </a:defRPr>
          </a:pPr>
          <a:endParaRPr lang="pt-BR"/>
        </a:p>
      </c:txPr>
    </c:title>
    <c:autoTitleDeleted val="0"/>
    <c:plotArea>
      <c:layout/>
      <c:barChart>
        <c:barDir val="col"/>
        <c:grouping val="clustered"/>
        <c:varyColors val="0"/>
        <c:ser>
          <c:idx val="0"/>
          <c:order val="0"/>
          <c:tx>
            <c:strRef>
              <c:f>CaractAmostra!$BX$46</c:f>
              <c:strCache>
                <c:ptCount val="1"/>
                <c:pt idx="0">
                  <c:v>%</c:v>
                </c:pt>
              </c:strCache>
            </c:strRef>
          </c:tx>
          <c:spPr>
            <a:gradFill rotWithShape="1">
              <a:gsLst>
                <a:gs pos="0">
                  <a:schemeClr val="accent5">
                    <a:lumMod val="110000"/>
                    <a:satMod val="105000"/>
                    <a:tint val="67000"/>
                  </a:schemeClr>
                </a:gs>
                <a:gs pos="50000">
                  <a:schemeClr val="accent5">
                    <a:lumMod val="105000"/>
                    <a:satMod val="103000"/>
                    <a:tint val="73000"/>
                  </a:schemeClr>
                </a:gs>
                <a:gs pos="100000">
                  <a:schemeClr val="accent5">
                    <a:lumMod val="105000"/>
                    <a:satMod val="109000"/>
                    <a:tint val="81000"/>
                  </a:schemeClr>
                </a:gs>
              </a:gsLst>
              <a:lin ang="5400000" scaled="0"/>
            </a:gradFill>
            <a:ln w="9525" cap="flat" cmpd="sng" algn="ctr">
              <a:solidFill>
                <a:schemeClr val="accent5">
                  <a:shade val="95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2">
                        <a:lumMod val="25000"/>
                      </a:schemeClr>
                    </a:solidFill>
                    <a:latin typeface="Arial Narrow" panose="020B0606020202030204" pitchFamily="34" charset="0"/>
                    <a:ea typeface="+mn-ea"/>
                    <a:cs typeface="+mn-cs"/>
                  </a:defRPr>
                </a:pPr>
                <a:endParaRPr lang="pt-B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CaractAmostra!$BV$47:$BV$60</c:f>
              <c:numCache>
                <c:formatCode>General</c:formatCod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numCache>
            </c:numRef>
          </c:cat>
          <c:val>
            <c:numRef>
              <c:f>CaractAmostra!$BX$47:$BX$60</c:f>
              <c:numCache>
                <c:formatCode>0.0%</c:formatCode>
                <c:ptCount val="14"/>
                <c:pt idx="0">
                  <c:v>4.4444444444444446E-2</c:v>
                </c:pt>
                <c:pt idx="1">
                  <c:v>2.2222222222222223E-2</c:v>
                </c:pt>
                <c:pt idx="2">
                  <c:v>2.2222222222222223E-2</c:v>
                </c:pt>
                <c:pt idx="3">
                  <c:v>2.2222222222222223E-2</c:v>
                </c:pt>
                <c:pt idx="4">
                  <c:v>0.15555555555555556</c:v>
                </c:pt>
                <c:pt idx="5">
                  <c:v>6.6666666666666666E-2</c:v>
                </c:pt>
                <c:pt idx="6">
                  <c:v>8.8888888888888892E-2</c:v>
                </c:pt>
                <c:pt idx="7">
                  <c:v>0</c:v>
                </c:pt>
                <c:pt idx="8">
                  <c:v>8.8888888888888892E-2</c:v>
                </c:pt>
                <c:pt idx="9">
                  <c:v>8.8888888888888892E-2</c:v>
                </c:pt>
                <c:pt idx="10">
                  <c:v>0.1111111111111111</c:v>
                </c:pt>
                <c:pt idx="11">
                  <c:v>6.6666666666666666E-2</c:v>
                </c:pt>
                <c:pt idx="12">
                  <c:v>0.13333333333333333</c:v>
                </c:pt>
                <c:pt idx="13">
                  <c:v>8.8888888888888892E-2</c:v>
                </c:pt>
              </c:numCache>
            </c:numRef>
          </c:val>
          <c:extLst>
            <c:ext xmlns:c16="http://schemas.microsoft.com/office/drawing/2014/chart" uri="{C3380CC4-5D6E-409C-BE32-E72D297353CC}">
              <c16:uniqueId val="{0000000F-E3B7-4ED8-99B6-C850C86CFFE3}"/>
            </c:ext>
          </c:extLst>
        </c:ser>
        <c:dLbls>
          <c:showLegendKey val="0"/>
          <c:showVal val="0"/>
          <c:showCatName val="0"/>
          <c:showSerName val="0"/>
          <c:showPercent val="0"/>
          <c:showBubbleSize val="0"/>
        </c:dLbls>
        <c:gapWidth val="60"/>
        <c:axId val="411529568"/>
        <c:axId val="411137880"/>
      </c:barChart>
      <c:valAx>
        <c:axId val="411137880"/>
        <c:scaling>
          <c:orientation val="minMax"/>
        </c:scaling>
        <c:delete val="0"/>
        <c:axPos val="l"/>
        <c:numFmt formatCode="0.0%"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bg2">
                    <a:lumMod val="25000"/>
                  </a:schemeClr>
                </a:solidFill>
                <a:latin typeface="Arial Narrow" panose="020B0606020202030204" pitchFamily="34" charset="0"/>
                <a:ea typeface="+mn-ea"/>
                <a:cs typeface="+mn-cs"/>
              </a:defRPr>
            </a:pPr>
            <a:endParaRPr lang="pt-BR"/>
          </a:p>
        </c:txPr>
        <c:crossAx val="411529568"/>
        <c:crosses val="autoZero"/>
        <c:crossBetween val="between"/>
      </c:valAx>
      <c:catAx>
        <c:axId val="4115295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bg2">
                    <a:lumMod val="25000"/>
                  </a:schemeClr>
                </a:solidFill>
                <a:latin typeface="Arial Narrow" panose="020B0606020202030204" pitchFamily="34" charset="0"/>
                <a:ea typeface="+mn-ea"/>
                <a:cs typeface="+mn-cs"/>
              </a:defRPr>
            </a:pPr>
            <a:endParaRPr lang="pt-BR"/>
          </a:p>
        </c:txPr>
        <c:crossAx val="411137880"/>
        <c:crosses val="autoZero"/>
        <c:auto val="1"/>
        <c:lblAlgn val="ctr"/>
        <c:lblOffset val="100"/>
        <c:noMultiLvlLbl val="0"/>
      </c:cat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solidFill>
            <a:schemeClr val="bg2">
              <a:lumMod val="25000"/>
            </a:schemeClr>
          </a:solidFill>
          <a:latin typeface="Arial Narrow" panose="020B0606020202030204" pitchFamily="34" charset="0"/>
        </a:defRPr>
      </a:pPr>
      <a:endParaRPr lang="pt-BR"/>
    </a:p>
  </c:txPr>
  <c:printSettings>
    <c:headerFooter/>
    <c:pageMargins b="0.78740157499999996" l="0.511811024" r="0.511811024" t="0.78740157499999996" header="0.31496062000000002" footer="0.31496062000000002"/>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8"/>
    </mc:Choice>
    <mc:Fallback>
      <c:style val="8"/>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050" b="0" i="0" u="none" strike="noStrike" kern="1200" cap="none" spc="20" baseline="0">
                <a:solidFill>
                  <a:schemeClr val="bg2">
                    <a:lumMod val="25000"/>
                  </a:schemeClr>
                </a:solidFill>
                <a:latin typeface="Arial Narrow" panose="020B0606020202030204" pitchFamily="34" charset="0"/>
                <a:ea typeface="+mn-ea"/>
                <a:cs typeface="+mn-cs"/>
              </a:defRPr>
            </a:pPr>
            <a:r>
              <a:rPr lang="pt-BR"/>
              <a:t>Participação</a:t>
            </a:r>
            <a:r>
              <a:rPr lang="pt-BR" baseline="0"/>
              <a:t> em atividades de Extensão</a:t>
            </a:r>
            <a:endParaRPr lang="pt-BR"/>
          </a:p>
        </c:rich>
      </c:tx>
      <c:layout/>
      <c:overlay val="0"/>
      <c:spPr>
        <a:noFill/>
        <a:ln>
          <a:noFill/>
        </a:ln>
        <a:effectLst/>
      </c:spPr>
      <c:txPr>
        <a:bodyPr rot="0" spcFirstLastPara="1" vertOverflow="ellipsis" vert="horz" wrap="square" anchor="ctr" anchorCtr="1"/>
        <a:lstStyle/>
        <a:p>
          <a:pPr>
            <a:defRPr sz="1050" b="0" i="0" u="none" strike="noStrike" kern="1200" cap="none" spc="20" baseline="0">
              <a:solidFill>
                <a:schemeClr val="bg2">
                  <a:lumMod val="25000"/>
                </a:schemeClr>
              </a:solidFill>
              <a:latin typeface="Arial Narrow" panose="020B0606020202030204" pitchFamily="34" charset="0"/>
              <a:ea typeface="+mn-ea"/>
              <a:cs typeface="+mn-cs"/>
            </a:defRPr>
          </a:pPr>
          <a:endParaRPr lang="pt-BR"/>
        </a:p>
      </c:txPr>
    </c:title>
    <c:autoTitleDeleted val="0"/>
    <c:plotArea>
      <c:layout/>
      <c:barChart>
        <c:barDir val="col"/>
        <c:grouping val="clustered"/>
        <c:varyColors val="0"/>
        <c:ser>
          <c:idx val="2"/>
          <c:order val="0"/>
          <c:tx>
            <c:strRef>
              <c:f>AvalInst!$CJ$17</c:f>
              <c:strCache>
                <c:ptCount val="1"/>
                <c:pt idx="0">
                  <c:v>%</c:v>
                </c:pt>
              </c:strCache>
            </c:strRef>
          </c:tx>
          <c:spPr>
            <a:gradFill rotWithShape="1">
              <a:gsLst>
                <a:gs pos="0">
                  <a:schemeClr val="accent6">
                    <a:shade val="65000"/>
                    <a:lumMod val="110000"/>
                    <a:satMod val="105000"/>
                    <a:tint val="67000"/>
                  </a:schemeClr>
                </a:gs>
                <a:gs pos="50000">
                  <a:schemeClr val="accent6">
                    <a:shade val="65000"/>
                    <a:lumMod val="105000"/>
                    <a:satMod val="103000"/>
                    <a:tint val="73000"/>
                  </a:schemeClr>
                </a:gs>
                <a:gs pos="100000">
                  <a:schemeClr val="accent6">
                    <a:shade val="65000"/>
                    <a:lumMod val="105000"/>
                    <a:satMod val="109000"/>
                    <a:tint val="81000"/>
                  </a:schemeClr>
                </a:gs>
              </a:gsLst>
              <a:lin ang="5400000" scaled="0"/>
            </a:gradFill>
            <a:ln w="9525" cap="flat" cmpd="sng" algn="ctr">
              <a:solidFill>
                <a:schemeClr val="accent6">
                  <a:shade val="65000"/>
                  <a:shade val="95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2">
                        <a:lumMod val="25000"/>
                      </a:schemeClr>
                    </a:solidFill>
                    <a:latin typeface="Arial Narrow" panose="020B0606020202030204" pitchFamily="34" charset="0"/>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strRef>
              <c:f>AvalInst!$CH$18:$CH$22</c:f>
              <c:strCache>
                <c:ptCount val="5"/>
                <c:pt idx="0">
                  <c:v>Monitoria</c:v>
                </c:pt>
                <c:pt idx="1">
                  <c:v>Programas de Extensão</c:v>
                </c:pt>
                <c:pt idx="2">
                  <c:v>Visitas Técnicas</c:v>
                </c:pt>
                <c:pt idx="3">
                  <c:v>Eventos de extensão</c:v>
                </c:pt>
                <c:pt idx="4">
                  <c:v>Outros</c:v>
                </c:pt>
              </c:strCache>
            </c:strRef>
          </c:cat>
          <c:val>
            <c:numRef>
              <c:f>AvalInst!$CJ$18:$CJ$22</c:f>
              <c:numCache>
                <c:formatCode>0.0%</c:formatCode>
                <c:ptCount val="5"/>
                <c:pt idx="0">
                  <c:v>0.33333333333333331</c:v>
                </c:pt>
                <c:pt idx="1">
                  <c:v>0.65957446808510634</c:v>
                </c:pt>
                <c:pt idx="2">
                  <c:v>0.57446808510638303</c:v>
                </c:pt>
                <c:pt idx="3">
                  <c:v>0.51063829787234039</c:v>
                </c:pt>
                <c:pt idx="4">
                  <c:v>6.3829787234042548E-2</c:v>
                </c:pt>
              </c:numCache>
            </c:numRef>
          </c:val>
          <c:extLst>
            <c:ext xmlns:c16="http://schemas.microsoft.com/office/drawing/2014/chart" uri="{C3380CC4-5D6E-409C-BE32-E72D297353CC}">
              <c16:uniqueId val="{00000000-7B07-42E6-9646-325B445B7DEC}"/>
            </c:ext>
          </c:extLst>
        </c:ser>
        <c:dLbls>
          <c:showLegendKey val="0"/>
          <c:showVal val="0"/>
          <c:showCatName val="0"/>
          <c:showSerName val="0"/>
          <c:showPercent val="0"/>
          <c:showBubbleSize val="0"/>
        </c:dLbls>
        <c:gapWidth val="60"/>
        <c:axId val="411136312"/>
        <c:axId val="411137488"/>
      </c:barChart>
      <c:valAx>
        <c:axId val="411137488"/>
        <c:scaling>
          <c:orientation val="minMax"/>
        </c:scaling>
        <c:delete val="0"/>
        <c:axPos val="l"/>
        <c:numFmt formatCode="0.0%"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bg2">
                    <a:lumMod val="25000"/>
                  </a:schemeClr>
                </a:solidFill>
                <a:latin typeface="Arial Narrow" panose="020B0606020202030204" pitchFamily="34" charset="0"/>
                <a:ea typeface="+mn-ea"/>
                <a:cs typeface="+mn-cs"/>
              </a:defRPr>
            </a:pPr>
            <a:endParaRPr lang="pt-BR"/>
          </a:p>
        </c:txPr>
        <c:crossAx val="411136312"/>
        <c:crosses val="autoZero"/>
        <c:crossBetween val="between"/>
      </c:valAx>
      <c:catAx>
        <c:axId val="4111363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bg2">
                    <a:lumMod val="25000"/>
                  </a:schemeClr>
                </a:solidFill>
                <a:latin typeface="Arial Narrow" panose="020B0606020202030204" pitchFamily="34" charset="0"/>
                <a:ea typeface="+mn-ea"/>
                <a:cs typeface="+mn-cs"/>
              </a:defRPr>
            </a:pPr>
            <a:endParaRPr lang="pt-BR"/>
          </a:p>
        </c:txPr>
        <c:crossAx val="411137488"/>
        <c:crosses val="autoZero"/>
        <c:auto val="1"/>
        <c:lblAlgn val="ctr"/>
        <c:lblOffset val="100"/>
        <c:noMultiLvlLbl val="0"/>
      </c:cat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solidFill>
            <a:schemeClr val="bg2">
              <a:lumMod val="25000"/>
            </a:schemeClr>
          </a:solidFill>
          <a:latin typeface="Arial Narrow" panose="020B0606020202030204" pitchFamily="34" charset="0"/>
        </a:defRPr>
      </a:pPr>
      <a:endParaRPr lang="pt-BR"/>
    </a:p>
  </c:txPr>
  <c:printSettings>
    <c:headerFooter/>
    <c:pageMargins b="0.78740157499999996" l="0.511811024" r="0.511811024" t="0.78740157499999996" header="0.31496062000000002" footer="0.31496062000000002"/>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Arial Narrow" panose="020B0606020202030204" pitchFamily="34" charset="0"/>
                <a:ea typeface="+mn-ea"/>
                <a:cs typeface="+mn-cs"/>
              </a:defRPr>
            </a:pPr>
            <a:r>
              <a:rPr lang="pt-BR" sz="1200"/>
              <a:t>Recebeu</a:t>
            </a:r>
            <a:r>
              <a:rPr lang="pt-BR" sz="1200" baseline="0"/>
              <a:t> recursos da Assistência Estudantil?</a:t>
            </a:r>
            <a:endParaRPr lang="pt-BR" sz="1200"/>
          </a:p>
        </c:rich>
      </c:tx>
      <c:layout/>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Arial Narrow" panose="020B0606020202030204" pitchFamily="34" charset="0"/>
              <a:ea typeface="+mn-ea"/>
              <a:cs typeface="+mn-cs"/>
            </a:defRPr>
          </a:pPr>
          <a:endParaRPr lang="pt-BR"/>
        </a:p>
      </c:txPr>
    </c:title>
    <c:autoTitleDeleted val="0"/>
    <c:plotArea>
      <c:layout/>
      <c:doughnutChart>
        <c:varyColors val="1"/>
        <c:ser>
          <c:idx val="0"/>
          <c:order val="0"/>
          <c:tx>
            <c:strRef>
              <c:f>AvalInst!$CU$8</c:f>
              <c:strCache>
                <c:ptCount val="1"/>
                <c:pt idx="0">
                  <c:v>f</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4773-4076-A1FD-759E4C2224A1}"/>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4773-4076-A1FD-759E4C2224A1}"/>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4773-4076-A1FD-759E4C2224A1}"/>
              </c:ext>
            </c:extLst>
          </c:dPt>
          <c:dLbls>
            <c:dLbl>
              <c:idx val="0"/>
              <c:layout>
                <c:manualLayout>
                  <c:x val="0.11666666666666657"/>
                  <c:y val="-0.10648148148148148"/>
                </c:manualLayout>
              </c:layout>
              <c:showLegendKey val="1"/>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1-4773-4076-A1FD-759E4C2224A1}"/>
                </c:ext>
              </c:extLst>
            </c:dLbl>
            <c:dLbl>
              <c:idx val="1"/>
              <c:layout>
                <c:manualLayout>
                  <c:x val="-8.8888888888888934E-2"/>
                  <c:y val="6.9444444444444448E-2"/>
                </c:manualLayout>
              </c:layout>
              <c:showLegendKey val="1"/>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3-4773-4076-A1FD-759E4C2224A1}"/>
                </c:ext>
              </c:extLst>
            </c:dLbl>
            <c:dLbl>
              <c:idx val="2"/>
              <c:layout>
                <c:manualLayout>
                  <c:x val="-9.999999999999995E-2"/>
                  <c:y val="-6.0185185185185182E-2"/>
                </c:manualLayout>
              </c:layout>
              <c:showLegendKey val="1"/>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5-4773-4076-A1FD-759E4C2224A1}"/>
                </c:ext>
              </c:extLst>
            </c:dLbl>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Arial Narrow" panose="020B0606020202030204" pitchFamily="34" charset="0"/>
                    <a:ea typeface="+mn-ea"/>
                    <a:cs typeface="+mn-cs"/>
                  </a:defRPr>
                </a:pPr>
                <a:endParaRPr lang="pt-BR"/>
              </a:p>
            </c:txPr>
            <c:showLegendKey val="1"/>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AvalInst!$CT$9:$CT$10</c:f>
              <c:strCache>
                <c:ptCount val="2"/>
                <c:pt idx="0">
                  <c:v>Sim</c:v>
                </c:pt>
                <c:pt idx="1">
                  <c:v>Não</c:v>
                </c:pt>
              </c:strCache>
            </c:strRef>
          </c:cat>
          <c:val>
            <c:numRef>
              <c:f>AvalInst!$CU$9:$CU$10</c:f>
              <c:numCache>
                <c:formatCode>#,##0</c:formatCode>
                <c:ptCount val="2"/>
                <c:pt idx="0">
                  <c:v>156</c:v>
                </c:pt>
                <c:pt idx="1">
                  <c:v>115</c:v>
                </c:pt>
              </c:numCache>
            </c:numRef>
          </c:val>
          <c:extLst>
            <c:ext xmlns:c16="http://schemas.microsoft.com/office/drawing/2014/chart" uri="{C3380CC4-5D6E-409C-BE32-E72D297353CC}">
              <c16:uniqueId val="{00000006-4773-4076-A1FD-759E4C2224A1}"/>
            </c:ext>
          </c:extLst>
        </c:ser>
        <c:dLbls>
          <c:showLegendKey val="0"/>
          <c:showVal val="0"/>
          <c:showCatName val="0"/>
          <c:showSerName val="0"/>
          <c:showPercent val="1"/>
          <c:showBubbleSize val="0"/>
          <c:showLeaderLines val="1"/>
        </c:dLbls>
        <c:firstSliceAng val="0"/>
        <c:holeSize val="60"/>
      </c:doughnutChart>
      <c:spPr>
        <a:noFill/>
        <a:ln>
          <a:noFill/>
        </a:ln>
        <a:effectLst/>
      </c:spPr>
    </c:plotArea>
    <c:legend>
      <c:legendPos val="b"/>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Arial Narrow" panose="020B0606020202030204" pitchFamily="34" charset="0"/>
              <a:ea typeface="+mn-ea"/>
              <a:cs typeface="+mn-cs"/>
            </a:defRPr>
          </a:pPr>
          <a:endParaRPr lang="pt-BR"/>
        </a:p>
      </c:txPr>
    </c:legend>
    <c:plotVisOnly val="1"/>
    <c:dispBlanksAs val="gap"/>
    <c:showDLblsOverMax val="0"/>
  </c:chart>
  <c:spPr>
    <a:solidFill>
      <a:schemeClr val="bg1"/>
    </a:solidFill>
    <a:ln w="9525" cap="flat" cmpd="sng" algn="ctr">
      <a:noFill/>
      <a:round/>
    </a:ln>
    <a:effectLst/>
  </c:spPr>
  <c:txPr>
    <a:bodyPr/>
    <a:lstStyle/>
    <a:p>
      <a:pPr>
        <a:defRPr>
          <a:latin typeface="Arial Narrow" panose="020B0606020202030204" pitchFamily="34" charset="0"/>
        </a:defRPr>
      </a:pPr>
      <a:endParaRPr lang="pt-BR"/>
    </a:p>
  </c:txPr>
  <c:printSettings>
    <c:headerFooter/>
    <c:pageMargins b="0.78740157499999996" l="0.511811024" r="0.511811024" t="0.78740157499999996" header="0.31496062000000002" footer="0.31496062000000002"/>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8"/>
    </mc:Choice>
    <mc:Fallback>
      <c:style val="8"/>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200" b="0" i="0" u="none" strike="noStrike" kern="1200" cap="none" spc="20" baseline="0">
                <a:solidFill>
                  <a:schemeClr val="bg2">
                    <a:lumMod val="25000"/>
                  </a:schemeClr>
                </a:solidFill>
                <a:latin typeface="Arial Narrow" panose="020B0606020202030204" pitchFamily="34" charset="0"/>
                <a:ea typeface="+mn-ea"/>
                <a:cs typeface="+mn-cs"/>
              </a:defRPr>
            </a:pPr>
            <a:r>
              <a:rPr lang="pt-BR" sz="1200"/>
              <a:t>Relevância das ações de assistência estudantil para a conclusão da graduação no IFS</a:t>
            </a:r>
          </a:p>
        </c:rich>
      </c:tx>
      <c:layout/>
      <c:overlay val="0"/>
      <c:spPr>
        <a:noFill/>
        <a:ln>
          <a:noFill/>
        </a:ln>
        <a:effectLst/>
      </c:spPr>
      <c:txPr>
        <a:bodyPr rot="0" spcFirstLastPara="1" vertOverflow="ellipsis" vert="horz" wrap="square" anchor="ctr" anchorCtr="1"/>
        <a:lstStyle/>
        <a:p>
          <a:pPr>
            <a:defRPr sz="1200" b="0" i="0" u="none" strike="noStrike" kern="1200" cap="none" spc="20" baseline="0">
              <a:solidFill>
                <a:schemeClr val="bg2">
                  <a:lumMod val="25000"/>
                </a:schemeClr>
              </a:solidFill>
              <a:latin typeface="Arial Narrow" panose="020B0606020202030204" pitchFamily="34" charset="0"/>
              <a:ea typeface="+mn-ea"/>
              <a:cs typeface="+mn-cs"/>
            </a:defRPr>
          </a:pPr>
          <a:endParaRPr lang="pt-BR"/>
        </a:p>
      </c:txPr>
    </c:title>
    <c:autoTitleDeleted val="0"/>
    <c:plotArea>
      <c:layout/>
      <c:barChart>
        <c:barDir val="col"/>
        <c:grouping val="clustered"/>
        <c:varyColors val="0"/>
        <c:ser>
          <c:idx val="2"/>
          <c:order val="0"/>
          <c:tx>
            <c:strRef>
              <c:f>AvalInst!$DA$8</c:f>
              <c:strCache>
                <c:ptCount val="1"/>
                <c:pt idx="0">
                  <c:v>%</c:v>
                </c:pt>
              </c:strCache>
            </c:strRef>
          </c:tx>
          <c:spPr>
            <a:gradFill rotWithShape="1">
              <a:gsLst>
                <a:gs pos="0">
                  <a:schemeClr val="accent6">
                    <a:shade val="65000"/>
                    <a:lumMod val="110000"/>
                    <a:satMod val="105000"/>
                    <a:tint val="67000"/>
                  </a:schemeClr>
                </a:gs>
                <a:gs pos="50000">
                  <a:schemeClr val="accent6">
                    <a:shade val="65000"/>
                    <a:lumMod val="105000"/>
                    <a:satMod val="103000"/>
                    <a:tint val="73000"/>
                  </a:schemeClr>
                </a:gs>
                <a:gs pos="100000">
                  <a:schemeClr val="accent6">
                    <a:shade val="65000"/>
                    <a:lumMod val="105000"/>
                    <a:satMod val="109000"/>
                    <a:tint val="81000"/>
                  </a:schemeClr>
                </a:gs>
              </a:gsLst>
              <a:lin ang="5400000" scaled="0"/>
            </a:gradFill>
            <a:ln w="9525" cap="flat" cmpd="sng" algn="ctr">
              <a:solidFill>
                <a:schemeClr val="accent6">
                  <a:shade val="65000"/>
                  <a:shade val="95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2">
                        <a:lumMod val="25000"/>
                      </a:schemeClr>
                    </a:solidFill>
                    <a:latin typeface="Arial Narrow" panose="020B0606020202030204" pitchFamily="34" charset="0"/>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val>
            <c:numRef>
              <c:f>AvalInst!$DA$9:$DA$13</c:f>
              <c:numCache>
                <c:formatCode>0.0%</c:formatCode>
                <c:ptCount val="5"/>
                <c:pt idx="0">
                  <c:v>6.41025641025641E-3</c:v>
                </c:pt>
                <c:pt idx="1">
                  <c:v>6.41025641025641E-3</c:v>
                </c:pt>
                <c:pt idx="2">
                  <c:v>9.6153846153846159E-2</c:v>
                </c:pt>
                <c:pt idx="3">
                  <c:v>0.17307692307692307</c:v>
                </c:pt>
                <c:pt idx="4">
                  <c:v>0.71794871794871795</c:v>
                </c:pt>
              </c:numCache>
            </c:numRef>
          </c:val>
          <c:extLst>
            <c:ext xmlns:c16="http://schemas.microsoft.com/office/drawing/2014/chart" uri="{C3380CC4-5D6E-409C-BE32-E72D297353CC}">
              <c16:uniqueId val="{00000000-ED53-46AE-BE69-BEF2097F2310}"/>
            </c:ext>
          </c:extLst>
        </c:ser>
        <c:dLbls>
          <c:showLegendKey val="0"/>
          <c:showVal val="0"/>
          <c:showCatName val="0"/>
          <c:showSerName val="0"/>
          <c:showPercent val="0"/>
          <c:showBubbleSize val="0"/>
        </c:dLbls>
        <c:gapWidth val="60"/>
        <c:axId val="411139056"/>
        <c:axId val="411132000"/>
      </c:barChart>
      <c:valAx>
        <c:axId val="411132000"/>
        <c:scaling>
          <c:orientation val="minMax"/>
        </c:scaling>
        <c:delete val="0"/>
        <c:axPos val="l"/>
        <c:numFmt formatCode="0.0%"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bg2">
                    <a:lumMod val="25000"/>
                  </a:schemeClr>
                </a:solidFill>
                <a:latin typeface="Arial Narrow" panose="020B0606020202030204" pitchFamily="34" charset="0"/>
                <a:ea typeface="+mn-ea"/>
                <a:cs typeface="+mn-cs"/>
              </a:defRPr>
            </a:pPr>
            <a:endParaRPr lang="pt-BR"/>
          </a:p>
        </c:txPr>
        <c:crossAx val="411139056"/>
        <c:crosses val="autoZero"/>
        <c:crossBetween val="between"/>
      </c:valAx>
      <c:catAx>
        <c:axId val="4111390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bg2">
                    <a:lumMod val="25000"/>
                  </a:schemeClr>
                </a:solidFill>
                <a:latin typeface="Arial Narrow" panose="020B0606020202030204" pitchFamily="34" charset="0"/>
                <a:ea typeface="+mn-ea"/>
                <a:cs typeface="+mn-cs"/>
              </a:defRPr>
            </a:pPr>
            <a:endParaRPr lang="pt-BR"/>
          </a:p>
        </c:txPr>
        <c:crossAx val="411132000"/>
        <c:crosses val="autoZero"/>
        <c:auto val="1"/>
        <c:lblAlgn val="ctr"/>
        <c:lblOffset val="100"/>
        <c:noMultiLvlLbl val="0"/>
      </c:cat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solidFill>
            <a:schemeClr val="bg2">
              <a:lumMod val="25000"/>
            </a:schemeClr>
          </a:solidFill>
          <a:latin typeface="Arial Narrow" panose="020B0606020202030204" pitchFamily="34" charset="0"/>
        </a:defRPr>
      </a:pPr>
      <a:endParaRPr lang="pt-BR"/>
    </a:p>
  </c:txPr>
  <c:printSettings>
    <c:headerFooter/>
    <c:pageMargins b="0.78740157499999996" l="0.511811024" r="0.511811024" t="0.78740157499999996" header="0.31496062000000002" footer="0.31496062000000002"/>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8"/>
    </mc:Choice>
    <mc:Fallback>
      <c:style val="8"/>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050" b="0" i="0" u="none" strike="noStrike" kern="1200" cap="none" spc="20" baseline="0">
                <a:solidFill>
                  <a:schemeClr val="bg2">
                    <a:lumMod val="25000"/>
                  </a:schemeClr>
                </a:solidFill>
                <a:latin typeface="Arial Narrow" panose="020B0606020202030204" pitchFamily="34" charset="0"/>
                <a:ea typeface="+mn-ea"/>
                <a:cs typeface="+mn-cs"/>
              </a:defRPr>
            </a:pPr>
            <a:r>
              <a:rPr lang="pt-BR"/>
              <a:t>Relevância</a:t>
            </a:r>
            <a:r>
              <a:rPr lang="pt-BR" baseline="0"/>
              <a:t> das atividades de Pesquisa para a atuação profissional </a:t>
            </a:r>
            <a:endParaRPr lang="pt-BR"/>
          </a:p>
        </c:rich>
      </c:tx>
      <c:layout/>
      <c:overlay val="0"/>
      <c:spPr>
        <a:noFill/>
        <a:ln>
          <a:noFill/>
        </a:ln>
        <a:effectLst/>
      </c:spPr>
      <c:txPr>
        <a:bodyPr rot="0" spcFirstLastPara="1" vertOverflow="ellipsis" vert="horz" wrap="square" anchor="ctr" anchorCtr="1"/>
        <a:lstStyle/>
        <a:p>
          <a:pPr>
            <a:defRPr sz="1050" b="0" i="0" u="none" strike="noStrike" kern="1200" cap="none" spc="20" baseline="0">
              <a:solidFill>
                <a:schemeClr val="bg2">
                  <a:lumMod val="25000"/>
                </a:schemeClr>
              </a:solidFill>
              <a:latin typeface="Arial Narrow" panose="020B0606020202030204" pitchFamily="34" charset="0"/>
              <a:ea typeface="+mn-ea"/>
              <a:cs typeface="+mn-cs"/>
            </a:defRPr>
          </a:pPr>
          <a:endParaRPr lang="pt-BR"/>
        </a:p>
      </c:txPr>
    </c:title>
    <c:autoTitleDeleted val="0"/>
    <c:plotArea>
      <c:layout/>
      <c:barChart>
        <c:barDir val="col"/>
        <c:grouping val="clustered"/>
        <c:varyColors val="0"/>
        <c:ser>
          <c:idx val="2"/>
          <c:order val="0"/>
          <c:tx>
            <c:strRef>
              <c:f>AvalInst!$BX$8</c:f>
              <c:strCache>
                <c:ptCount val="1"/>
                <c:pt idx="0">
                  <c:v>%</c:v>
                </c:pt>
              </c:strCache>
            </c:strRef>
          </c:tx>
          <c:spPr>
            <a:gradFill rotWithShape="1">
              <a:gsLst>
                <a:gs pos="0">
                  <a:schemeClr val="accent6">
                    <a:shade val="65000"/>
                    <a:lumMod val="110000"/>
                    <a:satMod val="105000"/>
                    <a:tint val="67000"/>
                  </a:schemeClr>
                </a:gs>
                <a:gs pos="50000">
                  <a:schemeClr val="accent6">
                    <a:shade val="65000"/>
                    <a:lumMod val="105000"/>
                    <a:satMod val="103000"/>
                    <a:tint val="73000"/>
                  </a:schemeClr>
                </a:gs>
                <a:gs pos="100000">
                  <a:schemeClr val="accent6">
                    <a:shade val="65000"/>
                    <a:lumMod val="105000"/>
                    <a:satMod val="109000"/>
                    <a:tint val="81000"/>
                  </a:schemeClr>
                </a:gs>
              </a:gsLst>
              <a:lin ang="5400000" scaled="0"/>
            </a:gradFill>
            <a:ln w="9525" cap="flat" cmpd="sng" algn="ctr">
              <a:solidFill>
                <a:schemeClr val="accent6">
                  <a:shade val="65000"/>
                  <a:shade val="95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2">
                        <a:lumMod val="25000"/>
                      </a:schemeClr>
                    </a:solidFill>
                    <a:latin typeface="Arial Narrow" panose="020B0606020202030204" pitchFamily="34" charset="0"/>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val>
            <c:numRef>
              <c:f>AvalInst!$BX$9:$BX$13</c:f>
              <c:numCache>
                <c:formatCode>0.0%</c:formatCode>
                <c:ptCount val="5"/>
                <c:pt idx="0">
                  <c:v>0.10752688172043011</c:v>
                </c:pt>
                <c:pt idx="1">
                  <c:v>5.3763440860215055E-2</c:v>
                </c:pt>
                <c:pt idx="2">
                  <c:v>0.12903225806451613</c:v>
                </c:pt>
                <c:pt idx="3">
                  <c:v>0.23655913978494625</c:v>
                </c:pt>
                <c:pt idx="4">
                  <c:v>0.4731182795698925</c:v>
                </c:pt>
              </c:numCache>
            </c:numRef>
          </c:val>
          <c:extLst>
            <c:ext xmlns:c16="http://schemas.microsoft.com/office/drawing/2014/chart" uri="{C3380CC4-5D6E-409C-BE32-E72D297353CC}">
              <c16:uniqueId val="{00000000-0E62-4851-AD7D-2E4FC5BE3E69}"/>
            </c:ext>
          </c:extLst>
        </c:ser>
        <c:dLbls>
          <c:showLegendKey val="0"/>
          <c:showVal val="0"/>
          <c:showCatName val="0"/>
          <c:showSerName val="0"/>
          <c:showPercent val="0"/>
          <c:showBubbleSize val="0"/>
        </c:dLbls>
        <c:gapWidth val="60"/>
        <c:axId val="411132392"/>
        <c:axId val="411139448"/>
      </c:barChart>
      <c:valAx>
        <c:axId val="411139448"/>
        <c:scaling>
          <c:orientation val="minMax"/>
        </c:scaling>
        <c:delete val="0"/>
        <c:axPos val="l"/>
        <c:numFmt formatCode="0.0%"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bg2">
                    <a:lumMod val="25000"/>
                  </a:schemeClr>
                </a:solidFill>
                <a:latin typeface="Arial Narrow" panose="020B0606020202030204" pitchFamily="34" charset="0"/>
                <a:ea typeface="+mn-ea"/>
                <a:cs typeface="+mn-cs"/>
              </a:defRPr>
            </a:pPr>
            <a:endParaRPr lang="pt-BR"/>
          </a:p>
        </c:txPr>
        <c:crossAx val="411132392"/>
        <c:crosses val="autoZero"/>
        <c:crossBetween val="between"/>
      </c:valAx>
      <c:catAx>
        <c:axId val="4111323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bg2">
                    <a:lumMod val="25000"/>
                  </a:schemeClr>
                </a:solidFill>
                <a:latin typeface="Arial Narrow" panose="020B0606020202030204" pitchFamily="34" charset="0"/>
                <a:ea typeface="+mn-ea"/>
                <a:cs typeface="+mn-cs"/>
              </a:defRPr>
            </a:pPr>
            <a:endParaRPr lang="pt-BR"/>
          </a:p>
        </c:txPr>
        <c:crossAx val="411139448"/>
        <c:crosses val="autoZero"/>
        <c:auto val="1"/>
        <c:lblAlgn val="ctr"/>
        <c:lblOffset val="100"/>
        <c:noMultiLvlLbl val="0"/>
      </c:cat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solidFill>
            <a:schemeClr val="bg2">
              <a:lumMod val="25000"/>
            </a:schemeClr>
          </a:solidFill>
          <a:latin typeface="Arial Narrow" panose="020B0606020202030204" pitchFamily="34" charset="0"/>
        </a:defRPr>
      </a:pPr>
      <a:endParaRPr lang="pt-BR"/>
    </a:p>
  </c:txPr>
  <c:printSettings>
    <c:headerFooter/>
    <c:pageMargins b="0.78740157499999996" l="0.511811024" r="0.511811024" t="0.78740157499999996" header="0.31496062000000002" footer="0.31496062000000002"/>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8"/>
    </mc:Choice>
    <mc:Fallback>
      <c:style val="8"/>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050" b="0" i="0" u="none" strike="noStrike" kern="1200" cap="none" spc="20" baseline="0">
                <a:solidFill>
                  <a:schemeClr val="bg2">
                    <a:lumMod val="25000"/>
                  </a:schemeClr>
                </a:solidFill>
                <a:latin typeface="Arial Narrow" panose="020B0606020202030204" pitchFamily="34" charset="0"/>
                <a:ea typeface="+mn-ea"/>
                <a:cs typeface="+mn-cs"/>
              </a:defRPr>
            </a:pPr>
            <a:r>
              <a:rPr lang="pt-BR"/>
              <a:t>Relevância das atividades de Extensão para a atuação profissional</a:t>
            </a:r>
            <a:r>
              <a:rPr lang="pt-BR" baseline="0"/>
              <a:t> atualmente</a:t>
            </a:r>
            <a:endParaRPr lang="pt-BR"/>
          </a:p>
        </c:rich>
      </c:tx>
      <c:layout/>
      <c:overlay val="0"/>
      <c:spPr>
        <a:noFill/>
        <a:ln>
          <a:noFill/>
        </a:ln>
        <a:effectLst/>
      </c:spPr>
      <c:txPr>
        <a:bodyPr rot="0" spcFirstLastPara="1" vertOverflow="ellipsis" vert="horz" wrap="square" anchor="ctr" anchorCtr="1"/>
        <a:lstStyle/>
        <a:p>
          <a:pPr>
            <a:defRPr sz="1050" b="0" i="0" u="none" strike="noStrike" kern="1200" cap="none" spc="20" baseline="0">
              <a:solidFill>
                <a:schemeClr val="bg2">
                  <a:lumMod val="25000"/>
                </a:schemeClr>
              </a:solidFill>
              <a:latin typeface="Arial Narrow" panose="020B0606020202030204" pitchFamily="34" charset="0"/>
              <a:ea typeface="+mn-ea"/>
              <a:cs typeface="+mn-cs"/>
            </a:defRPr>
          </a:pPr>
          <a:endParaRPr lang="pt-BR"/>
        </a:p>
      </c:txPr>
    </c:title>
    <c:autoTitleDeleted val="0"/>
    <c:plotArea>
      <c:layout/>
      <c:barChart>
        <c:barDir val="col"/>
        <c:grouping val="clustered"/>
        <c:varyColors val="0"/>
        <c:ser>
          <c:idx val="2"/>
          <c:order val="0"/>
          <c:tx>
            <c:strRef>
              <c:f>AvalInst!$CO$8</c:f>
              <c:strCache>
                <c:ptCount val="1"/>
                <c:pt idx="0">
                  <c:v>%</c:v>
                </c:pt>
              </c:strCache>
            </c:strRef>
          </c:tx>
          <c:spPr>
            <a:gradFill rotWithShape="1">
              <a:gsLst>
                <a:gs pos="0">
                  <a:schemeClr val="accent6">
                    <a:shade val="65000"/>
                    <a:lumMod val="110000"/>
                    <a:satMod val="105000"/>
                    <a:tint val="67000"/>
                  </a:schemeClr>
                </a:gs>
                <a:gs pos="50000">
                  <a:schemeClr val="accent6">
                    <a:shade val="65000"/>
                    <a:lumMod val="105000"/>
                    <a:satMod val="103000"/>
                    <a:tint val="73000"/>
                  </a:schemeClr>
                </a:gs>
                <a:gs pos="100000">
                  <a:schemeClr val="accent6">
                    <a:shade val="65000"/>
                    <a:lumMod val="105000"/>
                    <a:satMod val="109000"/>
                    <a:tint val="81000"/>
                  </a:schemeClr>
                </a:gs>
              </a:gsLst>
              <a:lin ang="5400000" scaled="0"/>
            </a:gradFill>
            <a:ln w="9525" cap="flat" cmpd="sng" algn="ctr">
              <a:solidFill>
                <a:schemeClr val="accent6">
                  <a:shade val="65000"/>
                  <a:shade val="95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2">
                        <a:lumMod val="25000"/>
                      </a:schemeClr>
                    </a:solidFill>
                    <a:latin typeface="Arial Narrow" panose="020B0606020202030204" pitchFamily="34" charset="0"/>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val>
            <c:numRef>
              <c:f>AvalInst!$CO$9:$CO$13</c:f>
              <c:numCache>
                <c:formatCode>0.0%</c:formatCode>
                <c:ptCount val="5"/>
                <c:pt idx="0">
                  <c:v>4.9645390070921988E-2</c:v>
                </c:pt>
                <c:pt idx="1">
                  <c:v>5.6737588652482268E-2</c:v>
                </c:pt>
                <c:pt idx="2">
                  <c:v>8.5106382978723402E-2</c:v>
                </c:pt>
                <c:pt idx="3">
                  <c:v>0.27659574468085107</c:v>
                </c:pt>
                <c:pt idx="4">
                  <c:v>0.53191489361702127</c:v>
                </c:pt>
              </c:numCache>
            </c:numRef>
          </c:val>
          <c:extLst>
            <c:ext xmlns:c16="http://schemas.microsoft.com/office/drawing/2014/chart" uri="{C3380CC4-5D6E-409C-BE32-E72D297353CC}">
              <c16:uniqueId val="{00000000-E7A1-4897-8489-BA16F53529A1}"/>
            </c:ext>
          </c:extLst>
        </c:ser>
        <c:dLbls>
          <c:showLegendKey val="0"/>
          <c:showVal val="0"/>
          <c:showCatName val="0"/>
          <c:showSerName val="0"/>
          <c:showPercent val="0"/>
          <c:showBubbleSize val="0"/>
        </c:dLbls>
        <c:gapWidth val="60"/>
        <c:axId val="411133568"/>
        <c:axId val="411133176"/>
      </c:barChart>
      <c:valAx>
        <c:axId val="411133176"/>
        <c:scaling>
          <c:orientation val="minMax"/>
        </c:scaling>
        <c:delete val="0"/>
        <c:axPos val="l"/>
        <c:numFmt formatCode="0.0%"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bg2">
                    <a:lumMod val="25000"/>
                  </a:schemeClr>
                </a:solidFill>
                <a:latin typeface="Arial Narrow" panose="020B0606020202030204" pitchFamily="34" charset="0"/>
                <a:ea typeface="+mn-ea"/>
                <a:cs typeface="+mn-cs"/>
              </a:defRPr>
            </a:pPr>
            <a:endParaRPr lang="pt-BR"/>
          </a:p>
        </c:txPr>
        <c:crossAx val="411133568"/>
        <c:crosses val="autoZero"/>
        <c:crossBetween val="between"/>
      </c:valAx>
      <c:catAx>
        <c:axId val="4111335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bg2">
                    <a:lumMod val="25000"/>
                  </a:schemeClr>
                </a:solidFill>
                <a:latin typeface="Arial Narrow" panose="020B0606020202030204" pitchFamily="34" charset="0"/>
                <a:ea typeface="+mn-ea"/>
                <a:cs typeface="+mn-cs"/>
              </a:defRPr>
            </a:pPr>
            <a:endParaRPr lang="pt-BR"/>
          </a:p>
        </c:txPr>
        <c:crossAx val="411133176"/>
        <c:crosses val="autoZero"/>
        <c:auto val="1"/>
        <c:lblAlgn val="ctr"/>
        <c:lblOffset val="100"/>
        <c:noMultiLvlLbl val="0"/>
      </c:cat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solidFill>
            <a:schemeClr val="bg2">
              <a:lumMod val="25000"/>
            </a:schemeClr>
          </a:solidFill>
          <a:latin typeface="Arial Narrow" panose="020B0606020202030204" pitchFamily="34" charset="0"/>
        </a:defRPr>
      </a:pPr>
      <a:endParaRPr lang="pt-BR"/>
    </a:p>
  </c:txPr>
  <c:printSettings>
    <c:headerFooter/>
    <c:pageMargins b="0.78740157499999996" l="0.511811024" r="0.511811024" t="0.78740157499999996" header="0.31496062000000002" footer="0.31496062000000002"/>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doughnutChart>
        <c:varyColors val="1"/>
        <c:ser>
          <c:idx val="0"/>
          <c:order val="0"/>
          <c:tx>
            <c:strRef>
              <c:f>AvalInst!$BG$8</c:f>
              <c:strCache>
                <c:ptCount val="1"/>
                <c:pt idx="0">
                  <c:v>f</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EA07-4740-88BD-A3A0281585E5}"/>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EA07-4740-88BD-A3A0281585E5}"/>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EA07-4740-88BD-A3A0281585E5}"/>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EA07-4740-88BD-A3A0281585E5}"/>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EA07-4740-88BD-A3A0281585E5}"/>
              </c:ext>
            </c:extLst>
          </c:dPt>
          <c:dLbls>
            <c:dLbl>
              <c:idx val="0"/>
              <c:layout>
                <c:manualLayout>
                  <c:x val="0.11666666666666657"/>
                  <c:y val="-0.10648148148148148"/>
                </c:manualLayout>
              </c:layout>
              <c:showLegendKey val="1"/>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1-EA07-4740-88BD-A3A0281585E5}"/>
                </c:ext>
              </c:extLst>
            </c:dLbl>
            <c:dLbl>
              <c:idx val="1"/>
              <c:layout>
                <c:manualLayout>
                  <c:x val="-8.8888888888888934E-2"/>
                  <c:y val="6.9444444444444448E-2"/>
                </c:manualLayout>
              </c:layout>
              <c:showLegendKey val="1"/>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3-EA07-4740-88BD-A3A0281585E5}"/>
                </c:ext>
              </c:extLst>
            </c:dLbl>
            <c:dLbl>
              <c:idx val="2"/>
              <c:layout>
                <c:manualLayout>
                  <c:x val="-9.999999999999995E-2"/>
                  <c:y val="-6.0185185185185182E-2"/>
                </c:manualLayout>
              </c:layout>
              <c:showLegendKey val="1"/>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5-EA07-4740-88BD-A3A0281585E5}"/>
                </c:ext>
              </c:extLst>
            </c:dLbl>
            <c:dLbl>
              <c:idx val="3"/>
              <c:layout>
                <c:manualLayout>
                  <c:x val="-4.1666666666666664E-2"/>
                  <c:y val="-8.3333333333333329E-2"/>
                </c:manualLayout>
              </c:layout>
              <c:showLegendKey val="1"/>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7-EA07-4740-88BD-A3A0281585E5}"/>
                </c:ext>
              </c:extLst>
            </c:dLbl>
            <c:dLbl>
              <c:idx val="4"/>
              <c:layout>
                <c:manualLayout>
                  <c:x val="0.11666666666666657"/>
                  <c:y val="-5.5555555555555552E-2"/>
                </c:manualLayout>
              </c:layout>
              <c:showLegendKey val="1"/>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9-EA07-4740-88BD-A3A0281585E5}"/>
                </c:ext>
              </c:extLst>
            </c:dLbl>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Narrow" panose="020B0606020202030204" pitchFamily="34" charset="0"/>
                    <a:ea typeface="+mn-ea"/>
                    <a:cs typeface="+mn-cs"/>
                  </a:defRPr>
                </a:pPr>
                <a:endParaRPr lang="pt-BR"/>
              </a:p>
            </c:txPr>
            <c:showLegendKey val="1"/>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AvalInst!$BF$9:$BF$13</c:f>
              <c:strCache>
                <c:ptCount val="5"/>
                <c:pt idx="0">
                  <c:v>Sim</c:v>
                </c:pt>
                <c:pt idx="1">
                  <c:v>Não, eu faria um CURSO DIFERENTE na MESMA INSTITUIÇÃO</c:v>
                </c:pt>
                <c:pt idx="2">
                  <c:v>Não, eu faria o MESMO CURSO mas em OUTRA INSTITUIÇÃO</c:v>
                </c:pt>
                <c:pt idx="3">
                  <c:v>Não, eu faria um CURSO DIFERENTE em OUTRA INSTITUIÇÃO</c:v>
                </c:pt>
                <c:pt idx="4">
                  <c:v>Eu decidiria não cursar uma graduação</c:v>
                </c:pt>
              </c:strCache>
            </c:strRef>
          </c:cat>
          <c:val>
            <c:numRef>
              <c:f>AvalInst!$BG$9:$BG$13</c:f>
              <c:numCache>
                <c:formatCode>#,##0</c:formatCode>
                <c:ptCount val="5"/>
                <c:pt idx="0">
                  <c:v>165</c:v>
                </c:pt>
                <c:pt idx="1">
                  <c:v>64</c:v>
                </c:pt>
                <c:pt idx="2">
                  <c:v>8</c:v>
                </c:pt>
                <c:pt idx="3">
                  <c:v>30</c:v>
                </c:pt>
                <c:pt idx="4">
                  <c:v>4</c:v>
                </c:pt>
              </c:numCache>
            </c:numRef>
          </c:val>
          <c:extLst>
            <c:ext xmlns:c16="http://schemas.microsoft.com/office/drawing/2014/chart" uri="{C3380CC4-5D6E-409C-BE32-E72D297353CC}">
              <c16:uniqueId val="{0000000A-EA07-4740-88BD-A3A0281585E5}"/>
            </c:ext>
          </c:extLst>
        </c:ser>
        <c:dLbls>
          <c:showLegendKey val="0"/>
          <c:showVal val="0"/>
          <c:showCatName val="0"/>
          <c:showSerName val="0"/>
          <c:showPercent val="1"/>
          <c:showBubbleSize val="0"/>
          <c:showLeaderLines val="1"/>
        </c:dLbls>
        <c:firstSliceAng val="0"/>
        <c:holeSize val="60"/>
      </c:doughnutChart>
      <c:spPr>
        <a:noFill/>
        <a:ln>
          <a:noFill/>
        </a:ln>
        <a:effectLst/>
      </c:spPr>
    </c:plotArea>
    <c:legend>
      <c:legendPos val="b"/>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Arial Narrow" panose="020B0606020202030204" pitchFamily="34" charset="0"/>
              <a:ea typeface="+mn-ea"/>
              <a:cs typeface="+mn-cs"/>
            </a:defRPr>
          </a:pPr>
          <a:endParaRPr lang="pt-BR"/>
        </a:p>
      </c:txPr>
    </c:legend>
    <c:plotVisOnly val="1"/>
    <c:dispBlanksAs val="gap"/>
    <c:showDLblsOverMax val="0"/>
  </c:chart>
  <c:spPr>
    <a:solidFill>
      <a:schemeClr val="bg1"/>
    </a:solidFill>
    <a:ln w="9525" cap="flat" cmpd="sng" algn="ctr">
      <a:noFill/>
      <a:round/>
    </a:ln>
    <a:effectLst/>
  </c:spPr>
  <c:txPr>
    <a:bodyPr/>
    <a:lstStyle/>
    <a:p>
      <a:pPr>
        <a:defRPr>
          <a:latin typeface="Arial Narrow" panose="020B0606020202030204" pitchFamily="34" charset="0"/>
        </a:defRPr>
      </a:pPr>
      <a:endParaRPr lang="pt-BR"/>
    </a:p>
  </c:txPr>
  <c:printSettings>
    <c:headerFooter/>
    <c:pageMargins b="0.78740157499999996" l="0.511811024" r="0.511811024" t="0.78740157499999996" header="0.31496062000000002" footer="0.31496062000000002"/>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8"/>
    </mc:Choice>
    <mc:Fallback>
      <c:style val="8"/>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050" b="0" i="0" u="none" strike="noStrike" kern="1200" cap="none" spc="20" baseline="0">
                <a:solidFill>
                  <a:schemeClr val="bg2">
                    <a:lumMod val="25000"/>
                  </a:schemeClr>
                </a:solidFill>
                <a:latin typeface="Arial Narrow" panose="020B0606020202030204" pitchFamily="34" charset="0"/>
                <a:ea typeface="+mn-ea"/>
                <a:cs typeface="+mn-cs"/>
              </a:defRPr>
            </a:pPr>
            <a:r>
              <a:rPr lang="pt-BR"/>
              <a:t>Formas</a:t>
            </a:r>
            <a:r>
              <a:rPr lang="pt-BR" baseline="0"/>
              <a:t> de ingresso no IFS</a:t>
            </a:r>
            <a:endParaRPr lang="pt-BR"/>
          </a:p>
        </c:rich>
      </c:tx>
      <c:layout/>
      <c:overlay val="0"/>
      <c:spPr>
        <a:noFill/>
        <a:ln>
          <a:noFill/>
        </a:ln>
        <a:effectLst/>
      </c:spPr>
      <c:txPr>
        <a:bodyPr rot="0" spcFirstLastPara="1" vertOverflow="ellipsis" vert="horz" wrap="square" anchor="ctr" anchorCtr="1"/>
        <a:lstStyle/>
        <a:p>
          <a:pPr>
            <a:defRPr sz="1050" b="0" i="0" u="none" strike="noStrike" kern="1200" cap="none" spc="20" baseline="0">
              <a:solidFill>
                <a:schemeClr val="bg2">
                  <a:lumMod val="25000"/>
                </a:schemeClr>
              </a:solidFill>
              <a:latin typeface="Arial Narrow" panose="020B0606020202030204" pitchFamily="34" charset="0"/>
              <a:ea typeface="+mn-ea"/>
              <a:cs typeface="+mn-cs"/>
            </a:defRPr>
          </a:pPr>
          <a:endParaRPr lang="pt-BR"/>
        </a:p>
      </c:txPr>
    </c:title>
    <c:autoTitleDeleted val="0"/>
    <c:plotArea>
      <c:layout/>
      <c:barChart>
        <c:barDir val="col"/>
        <c:grouping val="clustered"/>
        <c:varyColors val="0"/>
        <c:ser>
          <c:idx val="2"/>
          <c:order val="0"/>
          <c:tx>
            <c:strRef>
              <c:f>AvalInst!$H$31</c:f>
              <c:strCache>
                <c:ptCount val="1"/>
                <c:pt idx="0">
                  <c:v>%</c:v>
                </c:pt>
              </c:strCache>
            </c:strRef>
          </c:tx>
          <c:spPr>
            <a:solidFill>
              <a:srgbClr val="4472C4">
                <a:lumMod val="40000"/>
                <a:lumOff val="60000"/>
              </a:srgbClr>
            </a:solidFill>
            <a:ln w="9525" cap="flat" cmpd="sng" algn="ctr">
              <a:solidFill>
                <a:srgbClr val="4472C4">
                  <a:lumMod val="75000"/>
                </a:srgb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2">
                        <a:lumMod val="25000"/>
                      </a:schemeClr>
                    </a:solidFill>
                    <a:latin typeface="Arial Narrow" panose="020B0606020202030204" pitchFamily="34" charset="0"/>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strRef>
              <c:f>AvalInst!$F$32:$F$38</c:f>
              <c:strCache>
                <c:ptCount val="7"/>
                <c:pt idx="0">
                  <c:v>SISU</c:v>
                </c:pt>
                <c:pt idx="1">
                  <c:v>Vestibular do próprio IFS</c:v>
                </c:pt>
                <c:pt idx="2">
                  <c:v>Processo seletivo via análise de currículo</c:v>
                </c:pt>
                <c:pt idx="3">
                  <c:v>Reintegração</c:v>
                </c:pt>
                <c:pt idx="4">
                  <c:v>Transferência interna</c:v>
                </c:pt>
                <c:pt idx="5">
                  <c:v>Transferência externa</c:v>
                </c:pt>
                <c:pt idx="6">
                  <c:v>Portador de Diploma</c:v>
                </c:pt>
              </c:strCache>
            </c:strRef>
          </c:cat>
          <c:val>
            <c:numRef>
              <c:f>AvalInst!$H$32:$H$38</c:f>
              <c:numCache>
                <c:formatCode>0.0%</c:formatCode>
                <c:ptCount val="7"/>
                <c:pt idx="0">
                  <c:v>0.39583333333333331</c:v>
                </c:pt>
                <c:pt idx="1">
                  <c:v>0.47916666666666669</c:v>
                </c:pt>
                <c:pt idx="2">
                  <c:v>0</c:v>
                </c:pt>
                <c:pt idx="3">
                  <c:v>0</c:v>
                </c:pt>
                <c:pt idx="4">
                  <c:v>0</c:v>
                </c:pt>
                <c:pt idx="5">
                  <c:v>0.125</c:v>
                </c:pt>
                <c:pt idx="6">
                  <c:v>0</c:v>
                </c:pt>
              </c:numCache>
            </c:numRef>
          </c:val>
          <c:extLst>
            <c:ext xmlns:c16="http://schemas.microsoft.com/office/drawing/2014/chart" uri="{C3380CC4-5D6E-409C-BE32-E72D297353CC}">
              <c16:uniqueId val="{00000000-F71B-4232-8A69-FA6221CB56FF}"/>
            </c:ext>
          </c:extLst>
        </c:ser>
        <c:dLbls>
          <c:showLegendKey val="0"/>
          <c:showVal val="0"/>
          <c:showCatName val="0"/>
          <c:showSerName val="0"/>
          <c:showPercent val="0"/>
          <c:showBubbleSize val="0"/>
        </c:dLbls>
        <c:gapWidth val="60"/>
        <c:axId val="410402056"/>
        <c:axId val="410400488"/>
      </c:barChart>
      <c:valAx>
        <c:axId val="410400488"/>
        <c:scaling>
          <c:orientation val="minMax"/>
        </c:scaling>
        <c:delete val="0"/>
        <c:axPos val="l"/>
        <c:numFmt formatCode="0.0%"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bg2">
                    <a:lumMod val="25000"/>
                  </a:schemeClr>
                </a:solidFill>
                <a:latin typeface="Arial Narrow" panose="020B0606020202030204" pitchFamily="34" charset="0"/>
                <a:ea typeface="+mn-ea"/>
                <a:cs typeface="+mn-cs"/>
              </a:defRPr>
            </a:pPr>
            <a:endParaRPr lang="pt-BR"/>
          </a:p>
        </c:txPr>
        <c:crossAx val="410402056"/>
        <c:crosses val="autoZero"/>
        <c:crossBetween val="between"/>
      </c:valAx>
      <c:catAx>
        <c:axId val="4104020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bg2">
                    <a:lumMod val="25000"/>
                  </a:schemeClr>
                </a:solidFill>
                <a:latin typeface="Arial Narrow" panose="020B0606020202030204" pitchFamily="34" charset="0"/>
                <a:ea typeface="+mn-ea"/>
                <a:cs typeface="+mn-cs"/>
              </a:defRPr>
            </a:pPr>
            <a:endParaRPr lang="pt-BR"/>
          </a:p>
        </c:txPr>
        <c:crossAx val="410400488"/>
        <c:crosses val="autoZero"/>
        <c:auto val="1"/>
        <c:lblAlgn val="ctr"/>
        <c:lblOffset val="100"/>
        <c:noMultiLvlLbl val="0"/>
      </c:cat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solidFill>
            <a:schemeClr val="bg2">
              <a:lumMod val="25000"/>
            </a:schemeClr>
          </a:solidFill>
          <a:latin typeface="Arial Narrow" panose="020B0606020202030204" pitchFamily="34" charset="0"/>
        </a:defRPr>
      </a:pPr>
      <a:endParaRPr lang="pt-BR"/>
    </a:p>
  </c:txPr>
  <c:printSettings>
    <c:headerFooter/>
    <c:pageMargins b="0.78740157499999996" l="0.511811024" r="0.511811024" t="0.78740157499999996" header="0.31496062000000002" footer="0.31496062000000002"/>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050" b="0" i="0" u="none" strike="noStrike" kern="1200" cap="none" spc="20" baseline="0">
                <a:solidFill>
                  <a:schemeClr val="bg2">
                    <a:lumMod val="25000"/>
                  </a:schemeClr>
                </a:solidFill>
                <a:latin typeface="Arial Narrow" panose="020B0606020202030204" pitchFamily="34" charset="0"/>
                <a:ea typeface="+mn-ea"/>
                <a:cs typeface="+mn-cs"/>
              </a:defRPr>
            </a:pPr>
            <a:r>
              <a:rPr lang="pt-BR"/>
              <a:t>Se pudesse escolher novamente, você escolheria o mesmo curso na mesma</a:t>
            </a:r>
            <a:r>
              <a:rPr lang="pt-BR" baseline="0"/>
              <a:t> instituição?</a:t>
            </a:r>
            <a:endParaRPr lang="pt-BR"/>
          </a:p>
        </c:rich>
      </c:tx>
      <c:layout/>
      <c:overlay val="0"/>
      <c:spPr>
        <a:noFill/>
        <a:ln>
          <a:noFill/>
        </a:ln>
        <a:effectLst/>
      </c:spPr>
      <c:txPr>
        <a:bodyPr rot="0" spcFirstLastPara="1" vertOverflow="ellipsis" vert="horz" wrap="square" anchor="ctr" anchorCtr="1"/>
        <a:lstStyle/>
        <a:p>
          <a:pPr>
            <a:defRPr sz="1050" b="0" i="0" u="none" strike="noStrike" kern="1200" cap="none" spc="20" baseline="0">
              <a:solidFill>
                <a:schemeClr val="bg2">
                  <a:lumMod val="25000"/>
                </a:schemeClr>
              </a:solidFill>
              <a:latin typeface="Arial Narrow" panose="020B0606020202030204" pitchFamily="34" charset="0"/>
              <a:ea typeface="+mn-ea"/>
              <a:cs typeface="+mn-cs"/>
            </a:defRPr>
          </a:pPr>
          <a:endParaRPr lang="pt-BR"/>
        </a:p>
      </c:txPr>
    </c:title>
    <c:autoTitleDeleted val="0"/>
    <c:plotArea>
      <c:layout/>
      <c:barChart>
        <c:barDir val="col"/>
        <c:grouping val="clustered"/>
        <c:varyColors val="0"/>
        <c:ser>
          <c:idx val="2"/>
          <c:order val="0"/>
          <c:tx>
            <c:strRef>
              <c:f>AvalInst!$BH$46</c:f>
              <c:strCache>
                <c:ptCount val="1"/>
                <c:pt idx="0">
                  <c:v>%</c:v>
                </c:pt>
              </c:strCache>
            </c:strRef>
          </c:tx>
          <c:spPr>
            <a:solidFill>
              <a:schemeClr val="accent5">
                <a:lumMod val="40000"/>
                <a:lumOff val="60000"/>
              </a:schemeClr>
            </a:solidFill>
            <a:ln w="9525" cap="flat" cmpd="sng" algn="ctr">
              <a:solidFill>
                <a:schemeClr val="accent5">
                  <a:lumMod val="75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2">
                        <a:lumMod val="25000"/>
                      </a:schemeClr>
                    </a:solidFill>
                    <a:latin typeface="Arial Narrow" panose="020B0606020202030204" pitchFamily="34" charset="0"/>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strRef>
              <c:f>AvalInst!$BF$47:$BF$51</c:f>
              <c:strCache>
                <c:ptCount val="5"/>
                <c:pt idx="0">
                  <c:v>Sim</c:v>
                </c:pt>
                <c:pt idx="1">
                  <c:v>Não, eu faria um CURSO DIFERENTE na MESMA INSTITUIÇÃO</c:v>
                </c:pt>
                <c:pt idx="2">
                  <c:v>Não, eu faria o MESMO CURSO mas em OUTRA INSTITUIÇÃO</c:v>
                </c:pt>
                <c:pt idx="3">
                  <c:v>Não, eu faria um CURSO DIFERENTE em OUTRA INSTITUIÇÃO</c:v>
                </c:pt>
                <c:pt idx="4">
                  <c:v>Eu decidiria não cursar uma graduação</c:v>
                </c:pt>
              </c:strCache>
            </c:strRef>
          </c:cat>
          <c:val>
            <c:numRef>
              <c:f>AvalInst!$BH$47:$BH$51</c:f>
              <c:numCache>
                <c:formatCode>0.0%</c:formatCode>
                <c:ptCount val="5"/>
                <c:pt idx="0">
                  <c:v>0.89473684210526316</c:v>
                </c:pt>
                <c:pt idx="1">
                  <c:v>0</c:v>
                </c:pt>
                <c:pt idx="2">
                  <c:v>5.2631578947368418E-2</c:v>
                </c:pt>
                <c:pt idx="3">
                  <c:v>5.2631578947368418E-2</c:v>
                </c:pt>
                <c:pt idx="4">
                  <c:v>0</c:v>
                </c:pt>
              </c:numCache>
            </c:numRef>
          </c:val>
          <c:extLst>
            <c:ext xmlns:c16="http://schemas.microsoft.com/office/drawing/2014/chart" uri="{C3380CC4-5D6E-409C-BE32-E72D297353CC}">
              <c16:uniqueId val="{00000000-4E67-498A-B72A-B54F3EF6E1B9}"/>
            </c:ext>
          </c:extLst>
        </c:ser>
        <c:dLbls>
          <c:showLegendKey val="0"/>
          <c:showVal val="0"/>
          <c:showCatName val="0"/>
          <c:showSerName val="0"/>
          <c:showPercent val="0"/>
          <c:showBubbleSize val="0"/>
        </c:dLbls>
        <c:gapWidth val="60"/>
        <c:axId val="410396568"/>
        <c:axId val="410395784"/>
      </c:barChart>
      <c:valAx>
        <c:axId val="410395784"/>
        <c:scaling>
          <c:orientation val="minMax"/>
        </c:scaling>
        <c:delete val="0"/>
        <c:axPos val="l"/>
        <c:numFmt formatCode="0.0%"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bg2">
                    <a:lumMod val="25000"/>
                  </a:schemeClr>
                </a:solidFill>
                <a:latin typeface="Arial Narrow" panose="020B0606020202030204" pitchFamily="34" charset="0"/>
                <a:ea typeface="+mn-ea"/>
                <a:cs typeface="+mn-cs"/>
              </a:defRPr>
            </a:pPr>
            <a:endParaRPr lang="pt-BR"/>
          </a:p>
        </c:txPr>
        <c:crossAx val="410396568"/>
        <c:crosses val="autoZero"/>
        <c:crossBetween val="between"/>
      </c:valAx>
      <c:catAx>
        <c:axId val="4103965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bg2">
                    <a:lumMod val="25000"/>
                  </a:schemeClr>
                </a:solidFill>
                <a:latin typeface="Arial Narrow" panose="020B0606020202030204" pitchFamily="34" charset="0"/>
                <a:ea typeface="+mn-ea"/>
                <a:cs typeface="+mn-cs"/>
              </a:defRPr>
            </a:pPr>
            <a:endParaRPr lang="pt-BR"/>
          </a:p>
        </c:txPr>
        <c:crossAx val="410395784"/>
        <c:crosses val="autoZero"/>
        <c:auto val="1"/>
        <c:lblAlgn val="ctr"/>
        <c:lblOffset val="100"/>
        <c:noMultiLvlLbl val="0"/>
      </c:cat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solidFill>
            <a:schemeClr val="bg2">
              <a:lumMod val="25000"/>
            </a:schemeClr>
          </a:solidFill>
          <a:latin typeface="Arial Narrow" panose="020B0606020202030204" pitchFamily="34" charset="0"/>
        </a:defRPr>
      </a:pPr>
      <a:endParaRPr lang="pt-BR"/>
    </a:p>
  </c:txPr>
  <c:printSettings>
    <c:headerFooter/>
    <c:pageMargins b="0.78740157499999996" l="0.511811024" r="0.511811024" t="0.78740157499999996" header="0.31496062000000002" footer="0.31496062000000002"/>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8"/>
    </mc:Choice>
    <mc:Fallback>
      <c:style val="8"/>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050" b="0" i="0" u="none" strike="noStrike" kern="1200" cap="none" spc="20" baseline="0">
                <a:solidFill>
                  <a:schemeClr val="bg2">
                    <a:lumMod val="25000"/>
                  </a:schemeClr>
                </a:solidFill>
                <a:latin typeface="Arial Narrow" panose="020B0606020202030204" pitchFamily="34" charset="0"/>
                <a:ea typeface="+mn-ea"/>
                <a:cs typeface="+mn-cs"/>
              </a:defRPr>
            </a:pPr>
            <a:r>
              <a:rPr lang="pt-BR"/>
              <a:t>Relevância</a:t>
            </a:r>
            <a:r>
              <a:rPr lang="pt-BR" baseline="0"/>
              <a:t> das atividades de Pesquisa para a atuação profissional </a:t>
            </a:r>
            <a:endParaRPr lang="pt-BR"/>
          </a:p>
        </c:rich>
      </c:tx>
      <c:layout/>
      <c:overlay val="0"/>
      <c:spPr>
        <a:noFill/>
        <a:ln>
          <a:noFill/>
        </a:ln>
        <a:effectLst/>
      </c:spPr>
      <c:txPr>
        <a:bodyPr rot="0" spcFirstLastPara="1" vertOverflow="ellipsis" vert="horz" wrap="square" anchor="ctr" anchorCtr="1"/>
        <a:lstStyle/>
        <a:p>
          <a:pPr>
            <a:defRPr sz="1050" b="0" i="0" u="none" strike="noStrike" kern="1200" cap="none" spc="20" baseline="0">
              <a:solidFill>
                <a:schemeClr val="bg2">
                  <a:lumMod val="25000"/>
                </a:schemeClr>
              </a:solidFill>
              <a:latin typeface="Arial Narrow" panose="020B0606020202030204" pitchFamily="34" charset="0"/>
              <a:ea typeface="+mn-ea"/>
              <a:cs typeface="+mn-cs"/>
            </a:defRPr>
          </a:pPr>
          <a:endParaRPr lang="pt-BR"/>
        </a:p>
      </c:txPr>
    </c:title>
    <c:autoTitleDeleted val="0"/>
    <c:plotArea>
      <c:layout/>
      <c:barChart>
        <c:barDir val="col"/>
        <c:grouping val="clustered"/>
        <c:varyColors val="0"/>
        <c:ser>
          <c:idx val="2"/>
          <c:order val="0"/>
          <c:tx>
            <c:strRef>
              <c:f>AvalInst!$BX$31</c:f>
              <c:strCache>
                <c:ptCount val="1"/>
                <c:pt idx="0">
                  <c:v>Licenciatura em Química</c:v>
                </c:pt>
              </c:strCache>
            </c:strRef>
          </c:tx>
          <c:spPr>
            <a:solidFill>
              <a:srgbClr val="4472C4">
                <a:lumMod val="40000"/>
                <a:lumOff val="60000"/>
              </a:srgbClr>
            </a:solidFill>
            <a:ln w="9525" cap="flat" cmpd="sng" algn="ctr">
              <a:solidFill>
                <a:srgbClr val="4472C4">
                  <a:lumMod val="50000"/>
                </a:srgb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2">
                        <a:lumMod val="25000"/>
                      </a:schemeClr>
                    </a:solidFill>
                    <a:latin typeface="Arial Narrow" panose="020B0606020202030204" pitchFamily="34" charset="0"/>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val>
            <c:numRef>
              <c:f>AvalInst!$BX$32:$BX$36</c:f>
              <c:numCache>
                <c:formatCode>0.0%</c:formatCode>
                <c:ptCount val="5"/>
                <c:pt idx="0">
                  <c:v>9.0909090909090912E-2</c:v>
                </c:pt>
                <c:pt idx="1">
                  <c:v>4.5454545454545456E-2</c:v>
                </c:pt>
                <c:pt idx="2">
                  <c:v>0</c:v>
                </c:pt>
                <c:pt idx="3">
                  <c:v>0.13636363636363635</c:v>
                </c:pt>
                <c:pt idx="4">
                  <c:v>0.72727272727272729</c:v>
                </c:pt>
              </c:numCache>
            </c:numRef>
          </c:val>
          <c:extLst>
            <c:ext xmlns:c16="http://schemas.microsoft.com/office/drawing/2014/chart" uri="{C3380CC4-5D6E-409C-BE32-E72D297353CC}">
              <c16:uniqueId val="{00000000-6843-4399-AD29-0BEF37B25B8A}"/>
            </c:ext>
          </c:extLst>
        </c:ser>
        <c:dLbls>
          <c:showLegendKey val="0"/>
          <c:showVal val="0"/>
          <c:showCatName val="0"/>
          <c:showSerName val="0"/>
          <c:showPercent val="0"/>
          <c:showBubbleSize val="0"/>
        </c:dLbls>
        <c:gapWidth val="60"/>
        <c:axId val="411132392"/>
        <c:axId val="411139448"/>
      </c:barChart>
      <c:valAx>
        <c:axId val="411139448"/>
        <c:scaling>
          <c:orientation val="minMax"/>
        </c:scaling>
        <c:delete val="0"/>
        <c:axPos val="l"/>
        <c:numFmt formatCode="0.0%"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bg2">
                    <a:lumMod val="25000"/>
                  </a:schemeClr>
                </a:solidFill>
                <a:latin typeface="Arial Narrow" panose="020B0606020202030204" pitchFamily="34" charset="0"/>
                <a:ea typeface="+mn-ea"/>
                <a:cs typeface="+mn-cs"/>
              </a:defRPr>
            </a:pPr>
            <a:endParaRPr lang="pt-BR"/>
          </a:p>
        </c:txPr>
        <c:crossAx val="411132392"/>
        <c:crosses val="autoZero"/>
        <c:crossBetween val="between"/>
      </c:valAx>
      <c:catAx>
        <c:axId val="4111323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bg2">
                    <a:lumMod val="25000"/>
                  </a:schemeClr>
                </a:solidFill>
                <a:latin typeface="Arial Narrow" panose="020B0606020202030204" pitchFamily="34" charset="0"/>
                <a:ea typeface="+mn-ea"/>
                <a:cs typeface="+mn-cs"/>
              </a:defRPr>
            </a:pPr>
            <a:endParaRPr lang="pt-BR"/>
          </a:p>
        </c:txPr>
        <c:crossAx val="411139448"/>
        <c:crosses val="autoZero"/>
        <c:auto val="1"/>
        <c:lblAlgn val="ctr"/>
        <c:lblOffset val="100"/>
        <c:noMultiLvlLbl val="0"/>
      </c:cat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solidFill>
            <a:schemeClr val="bg2">
              <a:lumMod val="25000"/>
            </a:schemeClr>
          </a:solidFill>
          <a:latin typeface="Arial Narrow" panose="020B0606020202030204" pitchFamily="34" charset="0"/>
        </a:defRPr>
      </a:pPr>
      <a:endParaRPr lang="pt-BR"/>
    </a:p>
  </c:txPr>
  <c:printSettings>
    <c:headerFooter/>
    <c:pageMargins b="0.78740157499999996" l="0.511811024" r="0.511811024" t="0.78740157499999996" header="0.31496062000000002" footer="0.31496062000000002"/>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8"/>
    </mc:Choice>
    <mc:Fallback>
      <c:style val="8"/>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050" b="0" i="0" u="none" strike="noStrike" kern="1200" cap="none" spc="20" baseline="0">
                <a:solidFill>
                  <a:schemeClr val="bg2">
                    <a:lumMod val="25000"/>
                  </a:schemeClr>
                </a:solidFill>
                <a:latin typeface="Arial Narrow" panose="020B0606020202030204" pitchFamily="34" charset="0"/>
                <a:ea typeface="+mn-ea"/>
                <a:cs typeface="+mn-cs"/>
              </a:defRPr>
            </a:pPr>
            <a:r>
              <a:rPr lang="pt-BR"/>
              <a:t>Relevância das atividades de Extensão para a atuação profissional</a:t>
            </a:r>
            <a:r>
              <a:rPr lang="pt-BR" baseline="0"/>
              <a:t> atualmente</a:t>
            </a:r>
            <a:endParaRPr lang="pt-BR"/>
          </a:p>
        </c:rich>
      </c:tx>
      <c:layout/>
      <c:overlay val="0"/>
      <c:spPr>
        <a:noFill/>
        <a:ln>
          <a:noFill/>
        </a:ln>
        <a:effectLst/>
      </c:spPr>
      <c:txPr>
        <a:bodyPr rot="0" spcFirstLastPara="1" vertOverflow="ellipsis" vert="horz" wrap="square" anchor="ctr" anchorCtr="1"/>
        <a:lstStyle/>
        <a:p>
          <a:pPr>
            <a:defRPr sz="1050" b="0" i="0" u="none" strike="noStrike" kern="1200" cap="none" spc="20" baseline="0">
              <a:solidFill>
                <a:schemeClr val="bg2">
                  <a:lumMod val="25000"/>
                </a:schemeClr>
              </a:solidFill>
              <a:latin typeface="Arial Narrow" panose="020B0606020202030204" pitchFamily="34" charset="0"/>
              <a:ea typeface="+mn-ea"/>
              <a:cs typeface="+mn-cs"/>
            </a:defRPr>
          </a:pPr>
          <a:endParaRPr lang="pt-BR"/>
        </a:p>
      </c:txPr>
    </c:title>
    <c:autoTitleDeleted val="0"/>
    <c:plotArea>
      <c:layout/>
      <c:barChart>
        <c:barDir val="col"/>
        <c:grouping val="clustered"/>
        <c:varyColors val="0"/>
        <c:ser>
          <c:idx val="2"/>
          <c:order val="0"/>
          <c:tx>
            <c:strRef>
              <c:f>AvalInst!$CO$31</c:f>
              <c:strCache>
                <c:ptCount val="1"/>
                <c:pt idx="0">
                  <c:v>Tecnologia em Agroecologia</c:v>
                </c:pt>
              </c:strCache>
            </c:strRef>
          </c:tx>
          <c:spPr>
            <a:solidFill>
              <a:srgbClr val="4472C4">
                <a:lumMod val="40000"/>
                <a:lumOff val="60000"/>
              </a:srgbClr>
            </a:solidFill>
            <a:ln w="9525" cap="flat" cmpd="sng" algn="ctr">
              <a:solidFill>
                <a:srgbClr val="002060"/>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2">
                        <a:lumMod val="25000"/>
                      </a:schemeClr>
                    </a:solidFill>
                    <a:latin typeface="Arial Narrow" panose="020B0606020202030204" pitchFamily="34" charset="0"/>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val>
            <c:numRef>
              <c:f>AvalInst!$CO$32:$CO$36</c:f>
              <c:numCache>
                <c:formatCode>0.0%</c:formatCode>
                <c:ptCount val="5"/>
                <c:pt idx="0">
                  <c:v>0.14285714285714285</c:v>
                </c:pt>
                <c:pt idx="1">
                  <c:v>0</c:v>
                </c:pt>
                <c:pt idx="2">
                  <c:v>0</c:v>
                </c:pt>
                <c:pt idx="3">
                  <c:v>0.2857142857142857</c:v>
                </c:pt>
                <c:pt idx="4">
                  <c:v>0.5714285714285714</c:v>
                </c:pt>
              </c:numCache>
            </c:numRef>
          </c:val>
          <c:extLst>
            <c:ext xmlns:c16="http://schemas.microsoft.com/office/drawing/2014/chart" uri="{C3380CC4-5D6E-409C-BE32-E72D297353CC}">
              <c16:uniqueId val="{00000000-FC33-4D4D-A688-31E616E6896B}"/>
            </c:ext>
          </c:extLst>
        </c:ser>
        <c:dLbls>
          <c:showLegendKey val="0"/>
          <c:showVal val="0"/>
          <c:showCatName val="0"/>
          <c:showSerName val="0"/>
          <c:showPercent val="0"/>
          <c:showBubbleSize val="0"/>
        </c:dLbls>
        <c:gapWidth val="60"/>
        <c:axId val="411133568"/>
        <c:axId val="411133176"/>
      </c:barChart>
      <c:valAx>
        <c:axId val="411133176"/>
        <c:scaling>
          <c:orientation val="minMax"/>
        </c:scaling>
        <c:delete val="0"/>
        <c:axPos val="l"/>
        <c:numFmt formatCode="0.0%"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bg2">
                    <a:lumMod val="25000"/>
                  </a:schemeClr>
                </a:solidFill>
                <a:latin typeface="Arial Narrow" panose="020B0606020202030204" pitchFamily="34" charset="0"/>
                <a:ea typeface="+mn-ea"/>
                <a:cs typeface="+mn-cs"/>
              </a:defRPr>
            </a:pPr>
            <a:endParaRPr lang="pt-BR"/>
          </a:p>
        </c:txPr>
        <c:crossAx val="411133568"/>
        <c:crosses val="autoZero"/>
        <c:crossBetween val="between"/>
      </c:valAx>
      <c:catAx>
        <c:axId val="4111335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bg2">
                    <a:lumMod val="25000"/>
                  </a:schemeClr>
                </a:solidFill>
                <a:latin typeface="Arial Narrow" panose="020B0606020202030204" pitchFamily="34" charset="0"/>
                <a:ea typeface="+mn-ea"/>
                <a:cs typeface="+mn-cs"/>
              </a:defRPr>
            </a:pPr>
            <a:endParaRPr lang="pt-BR"/>
          </a:p>
        </c:txPr>
        <c:crossAx val="411133176"/>
        <c:crosses val="autoZero"/>
        <c:auto val="1"/>
        <c:lblAlgn val="ctr"/>
        <c:lblOffset val="100"/>
        <c:noMultiLvlLbl val="0"/>
      </c:cat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solidFill>
            <a:schemeClr val="bg2">
              <a:lumMod val="25000"/>
            </a:schemeClr>
          </a:solidFill>
          <a:latin typeface="Arial Narrow" panose="020B0606020202030204" pitchFamily="34" charset="0"/>
        </a:defRPr>
      </a:pPr>
      <a:endParaRPr lang="pt-BR"/>
    </a:p>
  </c:txPr>
  <c:printSettings>
    <c:headerFooter/>
    <c:pageMargins b="0.78740157499999996" l="0.511811024" r="0.511811024" t="0.78740157499999996" header="0.31496062000000002" footer="0.3149606200000000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8"/>
    </mc:Choice>
    <mc:Fallback>
      <c:style val="8"/>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cap="none" spc="20" baseline="0">
                <a:solidFill>
                  <a:schemeClr val="bg2">
                    <a:lumMod val="25000"/>
                  </a:schemeClr>
                </a:solidFill>
                <a:latin typeface="Arial Narrow" panose="020B0606020202030204" pitchFamily="34" charset="0"/>
                <a:ea typeface="+mn-ea"/>
                <a:cs typeface="+mn-cs"/>
              </a:defRPr>
            </a:pPr>
            <a:r>
              <a:rPr lang="pt-BR" sz="1200"/>
              <a:t>Tipos</a:t>
            </a:r>
            <a:r>
              <a:rPr lang="pt-BR" sz="1200" baseline="0"/>
              <a:t> de pós-graduação</a:t>
            </a:r>
            <a:endParaRPr lang="pt-BR" sz="1200"/>
          </a:p>
        </c:rich>
      </c:tx>
      <c:layout/>
      <c:overlay val="0"/>
      <c:spPr>
        <a:noFill/>
        <a:ln>
          <a:noFill/>
        </a:ln>
        <a:effectLst/>
      </c:spPr>
      <c:txPr>
        <a:bodyPr rot="0" spcFirstLastPara="1" vertOverflow="ellipsis" vert="horz" wrap="square" anchor="ctr" anchorCtr="1"/>
        <a:lstStyle/>
        <a:p>
          <a:pPr>
            <a:defRPr sz="1400" b="0" i="0" u="none" strike="noStrike" kern="1200" cap="none" spc="20" baseline="0">
              <a:solidFill>
                <a:schemeClr val="bg2">
                  <a:lumMod val="25000"/>
                </a:schemeClr>
              </a:solidFill>
              <a:latin typeface="Arial Narrow" panose="020B0606020202030204" pitchFamily="34" charset="0"/>
              <a:ea typeface="+mn-ea"/>
              <a:cs typeface="+mn-cs"/>
            </a:defRPr>
          </a:pPr>
          <a:endParaRPr lang="pt-BR"/>
        </a:p>
      </c:txPr>
    </c:title>
    <c:autoTitleDeleted val="0"/>
    <c:plotArea>
      <c:layout/>
      <c:barChart>
        <c:barDir val="col"/>
        <c:grouping val="clustered"/>
        <c:varyColors val="0"/>
        <c:ser>
          <c:idx val="0"/>
          <c:order val="0"/>
          <c:tx>
            <c:strRef>
              <c:f>ContEstudos!$K$8</c:f>
              <c:strCache>
                <c:ptCount val="1"/>
                <c:pt idx="0">
                  <c:v>%</c:v>
                </c:pt>
              </c:strCache>
            </c:strRef>
          </c:tx>
          <c:spPr>
            <a:gradFill rotWithShape="1">
              <a:gsLst>
                <a:gs pos="0">
                  <a:schemeClr val="accent6">
                    <a:tint val="77000"/>
                    <a:lumMod val="110000"/>
                    <a:satMod val="105000"/>
                    <a:tint val="67000"/>
                  </a:schemeClr>
                </a:gs>
                <a:gs pos="50000">
                  <a:schemeClr val="accent6">
                    <a:tint val="77000"/>
                    <a:lumMod val="105000"/>
                    <a:satMod val="103000"/>
                    <a:tint val="73000"/>
                  </a:schemeClr>
                </a:gs>
                <a:gs pos="100000">
                  <a:schemeClr val="accent6">
                    <a:tint val="77000"/>
                    <a:lumMod val="105000"/>
                    <a:satMod val="109000"/>
                    <a:tint val="81000"/>
                  </a:schemeClr>
                </a:gs>
              </a:gsLst>
              <a:lin ang="5400000" scaled="0"/>
            </a:gradFill>
            <a:ln w="9525" cap="flat" cmpd="sng" algn="ctr">
              <a:solidFill>
                <a:schemeClr val="accent6">
                  <a:tint val="77000"/>
                  <a:shade val="95000"/>
                </a:schemeClr>
              </a:solidFill>
              <a:round/>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bg2">
                        <a:lumMod val="25000"/>
                      </a:schemeClr>
                    </a:solidFill>
                    <a:latin typeface="Arial Narrow" panose="020B0606020202030204" pitchFamily="34" charset="0"/>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strRef>
              <c:f>ContEstudos!$I$9:$I$14</c:f>
              <c:strCache>
                <c:ptCount val="6"/>
                <c:pt idx="0">
                  <c:v>Especialização</c:v>
                </c:pt>
                <c:pt idx="1">
                  <c:v>MBA</c:v>
                </c:pt>
                <c:pt idx="2">
                  <c:v>Mestrado profissional</c:v>
                </c:pt>
                <c:pt idx="3">
                  <c:v>Mestrado acadêmico</c:v>
                </c:pt>
                <c:pt idx="4">
                  <c:v>Doutorado</c:v>
                </c:pt>
                <c:pt idx="5">
                  <c:v>Pós doutorado</c:v>
                </c:pt>
              </c:strCache>
            </c:strRef>
          </c:cat>
          <c:val>
            <c:numRef>
              <c:f>ContEstudos!$K$9:$K$14</c:f>
              <c:numCache>
                <c:formatCode>0.0%</c:formatCode>
                <c:ptCount val="6"/>
                <c:pt idx="0">
                  <c:v>0.5145631067961165</c:v>
                </c:pt>
                <c:pt idx="1">
                  <c:v>8.7378640776699032E-2</c:v>
                </c:pt>
                <c:pt idx="2">
                  <c:v>5.8252427184466021E-2</c:v>
                </c:pt>
                <c:pt idx="3">
                  <c:v>0.41747572815533979</c:v>
                </c:pt>
                <c:pt idx="4">
                  <c:v>8.7378640776699032E-2</c:v>
                </c:pt>
                <c:pt idx="5">
                  <c:v>0</c:v>
                </c:pt>
              </c:numCache>
            </c:numRef>
          </c:val>
          <c:extLst>
            <c:ext xmlns:c16="http://schemas.microsoft.com/office/drawing/2014/chart" uri="{C3380CC4-5D6E-409C-BE32-E72D297353CC}">
              <c16:uniqueId val="{00000000-345B-4901-85B6-69733227718F}"/>
            </c:ext>
          </c:extLst>
        </c:ser>
        <c:dLbls>
          <c:showLegendKey val="0"/>
          <c:showVal val="0"/>
          <c:showCatName val="0"/>
          <c:showSerName val="0"/>
          <c:showPercent val="0"/>
          <c:showBubbleSize val="0"/>
        </c:dLbls>
        <c:gapWidth val="219"/>
        <c:axId val="401205704"/>
        <c:axId val="401208056"/>
      </c:barChart>
      <c:valAx>
        <c:axId val="401208056"/>
        <c:scaling>
          <c:orientation val="minMax"/>
        </c:scaling>
        <c:delete val="0"/>
        <c:axPos val="l"/>
        <c:numFmt formatCode="0.0%"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bg2">
                    <a:lumMod val="25000"/>
                  </a:schemeClr>
                </a:solidFill>
                <a:latin typeface="Arial Narrow" panose="020B0606020202030204" pitchFamily="34" charset="0"/>
                <a:ea typeface="+mn-ea"/>
                <a:cs typeface="+mn-cs"/>
              </a:defRPr>
            </a:pPr>
            <a:endParaRPr lang="pt-BR"/>
          </a:p>
        </c:txPr>
        <c:crossAx val="401205704"/>
        <c:crosses val="autoZero"/>
        <c:crossBetween val="between"/>
      </c:valAx>
      <c:catAx>
        <c:axId val="4012057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bg2">
                    <a:lumMod val="25000"/>
                  </a:schemeClr>
                </a:solidFill>
                <a:latin typeface="Arial Narrow" panose="020B0606020202030204" pitchFamily="34" charset="0"/>
                <a:ea typeface="+mn-ea"/>
                <a:cs typeface="+mn-cs"/>
              </a:defRPr>
            </a:pPr>
            <a:endParaRPr lang="pt-BR"/>
          </a:p>
        </c:txPr>
        <c:crossAx val="401208056"/>
        <c:crosses val="autoZero"/>
        <c:auto val="1"/>
        <c:lblAlgn val="ctr"/>
        <c:lblOffset val="100"/>
        <c:noMultiLvlLbl val="0"/>
      </c:cat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solidFill>
            <a:schemeClr val="bg2">
              <a:lumMod val="25000"/>
            </a:schemeClr>
          </a:solidFill>
          <a:latin typeface="Arial Narrow" panose="020B0606020202030204" pitchFamily="34" charset="0"/>
        </a:defRPr>
      </a:pPr>
      <a:endParaRPr lang="pt-BR"/>
    </a:p>
  </c:txPr>
  <c:printSettings>
    <c:headerFooter/>
    <c:pageMargins b="0.78740157499999996" l="0.511811024" r="0.511811024" t="0.78740157499999996" header="0.31496062000000002" footer="0.31496062000000002"/>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8"/>
    </mc:Choice>
    <mc:Fallback>
      <c:style val="8"/>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200" b="0" i="0" u="none" strike="noStrike" kern="1200" cap="none" spc="20" baseline="0">
                <a:solidFill>
                  <a:schemeClr val="bg2">
                    <a:lumMod val="25000"/>
                  </a:schemeClr>
                </a:solidFill>
                <a:latin typeface="Arial Narrow" panose="020B0606020202030204" pitchFamily="34" charset="0"/>
                <a:ea typeface="+mn-ea"/>
                <a:cs typeface="+mn-cs"/>
              </a:defRPr>
            </a:pPr>
            <a:r>
              <a:rPr lang="pt-BR" sz="1200"/>
              <a:t>Relevância das ações de assistência estudantil para a conclusão da graduação no IFS</a:t>
            </a:r>
          </a:p>
        </c:rich>
      </c:tx>
      <c:layout/>
      <c:overlay val="0"/>
      <c:spPr>
        <a:noFill/>
        <a:ln>
          <a:noFill/>
        </a:ln>
        <a:effectLst/>
      </c:spPr>
      <c:txPr>
        <a:bodyPr rot="0" spcFirstLastPara="1" vertOverflow="ellipsis" vert="horz" wrap="square" anchor="ctr" anchorCtr="1"/>
        <a:lstStyle/>
        <a:p>
          <a:pPr>
            <a:defRPr sz="1200" b="0" i="0" u="none" strike="noStrike" kern="1200" cap="none" spc="20" baseline="0">
              <a:solidFill>
                <a:schemeClr val="bg2">
                  <a:lumMod val="25000"/>
                </a:schemeClr>
              </a:solidFill>
              <a:latin typeface="Arial Narrow" panose="020B0606020202030204" pitchFamily="34" charset="0"/>
              <a:ea typeface="+mn-ea"/>
              <a:cs typeface="+mn-cs"/>
            </a:defRPr>
          </a:pPr>
          <a:endParaRPr lang="pt-BR"/>
        </a:p>
      </c:txPr>
    </c:title>
    <c:autoTitleDeleted val="0"/>
    <c:plotArea>
      <c:layout/>
      <c:barChart>
        <c:barDir val="col"/>
        <c:grouping val="clustered"/>
        <c:varyColors val="0"/>
        <c:ser>
          <c:idx val="2"/>
          <c:order val="0"/>
          <c:tx>
            <c:strRef>
              <c:f>AvalInst!$DA$30</c:f>
              <c:strCache>
                <c:ptCount val="1"/>
                <c:pt idx="0">
                  <c:v>Tecnologia em Agroecologia</c:v>
                </c:pt>
              </c:strCache>
            </c:strRef>
          </c:tx>
          <c:spPr>
            <a:solidFill>
              <a:srgbClr val="4472C4">
                <a:lumMod val="40000"/>
                <a:lumOff val="60000"/>
              </a:srgbClr>
            </a:solidFill>
            <a:ln w="9525" cap="flat" cmpd="sng" algn="ctr">
              <a:solidFill>
                <a:srgbClr val="4472C4">
                  <a:lumMod val="50000"/>
                </a:srgb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2">
                        <a:lumMod val="25000"/>
                      </a:schemeClr>
                    </a:solidFill>
                    <a:latin typeface="Arial Narrow" panose="020B0606020202030204" pitchFamily="34" charset="0"/>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val>
            <c:numRef>
              <c:f>AvalInst!$DA$31:$DA$35</c:f>
              <c:numCache>
                <c:formatCode>0.0%</c:formatCode>
                <c:ptCount val="5"/>
                <c:pt idx="0">
                  <c:v>0</c:v>
                </c:pt>
                <c:pt idx="1">
                  <c:v>0</c:v>
                </c:pt>
                <c:pt idx="2">
                  <c:v>0</c:v>
                </c:pt>
                <c:pt idx="3">
                  <c:v>0.2</c:v>
                </c:pt>
                <c:pt idx="4">
                  <c:v>0.8</c:v>
                </c:pt>
              </c:numCache>
            </c:numRef>
          </c:val>
          <c:extLst>
            <c:ext xmlns:c16="http://schemas.microsoft.com/office/drawing/2014/chart" uri="{C3380CC4-5D6E-409C-BE32-E72D297353CC}">
              <c16:uniqueId val="{00000000-11AB-4053-B224-01F69CE5D34B}"/>
            </c:ext>
          </c:extLst>
        </c:ser>
        <c:dLbls>
          <c:showLegendKey val="0"/>
          <c:showVal val="0"/>
          <c:showCatName val="0"/>
          <c:showSerName val="0"/>
          <c:showPercent val="0"/>
          <c:showBubbleSize val="0"/>
        </c:dLbls>
        <c:gapWidth val="60"/>
        <c:axId val="411139056"/>
        <c:axId val="411132000"/>
      </c:barChart>
      <c:valAx>
        <c:axId val="411132000"/>
        <c:scaling>
          <c:orientation val="minMax"/>
        </c:scaling>
        <c:delete val="0"/>
        <c:axPos val="l"/>
        <c:numFmt formatCode="0.0%"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bg2">
                    <a:lumMod val="25000"/>
                  </a:schemeClr>
                </a:solidFill>
                <a:latin typeface="Arial Narrow" panose="020B0606020202030204" pitchFamily="34" charset="0"/>
                <a:ea typeface="+mn-ea"/>
                <a:cs typeface="+mn-cs"/>
              </a:defRPr>
            </a:pPr>
            <a:endParaRPr lang="pt-BR"/>
          </a:p>
        </c:txPr>
        <c:crossAx val="411139056"/>
        <c:crosses val="autoZero"/>
        <c:crossBetween val="between"/>
      </c:valAx>
      <c:catAx>
        <c:axId val="4111390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bg2">
                    <a:lumMod val="25000"/>
                  </a:schemeClr>
                </a:solidFill>
                <a:latin typeface="Arial Narrow" panose="020B0606020202030204" pitchFamily="34" charset="0"/>
                <a:ea typeface="+mn-ea"/>
                <a:cs typeface="+mn-cs"/>
              </a:defRPr>
            </a:pPr>
            <a:endParaRPr lang="pt-BR"/>
          </a:p>
        </c:txPr>
        <c:crossAx val="411132000"/>
        <c:crosses val="autoZero"/>
        <c:auto val="1"/>
        <c:lblAlgn val="ctr"/>
        <c:lblOffset val="100"/>
        <c:noMultiLvlLbl val="0"/>
      </c:cat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solidFill>
            <a:schemeClr val="bg2">
              <a:lumMod val="25000"/>
            </a:schemeClr>
          </a:solidFill>
          <a:latin typeface="Arial Narrow" panose="020B0606020202030204" pitchFamily="34" charset="0"/>
        </a:defRPr>
      </a:pPr>
      <a:endParaRPr lang="pt-BR"/>
    </a:p>
  </c:txPr>
  <c:printSettings>
    <c:headerFooter/>
    <c:pageMargins b="0.78740157499999996" l="0.511811024" r="0.511811024" t="0.78740157499999996" header="0.31496062000000002" footer="0.31496062000000002"/>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8"/>
    </mc:Choice>
    <mc:Fallback>
      <c:style val="8"/>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050" b="0" i="0" u="none" strike="noStrike" kern="1200" cap="none" spc="20" baseline="0">
                <a:solidFill>
                  <a:schemeClr val="bg2">
                    <a:lumMod val="25000"/>
                  </a:schemeClr>
                </a:solidFill>
                <a:latin typeface="Arial Narrow" panose="020B0606020202030204" pitchFamily="34" charset="0"/>
                <a:ea typeface="+mn-ea"/>
                <a:cs typeface="+mn-cs"/>
              </a:defRPr>
            </a:pPr>
            <a:r>
              <a:rPr lang="pt-BR"/>
              <a:t>Participação</a:t>
            </a:r>
            <a:r>
              <a:rPr lang="pt-BR" baseline="0"/>
              <a:t> em atividades de Pesquisa</a:t>
            </a:r>
            <a:endParaRPr lang="pt-BR"/>
          </a:p>
        </c:rich>
      </c:tx>
      <c:layout/>
      <c:overlay val="0"/>
      <c:spPr>
        <a:noFill/>
        <a:ln>
          <a:noFill/>
        </a:ln>
        <a:effectLst/>
      </c:spPr>
      <c:txPr>
        <a:bodyPr rot="0" spcFirstLastPara="1" vertOverflow="ellipsis" vert="horz" wrap="square" anchor="ctr" anchorCtr="1"/>
        <a:lstStyle/>
        <a:p>
          <a:pPr>
            <a:defRPr sz="1050" b="0" i="0" u="none" strike="noStrike" kern="1200" cap="none" spc="20" baseline="0">
              <a:solidFill>
                <a:schemeClr val="bg2">
                  <a:lumMod val="25000"/>
                </a:schemeClr>
              </a:solidFill>
              <a:latin typeface="Arial Narrow" panose="020B0606020202030204" pitchFamily="34" charset="0"/>
              <a:ea typeface="+mn-ea"/>
              <a:cs typeface="+mn-cs"/>
            </a:defRPr>
          </a:pPr>
          <a:endParaRPr lang="pt-BR"/>
        </a:p>
      </c:txPr>
    </c:title>
    <c:autoTitleDeleted val="0"/>
    <c:plotArea>
      <c:layout/>
      <c:barChart>
        <c:barDir val="col"/>
        <c:grouping val="clustered"/>
        <c:varyColors val="0"/>
        <c:ser>
          <c:idx val="2"/>
          <c:order val="0"/>
          <c:tx>
            <c:strRef>
              <c:f>AvalInst!$BR$39</c:f>
              <c:strCache>
                <c:ptCount val="1"/>
                <c:pt idx="0">
                  <c:v>%</c:v>
                </c:pt>
              </c:strCache>
            </c:strRef>
          </c:tx>
          <c:spPr>
            <a:solidFill>
              <a:srgbClr val="4472C4">
                <a:lumMod val="40000"/>
                <a:lumOff val="60000"/>
              </a:srgbClr>
            </a:solidFill>
            <a:ln w="9525" cap="flat" cmpd="sng" algn="ctr">
              <a:solidFill>
                <a:srgbClr val="4472C4">
                  <a:lumMod val="50000"/>
                </a:srgb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2">
                        <a:lumMod val="25000"/>
                      </a:schemeClr>
                    </a:solidFill>
                    <a:latin typeface="Arial Narrow" panose="020B0606020202030204" pitchFamily="34" charset="0"/>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strRef>
              <c:f>AvalInst!$BP$18:$BP$22</c:f>
              <c:strCache>
                <c:ptCount val="5"/>
                <c:pt idx="0">
                  <c:v>Grupos de pesquisa</c:v>
                </c:pt>
                <c:pt idx="1">
                  <c:v>Projetos de pesquisa</c:v>
                </c:pt>
                <c:pt idx="2">
                  <c:v>Publicações científicas</c:v>
                </c:pt>
                <c:pt idx="3">
                  <c:v>Eventos científicos</c:v>
                </c:pt>
                <c:pt idx="4">
                  <c:v>Outros</c:v>
                </c:pt>
              </c:strCache>
            </c:strRef>
          </c:cat>
          <c:val>
            <c:numRef>
              <c:f>AvalInst!$BR$40:$BR$43</c:f>
              <c:numCache>
                <c:formatCode>0.0%</c:formatCode>
                <c:ptCount val="4"/>
                <c:pt idx="0">
                  <c:v>0.625</c:v>
                </c:pt>
                <c:pt idx="1">
                  <c:v>0.75</c:v>
                </c:pt>
                <c:pt idx="2">
                  <c:v>0.3125</c:v>
                </c:pt>
                <c:pt idx="3">
                  <c:v>0.5</c:v>
                </c:pt>
              </c:numCache>
            </c:numRef>
          </c:val>
          <c:extLst>
            <c:ext xmlns:c16="http://schemas.microsoft.com/office/drawing/2014/chart" uri="{C3380CC4-5D6E-409C-BE32-E72D297353CC}">
              <c16:uniqueId val="{00000000-06CA-4007-9B67-A22F770A036E}"/>
            </c:ext>
          </c:extLst>
        </c:ser>
        <c:dLbls>
          <c:showLegendKey val="0"/>
          <c:showVal val="0"/>
          <c:showCatName val="0"/>
          <c:showSerName val="0"/>
          <c:showPercent val="0"/>
          <c:showBubbleSize val="0"/>
        </c:dLbls>
        <c:gapWidth val="60"/>
        <c:axId val="411135528"/>
        <c:axId val="410397744"/>
      </c:barChart>
      <c:valAx>
        <c:axId val="410397744"/>
        <c:scaling>
          <c:orientation val="minMax"/>
        </c:scaling>
        <c:delete val="0"/>
        <c:axPos val="l"/>
        <c:numFmt formatCode="0.0%"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bg2">
                    <a:lumMod val="25000"/>
                  </a:schemeClr>
                </a:solidFill>
                <a:latin typeface="Arial Narrow" panose="020B0606020202030204" pitchFamily="34" charset="0"/>
                <a:ea typeface="+mn-ea"/>
                <a:cs typeface="+mn-cs"/>
              </a:defRPr>
            </a:pPr>
            <a:endParaRPr lang="pt-BR"/>
          </a:p>
        </c:txPr>
        <c:crossAx val="411135528"/>
        <c:crosses val="autoZero"/>
        <c:crossBetween val="between"/>
      </c:valAx>
      <c:catAx>
        <c:axId val="4111355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bg2">
                    <a:lumMod val="25000"/>
                  </a:schemeClr>
                </a:solidFill>
                <a:latin typeface="Arial Narrow" panose="020B0606020202030204" pitchFamily="34" charset="0"/>
                <a:ea typeface="+mn-ea"/>
                <a:cs typeface="+mn-cs"/>
              </a:defRPr>
            </a:pPr>
            <a:endParaRPr lang="pt-BR"/>
          </a:p>
        </c:txPr>
        <c:crossAx val="410397744"/>
        <c:crosses val="autoZero"/>
        <c:auto val="1"/>
        <c:lblAlgn val="ctr"/>
        <c:lblOffset val="100"/>
        <c:noMultiLvlLbl val="0"/>
      </c:cat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solidFill>
            <a:schemeClr val="bg2">
              <a:lumMod val="25000"/>
            </a:schemeClr>
          </a:solidFill>
          <a:latin typeface="Arial Narrow" panose="020B0606020202030204" pitchFamily="34" charset="0"/>
        </a:defRPr>
      </a:pPr>
      <a:endParaRPr lang="pt-BR"/>
    </a:p>
  </c:txPr>
  <c:printSettings>
    <c:headerFooter/>
    <c:pageMargins b="0.78740157499999996" l="0.511811024" r="0.511811024" t="0.78740157499999996" header="0.31496062000000002" footer="0.3149606200000000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200" b="0" i="0" u="none" strike="noStrike" kern="1200" cap="none" spc="20" baseline="0">
                <a:solidFill>
                  <a:schemeClr val="bg2">
                    <a:lumMod val="25000"/>
                  </a:schemeClr>
                </a:solidFill>
                <a:latin typeface="Arial Narrow" panose="020B0606020202030204" pitchFamily="34" charset="0"/>
                <a:ea typeface="+mn-ea"/>
                <a:cs typeface="+mn-cs"/>
              </a:defRPr>
            </a:pPr>
            <a:r>
              <a:rPr lang="pt-BR" sz="1200"/>
              <a:t>Tipos</a:t>
            </a:r>
            <a:r>
              <a:rPr lang="pt-BR" sz="1200" baseline="0"/>
              <a:t> de pós-graduação</a:t>
            </a:r>
            <a:endParaRPr lang="pt-BR" sz="1200"/>
          </a:p>
        </c:rich>
      </c:tx>
      <c:layout/>
      <c:overlay val="0"/>
      <c:spPr>
        <a:noFill/>
        <a:ln>
          <a:noFill/>
        </a:ln>
        <a:effectLst/>
      </c:spPr>
      <c:txPr>
        <a:bodyPr rot="0" spcFirstLastPara="1" vertOverflow="ellipsis" vert="horz" wrap="square" anchor="ctr" anchorCtr="1"/>
        <a:lstStyle/>
        <a:p>
          <a:pPr>
            <a:defRPr sz="1200" b="0" i="0" u="none" strike="noStrike" kern="1200" cap="none" spc="20" baseline="0">
              <a:solidFill>
                <a:schemeClr val="bg2">
                  <a:lumMod val="25000"/>
                </a:schemeClr>
              </a:solidFill>
              <a:latin typeface="Arial Narrow" panose="020B0606020202030204" pitchFamily="34" charset="0"/>
              <a:ea typeface="+mn-ea"/>
              <a:cs typeface="+mn-cs"/>
            </a:defRPr>
          </a:pPr>
          <a:endParaRPr lang="pt-BR"/>
        </a:p>
      </c:txPr>
    </c:title>
    <c:autoTitleDeleted val="0"/>
    <c:plotArea>
      <c:layout/>
      <c:barChart>
        <c:barDir val="col"/>
        <c:grouping val="clustered"/>
        <c:varyColors val="0"/>
        <c:ser>
          <c:idx val="0"/>
          <c:order val="0"/>
          <c:tx>
            <c:strRef>
              <c:f>ContEstudos!$K$26</c:f>
              <c:strCache>
                <c:ptCount val="1"/>
                <c:pt idx="0">
                  <c:v>%</c:v>
                </c:pt>
              </c:strCache>
            </c:strRef>
          </c:tx>
          <c:spPr>
            <a:solidFill>
              <a:schemeClr val="accent5">
                <a:lumMod val="40000"/>
                <a:lumOff val="60000"/>
              </a:schemeClr>
            </a:solidFill>
            <a:ln w="9525" cap="flat" cmpd="sng" algn="ctr">
              <a:solidFill>
                <a:schemeClr val="accent5">
                  <a:lumMod val="50000"/>
                </a:schemeClr>
              </a:solidFill>
              <a:round/>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bg2">
                        <a:lumMod val="25000"/>
                      </a:schemeClr>
                    </a:solidFill>
                    <a:latin typeface="Arial Narrow" panose="020B0606020202030204" pitchFamily="34" charset="0"/>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strRef>
              <c:f>ContEstudos!$I$27:$I$32</c:f>
              <c:strCache>
                <c:ptCount val="6"/>
                <c:pt idx="0">
                  <c:v>Especialização</c:v>
                </c:pt>
                <c:pt idx="1">
                  <c:v>MBA</c:v>
                </c:pt>
                <c:pt idx="2">
                  <c:v>Mestrado profissional</c:v>
                </c:pt>
                <c:pt idx="3">
                  <c:v>Mestrado acadêmico</c:v>
                </c:pt>
                <c:pt idx="4">
                  <c:v>Doutorado</c:v>
                </c:pt>
                <c:pt idx="5">
                  <c:v>Pós doutorado</c:v>
                </c:pt>
              </c:strCache>
            </c:strRef>
          </c:cat>
          <c:val>
            <c:numRef>
              <c:f>ContEstudos!$K$27:$K$32</c:f>
              <c:numCache>
                <c:formatCode>0.0%</c:formatCode>
                <c:ptCount val="6"/>
                <c:pt idx="0">
                  <c:v>0.5</c:v>
                </c:pt>
                <c:pt idx="1">
                  <c:v>0.15</c:v>
                </c:pt>
                <c:pt idx="2">
                  <c:v>0.05</c:v>
                </c:pt>
                <c:pt idx="3">
                  <c:v>0.35</c:v>
                </c:pt>
                <c:pt idx="4">
                  <c:v>0.25</c:v>
                </c:pt>
                <c:pt idx="5">
                  <c:v>0</c:v>
                </c:pt>
              </c:numCache>
            </c:numRef>
          </c:val>
          <c:extLst>
            <c:ext xmlns:c16="http://schemas.microsoft.com/office/drawing/2014/chart" uri="{C3380CC4-5D6E-409C-BE32-E72D297353CC}">
              <c16:uniqueId val="{00000000-E1C5-4B8B-958B-399CB532E817}"/>
            </c:ext>
          </c:extLst>
        </c:ser>
        <c:dLbls>
          <c:showLegendKey val="0"/>
          <c:showVal val="0"/>
          <c:showCatName val="0"/>
          <c:showSerName val="0"/>
          <c:showPercent val="0"/>
          <c:showBubbleSize val="0"/>
        </c:dLbls>
        <c:gapWidth val="219"/>
        <c:axId val="404941944"/>
        <c:axId val="404938808"/>
      </c:barChart>
      <c:valAx>
        <c:axId val="404938808"/>
        <c:scaling>
          <c:orientation val="minMax"/>
        </c:scaling>
        <c:delete val="0"/>
        <c:axPos val="l"/>
        <c:numFmt formatCode="0.0%"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bg2">
                    <a:lumMod val="25000"/>
                  </a:schemeClr>
                </a:solidFill>
                <a:latin typeface="Arial Narrow" panose="020B0606020202030204" pitchFamily="34" charset="0"/>
                <a:ea typeface="+mn-ea"/>
                <a:cs typeface="+mn-cs"/>
              </a:defRPr>
            </a:pPr>
            <a:endParaRPr lang="pt-BR"/>
          </a:p>
        </c:txPr>
        <c:crossAx val="404941944"/>
        <c:crosses val="autoZero"/>
        <c:crossBetween val="between"/>
      </c:valAx>
      <c:catAx>
        <c:axId val="4049419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bg2">
                    <a:lumMod val="25000"/>
                  </a:schemeClr>
                </a:solidFill>
                <a:latin typeface="Arial Narrow" panose="020B0606020202030204" pitchFamily="34" charset="0"/>
                <a:ea typeface="+mn-ea"/>
                <a:cs typeface="+mn-cs"/>
              </a:defRPr>
            </a:pPr>
            <a:endParaRPr lang="pt-BR"/>
          </a:p>
        </c:txPr>
        <c:crossAx val="404938808"/>
        <c:crosses val="autoZero"/>
        <c:auto val="1"/>
        <c:lblAlgn val="ctr"/>
        <c:lblOffset val="100"/>
        <c:noMultiLvlLbl val="0"/>
      </c:cat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solidFill>
            <a:schemeClr val="bg2">
              <a:lumMod val="25000"/>
            </a:schemeClr>
          </a:solidFill>
          <a:latin typeface="Arial Narrow" panose="020B0606020202030204" pitchFamily="34" charset="0"/>
        </a:defRPr>
      </a:pPr>
      <a:endParaRPr lang="pt-BR"/>
    </a:p>
  </c:txPr>
  <c:printSettings>
    <c:headerFooter/>
    <c:pageMargins b="0.78740157499999996" l="0.511811024" r="0.511811024" t="0.78740157499999996" header="0.31496062000000002" footer="0.31496062000000002"/>
    <c:pageSetup/>
  </c:printSettings>
</c:chartSpace>
</file>

<file path=xl/charts/chart9.xml><?xml version="1.0" encoding="utf-8"?>
<cx:chartSpace xmlns:a="http://schemas.openxmlformats.org/drawingml/2006/main" xmlns:r="http://schemas.openxmlformats.org/officeDocument/2006/relationships" xmlns:cx="http://schemas.microsoft.com/office/drawing/2014/chartex">
  <cx:chartData>
    <cx:data id="0">
      <cx:strDim type="cat">
        <cx:f>_xlchart.3</cx:f>
      </cx:strDim>
      <cx:numDim type="size">
        <cx:f>_xlchart.5</cx:f>
      </cx:numDim>
    </cx:data>
  </cx:chartData>
  <cx:chart>
    <cx:title pos="t" align="ctr" overlay="0">
      <cx:tx>
        <cx:rich>
          <a:bodyPr spcFirstLastPara="1" vertOverflow="ellipsis" wrap="square" lIns="0" tIns="0" rIns="0" bIns="0" anchor="ctr" anchorCtr="1"/>
          <a:lstStyle/>
          <a:p>
            <a:pPr algn="ctr">
              <a:defRPr sz="1200"/>
            </a:pPr>
            <a:r>
              <a:rPr lang="pt-BR" sz="1200"/>
              <a:t>Motivações para cursar uma pós-graduação</a:t>
            </a:r>
            <a:endParaRPr lang="pt-BR"/>
          </a:p>
        </cx:rich>
      </cx:tx>
    </cx:title>
    <cx:plotArea>
      <cx:plotAreaRegion>
        <cx:series layoutId="treemap" uniqueId="{D837F02F-EC96-4B84-B79B-EE229303FF78}" formatIdx="0">
          <cx:tx>
            <cx:txData>
              <cx:f>_xlchart.4</cx:f>
              <cx:v>%</cx:v>
            </cx:txData>
          </cx:tx>
          <cx:dataLabels pos="inEnd">
            <cx:txPr>
              <a:bodyPr spcFirstLastPara="1" vertOverflow="ellipsis" wrap="square" lIns="0" tIns="0" rIns="0" bIns="0" anchor="ctr" anchorCtr="1">
                <a:spAutoFit/>
              </a:bodyPr>
              <a:lstStyle/>
              <a:p>
                <a:pPr>
                  <a:defRPr lang="pt-BR" sz="1000" b="1" i="0" u="none" strike="noStrike" kern="1200" baseline="0">
                    <a:solidFill>
                      <a:sysClr val="window" lastClr="FFFFFF"/>
                    </a:solidFill>
                    <a:latin typeface="Arial Narrow" panose="020B0606020202030204" pitchFamily="34" charset="0"/>
                    <a:ea typeface="Arial Narrow" panose="020B0606020202030204" pitchFamily="34" charset="0"/>
                    <a:cs typeface="Arial Narrow" panose="020B0606020202030204" pitchFamily="34" charset="0"/>
                  </a:defRPr>
                </a:pPr>
                <a:endParaRPr lang="pt-BR" sz="1000" b="1">
                  <a:latin typeface="Arial Narrow" panose="020B0606020202030204" pitchFamily="34" charset="0"/>
                </a:endParaRPr>
              </a:p>
            </cx:txPr>
            <cx:visibility seriesName="0" categoryName="1" value="1"/>
            <cx:separator>; </cx:separator>
          </cx:dataLabels>
          <cx:dataId val="0"/>
          <cx:layoutPr>
            <cx:parentLabelLayout val="overlapping"/>
          </cx:layoutPr>
        </cx:series>
      </cx:plotAreaRegion>
    </cx:plotArea>
  </cx:chart>
  <cx:spPr>
    <a:ln>
      <a:noFill/>
    </a:ln>
  </cx:spPr>
  <cx:clrMapOvr bg1="lt1" tx1="dk1" bg2="lt2" tx2="dk2" accent1="accent1" accent2="accent2" accent3="accent3" accent4="accent4" accent5="accent5" accent6="accent6" hlink="hlink" folHlink="folHlink"/>
</cx:chartSpace>
</file>

<file path=xl/charts/colors1.xml><?xml version="1.0" encoding="utf-8"?>
<cs:colorStyle xmlns:cs="http://schemas.microsoft.com/office/drawing/2012/chartStyle" xmlns:a="http://schemas.openxmlformats.org/drawingml/2006/main" meth="withinLinearReversed" id="26">
  <a:schemeClr val="accent6"/>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withinLinearReversed" id="26">
  <a:schemeClr val="accent6"/>
</cs:colorStyle>
</file>

<file path=xl/charts/colors12.xml><?xml version="1.0" encoding="utf-8"?>
<cs:colorStyle xmlns:cs="http://schemas.microsoft.com/office/drawing/2012/chartStyle" xmlns:a="http://schemas.openxmlformats.org/drawingml/2006/main" meth="withinLinearReversed" id="22">
  <a:schemeClr val="accent2"/>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withinLinearReversed" id="26">
  <a:schemeClr val="accent6"/>
</cs:colorStyle>
</file>

<file path=xl/charts/colors18.xml><?xml version="1.0" encoding="utf-8"?>
<cs:colorStyle xmlns:cs="http://schemas.microsoft.com/office/drawing/2012/chartStyle" xmlns:a="http://schemas.openxmlformats.org/drawingml/2006/main" meth="withinLinearReversed" id="26">
  <a:schemeClr val="accent6"/>
</cs:colorStyle>
</file>

<file path=xl/charts/colors19.xml><?xml version="1.0" encoding="utf-8"?>
<cs:colorStyle xmlns:cs="http://schemas.microsoft.com/office/drawing/2012/chartStyle" xmlns:a="http://schemas.openxmlformats.org/drawingml/2006/main" meth="withinLinearReversed" id="26">
  <a:schemeClr val="accent6"/>
</cs:colorStyle>
</file>

<file path=xl/charts/colors2.xml><?xml version="1.0" encoding="utf-8"?>
<cs:colorStyle xmlns:cs="http://schemas.microsoft.com/office/drawing/2012/chartStyle" xmlns:a="http://schemas.openxmlformats.org/drawingml/2006/main" meth="withinLinearReversed" id="26">
  <a:schemeClr val="accent6"/>
</cs:colorStyle>
</file>

<file path=xl/charts/colors20.xml><?xml version="1.0" encoding="utf-8"?>
<cs:colorStyle xmlns:cs="http://schemas.microsoft.com/office/drawing/2012/chartStyle" xmlns:a="http://schemas.openxmlformats.org/drawingml/2006/main" meth="withinLinearReversed" id="26">
  <a:schemeClr val="accent6"/>
</cs:colorStyle>
</file>

<file path=xl/charts/colors21.xml><?xml version="1.0" encoding="utf-8"?>
<cs:colorStyle xmlns:cs="http://schemas.microsoft.com/office/drawing/2012/chartStyle" xmlns:a="http://schemas.openxmlformats.org/drawingml/2006/main" meth="withinLinearReversed" id="26">
  <a:schemeClr val="accent6"/>
</cs:colorStyle>
</file>

<file path=xl/charts/colors22.xml><?xml version="1.0" encoding="utf-8"?>
<cs:colorStyle xmlns:cs="http://schemas.microsoft.com/office/drawing/2012/chartStyle" xmlns:a="http://schemas.openxmlformats.org/drawingml/2006/main" meth="withinLinearReversed" id="26">
  <a:schemeClr val="accent6"/>
</cs:colorStyle>
</file>

<file path=xl/charts/colors23.xml><?xml version="1.0" encoding="utf-8"?>
<cs:colorStyle xmlns:cs="http://schemas.microsoft.com/office/drawing/2012/chartStyle" xmlns:a="http://schemas.openxmlformats.org/drawingml/2006/main" meth="withinLinearReversed" id="26">
  <a:schemeClr val="accent6"/>
</cs:colorStyle>
</file>

<file path=xl/charts/colors24.xml><?xml version="1.0" encoding="utf-8"?>
<cs:colorStyle xmlns:cs="http://schemas.microsoft.com/office/drawing/2012/chartStyle" xmlns:a="http://schemas.openxmlformats.org/drawingml/2006/main" meth="withinLinearReversed" id="26">
  <a:schemeClr val="accent6"/>
</cs:colorStyle>
</file>

<file path=xl/charts/colors25.xml><?xml version="1.0" encoding="utf-8"?>
<cs:colorStyle xmlns:cs="http://schemas.microsoft.com/office/drawing/2012/chartStyle" xmlns:a="http://schemas.openxmlformats.org/drawingml/2006/main" meth="withinLinearReversed" id="26">
  <a:schemeClr val="accent6"/>
</cs:colorStyle>
</file>

<file path=xl/charts/colors26.xml><?xml version="1.0" encoding="utf-8"?>
<cs:colorStyle xmlns:cs="http://schemas.microsoft.com/office/drawing/2012/chartStyle" xmlns:a="http://schemas.openxmlformats.org/drawingml/2006/main" meth="withinLinearReversed" id="26">
  <a:schemeClr val="accent6"/>
</cs:colorStyle>
</file>

<file path=xl/charts/colors27.xml><?xml version="1.0" encoding="utf-8"?>
<cs:colorStyle xmlns:cs="http://schemas.microsoft.com/office/drawing/2012/chartStyle" xmlns:a="http://schemas.openxmlformats.org/drawingml/2006/main" meth="withinLinearReversed" id="26">
  <a:schemeClr val="accent6"/>
</cs:colorStyle>
</file>

<file path=xl/charts/colors28.xml><?xml version="1.0" encoding="utf-8"?>
<cs:colorStyle xmlns:cs="http://schemas.microsoft.com/office/drawing/2012/chartStyle" xmlns:a="http://schemas.openxmlformats.org/drawingml/2006/main" meth="withinLinearReversed" id="26">
  <a:schemeClr val="accent6"/>
</cs:colorStyle>
</file>

<file path=xl/charts/colors29.xml><?xml version="1.0" encoding="utf-8"?>
<cs:colorStyle xmlns:cs="http://schemas.microsoft.com/office/drawing/2012/chartStyle" xmlns:a="http://schemas.openxmlformats.org/drawingml/2006/main" meth="withinLinearReversed" id="26">
  <a:schemeClr val="accent6"/>
</cs:colorStyle>
</file>

<file path=xl/charts/colors3.xml><?xml version="1.0" encoding="utf-8"?>
<cs:colorStyle xmlns:cs="http://schemas.microsoft.com/office/drawing/2012/chartStyle" xmlns:a="http://schemas.openxmlformats.org/drawingml/2006/main" meth="withinLinearReversed" id="26">
  <a:schemeClr val="accent6"/>
</cs:colorStyle>
</file>

<file path=xl/charts/colors30.xml><?xml version="1.0" encoding="utf-8"?>
<cs:colorStyle xmlns:cs="http://schemas.microsoft.com/office/drawing/2012/chartStyle" xmlns:a="http://schemas.openxmlformats.org/drawingml/2006/main" meth="withinLinearReversed" id="26">
  <a:schemeClr val="accent6"/>
</cs:colorStyle>
</file>

<file path=xl/charts/colors31.xml><?xml version="1.0" encoding="utf-8"?>
<cs:colorStyle xmlns:cs="http://schemas.microsoft.com/office/drawing/2012/chartStyle" xmlns:a="http://schemas.openxmlformats.org/drawingml/2006/main" meth="withinLinearReversed" id="26">
  <a:schemeClr val="accent6"/>
</cs:colorStyle>
</file>

<file path=xl/charts/colors32.xml><?xml version="1.0" encoding="utf-8"?>
<cs:colorStyle xmlns:cs="http://schemas.microsoft.com/office/drawing/2012/chartStyle" xmlns:a="http://schemas.openxmlformats.org/drawingml/2006/main" meth="withinLinearReversed" id="26">
  <a:schemeClr val="accent6"/>
</cs:colorStyle>
</file>

<file path=xl/charts/colors33.xml><?xml version="1.0" encoding="utf-8"?>
<cs:colorStyle xmlns:cs="http://schemas.microsoft.com/office/drawing/2012/chartStyle" xmlns:a="http://schemas.openxmlformats.org/drawingml/2006/main" meth="withinLinearReversed" id="26">
  <a:schemeClr val="accent6"/>
</cs:colorStyle>
</file>

<file path=xl/charts/colors34.xml><?xml version="1.0" encoding="utf-8"?>
<cs:colorStyle xmlns:cs="http://schemas.microsoft.com/office/drawing/2012/chartStyle" xmlns:a="http://schemas.openxmlformats.org/drawingml/2006/main" meth="withinLinearReversed" id="26">
  <a:schemeClr val="accent6"/>
</cs:colorStyle>
</file>

<file path=xl/charts/colors35.xml><?xml version="1.0" encoding="utf-8"?>
<cs:colorStyle xmlns:cs="http://schemas.microsoft.com/office/drawing/2012/chartStyle" xmlns:a="http://schemas.openxmlformats.org/drawingml/2006/main" meth="withinLinearReversed" id="26">
  <a:schemeClr val="accent6"/>
</cs:colorStyle>
</file>

<file path=xl/charts/colors36.xml><?xml version="1.0" encoding="utf-8"?>
<cs:colorStyle xmlns:cs="http://schemas.microsoft.com/office/drawing/2012/chartStyle" xmlns:a="http://schemas.openxmlformats.org/drawingml/2006/main" meth="withinLinearReversed" id="26">
  <a:schemeClr val="accent6"/>
</cs:colorStyle>
</file>

<file path=xl/charts/colors37.xml><?xml version="1.0" encoding="utf-8"?>
<cs:colorStyle xmlns:cs="http://schemas.microsoft.com/office/drawing/2012/chartStyle" xmlns:a="http://schemas.openxmlformats.org/drawingml/2006/main" meth="withinLinearReversed" id="26">
  <a:schemeClr val="accent6"/>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withinLinearReversed" id="26">
  <a:schemeClr val="accent6"/>
</cs:colorStyle>
</file>

<file path=xl/charts/colors40.xml><?xml version="1.0" encoding="utf-8"?>
<cs:colorStyle xmlns:cs="http://schemas.microsoft.com/office/drawing/2012/chartStyle" xmlns:a="http://schemas.openxmlformats.org/drawingml/2006/main" meth="withinLinearReversed" id="26">
  <a:schemeClr val="accent6"/>
</cs:colorStyle>
</file>

<file path=xl/charts/colors41.xml><?xml version="1.0" encoding="utf-8"?>
<cs:colorStyle xmlns:cs="http://schemas.microsoft.com/office/drawing/2012/chartStyle" xmlns:a="http://schemas.openxmlformats.org/drawingml/2006/main" meth="withinLinearReversed" id="26">
  <a:schemeClr val="accent6"/>
</cs:colorStyle>
</file>

<file path=xl/charts/colors42.xml><?xml version="1.0" encoding="utf-8"?>
<cs:colorStyle xmlns:cs="http://schemas.microsoft.com/office/drawing/2012/chartStyle" xmlns:a="http://schemas.openxmlformats.org/drawingml/2006/main" meth="withinLinearReversed" id="26">
  <a:schemeClr val="accent6"/>
</cs:colorStyle>
</file>

<file path=xl/charts/colors43.xml><?xml version="1.0" encoding="utf-8"?>
<cs:colorStyle xmlns:cs="http://schemas.microsoft.com/office/drawing/2012/chartStyle" xmlns:a="http://schemas.openxmlformats.org/drawingml/2006/main" meth="withinLinearReversed" id="26">
  <a:schemeClr val="accent6"/>
</cs:colorStyle>
</file>

<file path=xl/charts/colors44.xml><?xml version="1.0" encoding="utf-8"?>
<cs:colorStyle xmlns:cs="http://schemas.microsoft.com/office/drawing/2012/chartStyle" xmlns:a="http://schemas.openxmlformats.org/drawingml/2006/main" meth="withinLinearReversed" id="26">
  <a:schemeClr val="accent6"/>
</cs:colorStyle>
</file>

<file path=xl/charts/colors45.xml><?xml version="1.0" encoding="utf-8"?>
<cs:colorStyle xmlns:cs="http://schemas.microsoft.com/office/drawing/2012/chartStyle" xmlns:a="http://schemas.openxmlformats.org/drawingml/2006/main" meth="withinLinearReversed" id="26">
  <a:schemeClr val="accent6"/>
</cs:colorStyle>
</file>

<file path=xl/charts/colors46.xml><?xml version="1.0" encoding="utf-8"?>
<cs:colorStyle xmlns:cs="http://schemas.microsoft.com/office/drawing/2012/chartStyle" xmlns:a="http://schemas.openxmlformats.org/drawingml/2006/main" meth="withinLinearReversed" id="26">
  <a:schemeClr val="accent6"/>
</cs:colorStyle>
</file>

<file path=xl/charts/colors47.xml><?xml version="1.0" encoding="utf-8"?>
<cs:colorStyle xmlns:cs="http://schemas.microsoft.com/office/drawing/2012/chartStyle" xmlns:a="http://schemas.openxmlformats.org/drawingml/2006/main" meth="withinLinearReversed" id="26">
  <a:schemeClr val="accent6"/>
</cs:colorStyle>
</file>

<file path=xl/charts/colors48.xml><?xml version="1.0" encoding="utf-8"?>
<cs:colorStyle xmlns:cs="http://schemas.microsoft.com/office/drawing/2012/chartStyle" xmlns:a="http://schemas.openxmlformats.org/drawingml/2006/main" meth="withinLinearReversed" id="26">
  <a:schemeClr val="accent6"/>
</cs:colorStyle>
</file>

<file path=xl/charts/colors49.xml><?xml version="1.0" encoding="utf-8"?>
<cs:colorStyle xmlns:cs="http://schemas.microsoft.com/office/drawing/2012/chartStyle" xmlns:a="http://schemas.openxmlformats.org/drawingml/2006/main" meth="withinLinearReversed" id="26">
  <a:schemeClr val="accent6"/>
</cs:colorStyle>
</file>

<file path=xl/charts/colors5.xml><?xml version="1.0" encoding="utf-8"?>
<cs:colorStyle xmlns:cs="http://schemas.microsoft.com/office/drawing/2012/chartStyle" xmlns:a="http://schemas.openxmlformats.org/drawingml/2006/main" meth="withinLinearReversed" id="26">
  <a:schemeClr val="accent6"/>
</cs:colorStyle>
</file>

<file path=xl/charts/colors50.xml><?xml version="1.0" encoding="utf-8"?>
<cs:colorStyle xmlns:cs="http://schemas.microsoft.com/office/drawing/2012/chartStyle" xmlns:a="http://schemas.openxmlformats.org/drawingml/2006/main" meth="withinLinearReversed" id="26">
  <a:schemeClr val="accent6"/>
</cs:colorStyle>
</file>

<file path=xl/charts/colors51.xml><?xml version="1.0" encoding="utf-8"?>
<cs:colorStyle xmlns:cs="http://schemas.microsoft.com/office/drawing/2012/chartStyle" xmlns:a="http://schemas.openxmlformats.org/drawingml/2006/main" meth="withinLinearReversed" id="26">
  <a:schemeClr val="accent6"/>
</cs:colorStyle>
</file>

<file path=xl/charts/colors52.xml><?xml version="1.0" encoding="utf-8"?>
<cs:colorStyle xmlns:cs="http://schemas.microsoft.com/office/drawing/2012/chartStyle" xmlns:a="http://schemas.openxmlformats.org/drawingml/2006/main" meth="withinLinearReversed" id="26">
  <a:schemeClr val="accent6"/>
</cs:colorStyle>
</file>

<file path=xl/charts/colors53.xml><?xml version="1.0" encoding="utf-8"?>
<cs:colorStyle xmlns:cs="http://schemas.microsoft.com/office/drawing/2012/chartStyle" xmlns:a="http://schemas.openxmlformats.org/drawingml/2006/main" meth="withinLinearReversed" id="26">
  <a:schemeClr val="accent6"/>
</cs:colorStyle>
</file>

<file path=xl/charts/colors54.xml><?xml version="1.0" encoding="utf-8"?>
<cs:colorStyle xmlns:cs="http://schemas.microsoft.com/office/drawing/2012/chartStyle" xmlns:a="http://schemas.openxmlformats.org/drawingml/2006/main" meth="withinLinearReversed" id="26">
  <a:schemeClr val="accent6"/>
</cs:colorStyle>
</file>

<file path=xl/charts/colors55.xml><?xml version="1.0" encoding="utf-8"?>
<cs:colorStyle xmlns:cs="http://schemas.microsoft.com/office/drawing/2012/chartStyle" xmlns:a="http://schemas.openxmlformats.org/drawingml/2006/main" meth="withinLinearReversed" id="26">
  <a:schemeClr val="accent6"/>
</cs:colorStyle>
</file>

<file path=xl/charts/colors56.xml><?xml version="1.0" encoding="utf-8"?>
<cs:colorStyle xmlns:cs="http://schemas.microsoft.com/office/drawing/2012/chartStyle" xmlns:a="http://schemas.openxmlformats.org/drawingml/2006/main" meth="withinLinearReversed" id="26">
  <a:schemeClr val="accent6"/>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withinLinearReversed" id="26">
  <a:schemeClr val="accent6"/>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withinLinear" id="18">
  <a:schemeClr val="accent5"/>
</cs:colorStyle>
</file>

<file path=xl/charts/colors60.xml><?xml version="1.0" encoding="utf-8"?>
<cs:colorStyle xmlns:cs="http://schemas.microsoft.com/office/drawing/2012/chartStyle" xmlns:a="http://schemas.openxmlformats.org/drawingml/2006/main" meth="withinLinearReversed" id="26">
  <a:schemeClr val="accent6"/>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withinLinearReversed" id="26">
  <a:schemeClr val="accent6"/>
</cs:colorStyle>
</file>

<file path=xl/charts/colors63.xml><?xml version="1.0" encoding="utf-8"?>
<cs:colorStyle xmlns:cs="http://schemas.microsoft.com/office/drawing/2012/chartStyle" xmlns:a="http://schemas.openxmlformats.org/drawingml/2006/main" meth="withinLinearReversed" id="26">
  <a:schemeClr val="accent6"/>
</cs:colorStyle>
</file>

<file path=xl/charts/colors64.xml><?xml version="1.0" encoding="utf-8"?>
<cs:colorStyle xmlns:cs="http://schemas.microsoft.com/office/drawing/2012/chartStyle" xmlns:a="http://schemas.openxmlformats.org/drawingml/2006/main" meth="withinLinearReversed" id="26">
  <a:schemeClr val="accent6"/>
</cs:colorStyle>
</file>

<file path=xl/charts/colors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xml><?xml version="1.0" encoding="utf-8"?>
<cs:colorStyle xmlns:cs="http://schemas.microsoft.com/office/drawing/2012/chartStyle" xmlns:a="http://schemas.openxmlformats.org/drawingml/2006/main" meth="withinLinearReversed" id="26">
  <a:schemeClr val="accent6"/>
</cs:colorStyle>
</file>

<file path=xl/charts/colors67.xml><?xml version="1.0" encoding="utf-8"?>
<cs:colorStyle xmlns:cs="http://schemas.microsoft.com/office/drawing/2012/chartStyle" xmlns:a="http://schemas.openxmlformats.org/drawingml/2006/main" meth="withinLinear" id="15">
  <a:schemeClr val="accent2"/>
</cs:colorStyle>
</file>

<file path=xl/charts/colors68.xml><?xml version="1.0" encoding="utf-8"?>
<cs:colorStyle xmlns:cs="http://schemas.microsoft.com/office/drawing/2012/chartStyle" xmlns:a="http://schemas.openxmlformats.org/drawingml/2006/main" meth="withinLinearReversed" id="26">
  <a:schemeClr val="accent6"/>
</cs:colorStyle>
</file>

<file path=xl/charts/colors69.xml><?xml version="1.0" encoding="utf-8"?>
<cs:colorStyle xmlns:cs="http://schemas.microsoft.com/office/drawing/2012/chartStyle" xmlns:a="http://schemas.openxmlformats.org/drawingml/2006/main" meth="withinLinearReversed" id="26">
  <a:schemeClr val="accent6"/>
</cs:colorStyle>
</file>

<file path=xl/charts/colors7.xml><?xml version="1.0" encoding="utf-8"?>
<cs:colorStyle xmlns:cs="http://schemas.microsoft.com/office/drawing/2012/chartStyle" xmlns:a="http://schemas.openxmlformats.org/drawingml/2006/main" meth="withinLinearReversed" id="26">
  <a:schemeClr val="accent6"/>
</cs:colorStyle>
</file>

<file path=xl/charts/colors70.xml><?xml version="1.0" encoding="utf-8"?>
<cs:colorStyle xmlns:cs="http://schemas.microsoft.com/office/drawing/2012/chartStyle" xmlns:a="http://schemas.openxmlformats.org/drawingml/2006/main" meth="withinLinearReversed" id="26">
  <a:schemeClr val="accent6"/>
</cs:colorStyle>
</file>

<file path=xl/charts/colors71.xml><?xml version="1.0" encoding="utf-8"?>
<cs:colorStyle xmlns:cs="http://schemas.microsoft.com/office/drawing/2012/chartStyle" xmlns:a="http://schemas.openxmlformats.org/drawingml/2006/main" meth="withinLinearReversed" id="26">
  <a:schemeClr val="accent6"/>
</cs:colorStyle>
</file>

<file path=xl/charts/colors8.xml><?xml version="1.0" encoding="utf-8"?>
<cs:colorStyle xmlns:cs="http://schemas.microsoft.com/office/drawing/2012/chartStyle" xmlns:a="http://schemas.openxmlformats.org/drawingml/2006/main" meth="withinLinearReversed" id="22">
  <a:schemeClr val="accent2"/>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25">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5"/>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75000"/>
            <a:lumOff val="25000"/>
          </a:schemeClr>
        </a:solidFill>
      </a:ln>
    </cs:spPr>
  </cs:downBar>
  <cs:dropLine>
    <cs:lnRef idx="0"/>
    <cs:fillRef idx="0"/>
    <cs:effectRef idx="0"/>
    <cs:fontRef idx="minor">
      <a:schemeClr val="dk1"/>
    </cs:fontRef>
    <cs:spPr>
      <a:ln w="9525">
        <a:solidFill>
          <a:schemeClr val="tx1">
            <a:lumMod val="75000"/>
            <a:lumOff val="25000"/>
          </a:schemeClr>
        </a:solidFill>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75000"/>
            <a:lumOff val="25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10.xml><?xml version="1.0" encoding="utf-8"?>
<cs:chartStyle xmlns:cs="http://schemas.microsoft.com/office/drawing/2012/chartStyle" xmlns:a="http://schemas.openxmlformats.org/drawingml/2006/main" id="410">
  <cs:axisTitle>
    <cs:lnRef idx="0"/>
    <cs:fillRef idx="0"/>
    <cs:effectRef idx="0"/>
    <cs:fontRef idx="minor">
      <a:schemeClr val="tx1">
        <a:lumMod val="65000"/>
        <a:lumOff val="35000"/>
      </a:schemeClr>
    </cs:fontRef>
    <cs:spPr>
      <a:solidFill>
        <a:schemeClr val="bg1">
          <a:lumMod val="65000"/>
        </a:schemeClr>
      </a:solidFill>
      <a:ln w="19050">
        <a:solidFill>
          <a:schemeClr val="bg1"/>
        </a:solidFill>
      </a:ln>
    </cs:spPr>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bg1"/>
    </cs:fontRef>
    <cs:defRPr sz="900" kern="1200"/>
    <cs:bodyPr lIns="38100" tIns="19050" rIns="38100" bIns="19050">
      <a:spAutoFit/>
    </cs:bodyPr>
  </cs:dataLabel>
  <cs:dataLabelCallout>
    <cs:lnRef idx="0"/>
    <cs:fillRef idx="0"/>
    <cs:effectRef idx="0"/>
    <cs:fontRef idx="minor">
      <a:schemeClr val="tx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defRPr sz="900"/>
  </cs:dataTable>
  <cs:downBar>
    <cs:lnRef idx="0"/>
    <cs:fillRef idx="0"/>
    <cs:effectRef idx="0"/>
    <cs:fontRef idx="minor">
      <a:schemeClr val="tx1"/>
    </cs:fontRef>
    <cs:spPr>
      <a:solidFill>
        <a:schemeClr val="dk1"/>
      </a:solidFill>
    </cs:spPr>
  </cs:downBar>
  <cs:dropLine>
    <cs:lnRef idx="0"/>
    <cs:fillRef idx="0"/>
    <cs:effectRef idx="0"/>
    <cs:fontRef idx="minor">
      <a:schemeClr val="tx1"/>
    </cs:fontRef>
  </cs:dropLine>
  <cs:errorBar>
    <cs:lnRef idx="0"/>
    <cs:fillRef idx="0"/>
    <cs:effectRef idx="0"/>
    <cs:fontRef idx="minor">
      <a:schemeClr val="tx1"/>
    </cs:fontRef>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lumOff val="10000"/>
          </a:schemeClr>
        </a:solidFill>
        <a:round/>
      </a:ln>
    </cs:spPr>
  </cs:gridlineMinor>
  <cs:hiLoLine>
    <cs:lnRef idx="0"/>
    <cs:fillRef idx="0"/>
    <cs:effectRef idx="0"/>
    <cs:fontRef idx="minor">
      <a:schemeClr val="tx1"/>
    </cs:fontRef>
  </cs:hiLoLine>
  <cs:leaderLine>
    <cs:lnRef idx="0"/>
    <cs:fillRef idx="0"/>
    <cs:effectRef idx="0"/>
    <cs:fontRef idx="minor">
      <a:schemeClr val="tx1"/>
    </cs:fontRef>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tx1"/>
    </cs:fontRef>
    <cs:spPr>
      <a:solidFill>
        <a:schemeClr val="lt1"/>
      </a:solidFill>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11.xml><?xml version="1.0" encoding="utf-8"?>
<cs:chartStyle xmlns:cs="http://schemas.microsoft.com/office/drawing/2012/chartStyle" xmlns:a="http://schemas.openxmlformats.org/drawingml/2006/main" id="325">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5"/>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75000"/>
            <a:lumOff val="25000"/>
          </a:schemeClr>
        </a:solidFill>
      </a:ln>
    </cs:spPr>
  </cs:downBar>
  <cs:dropLine>
    <cs:lnRef idx="0"/>
    <cs:fillRef idx="0"/>
    <cs:effectRef idx="0"/>
    <cs:fontRef idx="minor">
      <a:schemeClr val="dk1"/>
    </cs:fontRef>
    <cs:spPr>
      <a:ln w="9525">
        <a:solidFill>
          <a:schemeClr val="tx1">
            <a:lumMod val="75000"/>
            <a:lumOff val="25000"/>
          </a:schemeClr>
        </a:solidFill>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75000"/>
            <a:lumOff val="25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12.xml><?xml version="1.0" encoding="utf-8"?>
<cs:chartStyle xmlns:cs="http://schemas.microsoft.com/office/drawing/2012/chartStyle" xmlns:a="http://schemas.openxmlformats.org/drawingml/2006/main" id="325">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5"/>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75000"/>
            <a:lumOff val="25000"/>
          </a:schemeClr>
        </a:solidFill>
      </a:ln>
    </cs:spPr>
  </cs:downBar>
  <cs:dropLine>
    <cs:lnRef idx="0"/>
    <cs:fillRef idx="0"/>
    <cs:effectRef idx="0"/>
    <cs:fontRef idx="minor">
      <a:schemeClr val="dk1"/>
    </cs:fontRef>
    <cs:spPr>
      <a:ln w="9525">
        <a:solidFill>
          <a:schemeClr val="tx1">
            <a:lumMod val="75000"/>
            <a:lumOff val="25000"/>
          </a:schemeClr>
        </a:solidFill>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75000"/>
            <a:lumOff val="25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13.xml><?xml version="1.0" encoding="utf-8"?>
<cs:chartStyle xmlns:cs="http://schemas.microsoft.com/office/drawing/2012/chartStyle" xmlns:a="http://schemas.openxmlformats.org/drawingml/2006/main" id="410">
  <cs:axisTitle>
    <cs:lnRef idx="0"/>
    <cs:fillRef idx="0"/>
    <cs:effectRef idx="0"/>
    <cs:fontRef idx="minor">
      <a:schemeClr val="tx1">
        <a:lumMod val="65000"/>
        <a:lumOff val="35000"/>
      </a:schemeClr>
    </cs:fontRef>
    <cs:spPr>
      <a:solidFill>
        <a:schemeClr val="bg1">
          <a:lumMod val="65000"/>
        </a:schemeClr>
      </a:solidFill>
      <a:ln w="19050">
        <a:solidFill>
          <a:schemeClr val="bg1"/>
        </a:solidFill>
      </a:ln>
    </cs:spPr>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bg1"/>
    </cs:fontRef>
    <cs:defRPr sz="900" kern="1200"/>
    <cs:bodyPr lIns="38100" tIns="19050" rIns="38100" bIns="19050">
      <a:spAutoFit/>
    </cs:bodyPr>
  </cs:dataLabel>
  <cs:dataLabelCallout>
    <cs:lnRef idx="0"/>
    <cs:fillRef idx="0"/>
    <cs:effectRef idx="0"/>
    <cs:fontRef idx="minor">
      <a:schemeClr val="tx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defRPr sz="900"/>
  </cs:dataTable>
  <cs:downBar>
    <cs:lnRef idx="0"/>
    <cs:fillRef idx="0"/>
    <cs:effectRef idx="0"/>
    <cs:fontRef idx="minor">
      <a:schemeClr val="tx1"/>
    </cs:fontRef>
    <cs:spPr>
      <a:solidFill>
        <a:schemeClr val="dk1"/>
      </a:solidFill>
    </cs:spPr>
  </cs:downBar>
  <cs:dropLine>
    <cs:lnRef idx="0"/>
    <cs:fillRef idx="0"/>
    <cs:effectRef idx="0"/>
    <cs:fontRef idx="minor">
      <a:schemeClr val="tx1"/>
    </cs:fontRef>
  </cs:dropLine>
  <cs:errorBar>
    <cs:lnRef idx="0"/>
    <cs:fillRef idx="0"/>
    <cs:effectRef idx="0"/>
    <cs:fontRef idx="minor">
      <a:schemeClr val="tx1"/>
    </cs:fontRef>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lumOff val="10000"/>
          </a:schemeClr>
        </a:solidFill>
        <a:round/>
      </a:ln>
    </cs:spPr>
  </cs:gridlineMinor>
  <cs:hiLoLine>
    <cs:lnRef idx="0"/>
    <cs:fillRef idx="0"/>
    <cs:effectRef idx="0"/>
    <cs:fontRef idx="minor">
      <a:schemeClr val="tx1"/>
    </cs:fontRef>
  </cs:hiLoLine>
  <cs:leaderLine>
    <cs:lnRef idx="0"/>
    <cs:fillRef idx="0"/>
    <cs:effectRef idx="0"/>
    <cs:fontRef idx="minor">
      <a:schemeClr val="tx1"/>
    </cs:fontRef>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tx1"/>
    </cs:fontRef>
    <cs:spPr>
      <a:solidFill>
        <a:schemeClr val="lt1"/>
      </a:solidFill>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14.xml><?xml version="1.0" encoding="utf-8"?>
<cs:chartStyle xmlns:cs="http://schemas.microsoft.com/office/drawing/2012/chartStyle" xmlns:a="http://schemas.openxmlformats.org/drawingml/2006/main" id="410">
  <cs:axisTitle>
    <cs:lnRef idx="0"/>
    <cs:fillRef idx="0"/>
    <cs:effectRef idx="0"/>
    <cs:fontRef idx="minor">
      <a:schemeClr val="tx1">
        <a:lumMod val="65000"/>
        <a:lumOff val="35000"/>
      </a:schemeClr>
    </cs:fontRef>
    <cs:spPr>
      <a:solidFill>
        <a:schemeClr val="bg1">
          <a:lumMod val="65000"/>
        </a:schemeClr>
      </a:solidFill>
      <a:ln w="19050">
        <a:solidFill>
          <a:schemeClr val="bg1"/>
        </a:solidFill>
      </a:ln>
    </cs:spPr>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bg1"/>
    </cs:fontRef>
    <cs:defRPr sz="900" kern="1200"/>
    <cs:bodyPr lIns="38100" tIns="19050" rIns="38100" bIns="19050">
      <a:spAutoFit/>
    </cs:bodyPr>
  </cs:dataLabel>
  <cs:dataLabelCallout>
    <cs:lnRef idx="0"/>
    <cs:fillRef idx="0"/>
    <cs:effectRef idx="0"/>
    <cs:fontRef idx="minor">
      <a:schemeClr val="tx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defRPr sz="900"/>
  </cs:dataTable>
  <cs:downBar>
    <cs:lnRef idx="0"/>
    <cs:fillRef idx="0"/>
    <cs:effectRef idx="0"/>
    <cs:fontRef idx="minor">
      <a:schemeClr val="tx1"/>
    </cs:fontRef>
    <cs:spPr>
      <a:solidFill>
        <a:schemeClr val="dk1"/>
      </a:solidFill>
    </cs:spPr>
  </cs:downBar>
  <cs:dropLine>
    <cs:lnRef idx="0"/>
    <cs:fillRef idx="0"/>
    <cs:effectRef idx="0"/>
    <cs:fontRef idx="minor">
      <a:schemeClr val="tx1"/>
    </cs:fontRef>
  </cs:dropLine>
  <cs:errorBar>
    <cs:lnRef idx="0"/>
    <cs:fillRef idx="0"/>
    <cs:effectRef idx="0"/>
    <cs:fontRef idx="minor">
      <a:schemeClr val="tx1"/>
    </cs:fontRef>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lumOff val="10000"/>
          </a:schemeClr>
        </a:solidFill>
        <a:round/>
      </a:ln>
    </cs:spPr>
  </cs:gridlineMinor>
  <cs:hiLoLine>
    <cs:lnRef idx="0"/>
    <cs:fillRef idx="0"/>
    <cs:effectRef idx="0"/>
    <cs:fontRef idx="minor">
      <a:schemeClr val="tx1"/>
    </cs:fontRef>
  </cs:hiLoLine>
  <cs:leaderLine>
    <cs:lnRef idx="0"/>
    <cs:fillRef idx="0"/>
    <cs:effectRef idx="0"/>
    <cs:fontRef idx="minor">
      <a:schemeClr val="tx1"/>
    </cs:fontRef>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tx1"/>
    </cs:fontRef>
    <cs:spPr>
      <a:solidFill>
        <a:schemeClr val="lt1"/>
      </a:solidFill>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1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325">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5"/>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75000"/>
            <a:lumOff val="25000"/>
          </a:schemeClr>
        </a:solidFill>
      </a:ln>
    </cs:spPr>
  </cs:downBar>
  <cs:dropLine>
    <cs:lnRef idx="0"/>
    <cs:fillRef idx="0"/>
    <cs:effectRef idx="0"/>
    <cs:fontRef idx="minor">
      <a:schemeClr val="dk1"/>
    </cs:fontRef>
    <cs:spPr>
      <a:ln w="9525">
        <a:solidFill>
          <a:schemeClr val="tx1">
            <a:lumMod val="75000"/>
            <a:lumOff val="25000"/>
          </a:schemeClr>
        </a:solidFill>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75000"/>
            <a:lumOff val="25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18.xml><?xml version="1.0" encoding="utf-8"?>
<cs:chartStyle xmlns:cs="http://schemas.microsoft.com/office/drawing/2012/chartStyle" xmlns:a="http://schemas.openxmlformats.org/drawingml/2006/main" id="325">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5"/>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75000"/>
            <a:lumOff val="25000"/>
          </a:schemeClr>
        </a:solidFill>
      </a:ln>
    </cs:spPr>
  </cs:downBar>
  <cs:dropLine>
    <cs:lnRef idx="0"/>
    <cs:fillRef idx="0"/>
    <cs:effectRef idx="0"/>
    <cs:fontRef idx="minor">
      <a:schemeClr val="dk1"/>
    </cs:fontRef>
    <cs:spPr>
      <a:ln w="9525">
        <a:solidFill>
          <a:schemeClr val="tx1">
            <a:lumMod val="75000"/>
            <a:lumOff val="25000"/>
          </a:schemeClr>
        </a:solidFill>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75000"/>
            <a:lumOff val="25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19.xml><?xml version="1.0" encoding="utf-8"?>
<cs:chartStyle xmlns:cs="http://schemas.microsoft.com/office/drawing/2012/chartStyle" xmlns:a="http://schemas.openxmlformats.org/drawingml/2006/main" id="325">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5"/>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75000"/>
            <a:lumOff val="25000"/>
          </a:schemeClr>
        </a:solidFill>
      </a:ln>
    </cs:spPr>
  </cs:downBar>
  <cs:dropLine>
    <cs:lnRef idx="0"/>
    <cs:fillRef idx="0"/>
    <cs:effectRef idx="0"/>
    <cs:fontRef idx="minor">
      <a:schemeClr val="dk1"/>
    </cs:fontRef>
    <cs:spPr>
      <a:ln w="9525">
        <a:solidFill>
          <a:schemeClr val="tx1">
            <a:lumMod val="75000"/>
            <a:lumOff val="25000"/>
          </a:schemeClr>
        </a:solidFill>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75000"/>
            <a:lumOff val="25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2.xml><?xml version="1.0" encoding="utf-8"?>
<cs:chartStyle xmlns:cs="http://schemas.microsoft.com/office/drawing/2012/chartStyle" xmlns:a="http://schemas.openxmlformats.org/drawingml/2006/main" id="325">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5"/>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75000"/>
            <a:lumOff val="25000"/>
          </a:schemeClr>
        </a:solidFill>
      </a:ln>
    </cs:spPr>
  </cs:downBar>
  <cs:dropLine>
    <cs:lnRef idx="0"/>
    <cs:fillRef idx="0"/>
    <cs:effectRef idx="0"/>
    <cs:fontRef idx="minor">
      <a:schemeClr val="dk1"/>
    </cs:fontRef>
    <cs:spPr>
      <a:ln w="9525">
        <a:solidFill>
          <a:schemeClr val="tx1">
            <a:lumMod val="75000"/>
            <a:lumOff val="25000"/>
          </a:schemeClr>
        </a:solidFill>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75000"/>
            <a:lumOff val="25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20.xml><?xml version="1.0" encoding="utf-8"?>
<cs:chartStyle xmlns:cs="http://schemas.microsoft.com/office/drawing/2012/chartStyle" xmlns:a="http://schemas.openxmlformats.org/drawingml/2006/main" id="325">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5"/>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75000"/>
            <a:lumOff val="25000"/>
          </a:schemeClr>
        </a:solidFill>
      </a:ln>
    </cs:spPr>
  </cs:downBar>
  <cs:dropLine>
    <cs:lnRef idx="0"/>
    <cs:fillRef idx="0"/>
    <cs:effectRef idx="0"/>
    <cs:fontRef idx="minor">
      <a:schemeClr val="dk1"/>
    </cs:fontRef>
    <cs:spPr>
      <a:ln w="9525">
        <a:solidFill>
          <a:schemeClr val="tx1">
            <a:lumMod val="75000"/>
            <a:lumOff val="25000"/>
          </a:schemeClr>
        </a:solidFill>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75000"/>
            <a:lumOff val="25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21.xml><?xml version="1.0" encoding="utf-8"?>
<cs:chartStyle xmlns:cs="http://schemas.microsoft.com/office/drawing/2012/chartStyle" xmlns:a="http://schemas.openxmlformats.org/drawingml/2006/main" id="325">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5"/>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75000"/>
            <a:lumOff val="25000"/>
          </a:schemeClr>
        </a:solidFill>
      </a:ln>
    </cs:spPr>
  </cs:downBar>
  <cs:dropLine>
    <cs:lnRef idx="0"/>
    <cs:fillRef idx="0"/>
    <cs:effectRef idx="0"/>
    <cs:fontRef idx="minor">
      <a:schemeClr val="dk1"/>
    </cs:fontRef>
    <cs:spPr>
      <a:ln w="9525">
        <a:solidFill>
          <a:schemeClr val="tx1">
            <a:lumMod val="75000"/>
            <a:lumOff val="25000"/>
          </a:schemeClr>
        </a:solidFill>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75000"/>
            <a:lumOff val="25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22.xml><?xml version="1.0" encoding="utf-8"?>
<cs:chartStyle xmlns:cs="http://schemas.microsoft.com/office/drawing/2012/chartStyle" xmlns:a="http://schemas.openxmlformats.org/drawingml/2006/main" id="325">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5"/>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75000"/>
            <a:lumOff val="25000"/>
          </a:schemeClr>
        </a:solidFill>
      </a:ln>
    </cs:spPr>
  </cs:downBar>
  <cs:dropLine>
    <cs:lnRef idx="0"/>
    <cs:fillRef idx="0"/>
    <cs:effectRef idx="0"/>
    <cs:fontRef idx="minor">
      <a:schemeClr val="dk1"/>
    </cs:fontRef>
    <cs:spPr>
      <a:ln w="9525">
        <a:solidFill>
          <a:schemeClr val="tx1">
            <a:lumMod val="75000"/>
            <a:lumOff val="25000"/>
          </a:schemeClr>
        </a:solidFill>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75000"/>
            <a:lumOff val="25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23.xml><?xml version="1.0" encoding="utf-8"?>
<cs:chartStyle xmlns:cs="http://schemas.microsoft.com/office/drawing/2012/chartStyle" xmlns:a="http://schemas.openxmlformats.org/drawingml/2006/main" id="325">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5"/>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75000"/>
            <a:lumOff val="25000"/>
          </a:schemeClr>
        </a:solidFill>
      </a:ln>
    </cs:spPr>
  </cs:downBar>
  <cs:dropLine>
    <cs:lnRef idx="0"/>
    <cs:fillRef idx="0"/>
    <cs:effectRef idx="0"/>
    <cs:fontRef idx="minor">
      <a:schemeClr val="dk1"/>
    </cs:fontRef>
    <cs:spPr>
      <a:ln w="9525">
        <a:solidFill>
          <a:schemeClr val="tx1">
            <a:lumMod val="75000"/>
            <a:lumOff val="25000"/>
          </a:schemeClr>
        </a:solidFill>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75000"/>
            <a:lumOff val="25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24.xml><?xml version="1.0" encoding="utf-8"?>
<cs:chartStyle xmlns:cs="http://schemas.microsoft.com/office/drawing/2012/chartStyle" xmlns:a="http://schemas.openxmlformats.org/drawingml/2006/main" id="325">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5"/>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75000"/>
            <a:lumOff val="25000"/>
          </a:schemeClr>
        </a:solidFill>
      </a:ln>
    </cs:spPr>
  </cs:downBar>
  <cs:dropLine>
    <cs:lnRef idx="0"/>
    <cs:fillRef idx="0"/>
    <cs:effectRef idx="0"/>
    <cs:fontRef idx="minor">
      <a:schemeClr val="dk1"/>
    </cs:fontRef>
    <cs:spPr>
      <a:ln w="9525">
        <a:solidFill>
          <a:schemeClr val="tx1">
            <a:lumMod val="75000"/>
            <a:lumOff val="25000"/>
          </a:schemeClr>
        </a:solidFill>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75000"/>
            <a:lumOff val="25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25.xml><?xml version="1.0" encoding="utf-8"?>
<cs:chartStyle xmlns:cs="http://schemas.microsoft.com/office/drawing/2012/chartStyle" xmlns:a="http://schemas.openxmlformats.org/drawingml/2006/main" id="325">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5"/>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75000"/>
            <a:lumOff val="25000"/>
          </a:schemeClr>
        </a:solidFill>
      </a:ln>
    </cs:spPr>
  </cs:downBar>
  <cs:dropLine>
    <cs:lnRef idx="0"/>
    <cs:fillRef idx="0"/>
    <cs:effectRef idx="0"/>
    <cs:fontRef idx="minor">
      <a:schemeClr val="dk1"/>
    </cs:fontRef>
    <cs:spPr>
      <a:ln w="9525">
        <a:solidFill>
          <a:schemeClr val="tx1">
            <a:lumMod val="75000"/>
            <a:lumOff val="25000"/>
          </a:schemeClr>
        </a:solidFill>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75000"/>
            <a:lumOff val="25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26.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325">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5"/>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75000"/>
            <a:lumOff val="25000"/>
          </a:schemeClr>
        </a:solidFill>
      </a:ln>
    </cs:spPr>
  </cs:downBar>
  <cs:dropLine>
    <cs:lnRef idx="0"/>
    <cs:fillRef idx="0"/>
    <cs:effectRef idx="0"/>
    <cs:fontRef idx="minor">
      <a:schemeClr val="dk1"/>
    </cs:fontRef>
    <cs:spPr>
      <a:ln w="9525">
        <a:solidFill>
          <a:schemeClr val="tx1">
            <a:lumMod val="75000"/>
            <a:lumOff val="25000"/>
          </a:schemeClr>
        </a:solidFill>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75000"/>
            <a:lumOff val="25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28.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25">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5"/>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75000"/>
            <a:lumOff val="25000"/>
          </a:schemeClr>
        </a:solidFill>
      </a:ln>
    </cs:spPr>
  </cs:downBar>
  <cs:dropLine>
    <cs:lnRef idx="0"/>
    <cs:fillRef idx="0"/>
    <cs:effectRef idx="0"/>
    <cs:fontRef idx="minor">
      <a:schemeClr val="dk1"/>
    </cs:fontRef>
    <cs:spPr>
      <a:ln w="9525">
        <a:solidFill>
          <a:schemeClr val="tx1">
            <a:lumMod val="75000"/>
            <a:lumOff val="25000"/>
          </a:schemeClr>
        </a:solidFill>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75000"/>
            <a:lumOff val="25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30.xml><?xml version="1.0" encoding="utf-8"?>
<cs:chartStyle xmlns:cs="http://schemas.microsoft.com/office/drawing/2012/chartStyle" xmlns:a="http://schemas.openxmlformats.org/drawingml/2006/main" id="325">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5"/>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75000"/>
            <a:lumOff val="25000"/>
          </a:schemeClr>
        </a:solidFill>
      </a:ln>
    </cs:spPr>
  </cs:downBar>
  <cs:dropLine>
    <cs:lnRef idx="0"/>
    <cs:fillRef idx="0"/>
    <cs:effectRef idx="0"/>
    <cs:fontRef idx="minor">
      <a:schemeClr val="dk1"/>
    </cs:fontRef>
    <cs:spPr>
      <a:ln w="9525">
        <a:solidFill>
          <a:schemeClr val="tx1">
            <a:lumMod val="75000"/>
            <a:lumOff val="25000"/>
          </a:schemeClr>
        </a:solidFill>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75000"/>
            <a:lumOff val="25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31.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325">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5"/>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75000"/>
            <a:lumOff val="25000"/>
          </a:schemeClr>
        </a:solidFill>
      </a:ln>
    </cs:spPr>
  </cs:downBar>
  <cs:dropLine>
    <cs:lnRef idx="0"/>
    <cs:fillRef idx="0"/>
    <cs:effectRef idx="0"/>
    <cs:fontRef idx="minor">
      <a:schemeClr val="dk1"/>
    </cs:fontRef>
    <cs:spPr>
      <a:ln w="9525">
        <a:solidFill>
          <a:schemeClr val="tx1">
            <a:lumMod val="75000"/>
            <a:lumOff val="25000"/>
          </a:schemeClr>
        </a:solidFill>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75000"/>
            <a:lumOff val="25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33.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325">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5"/>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75000"/>
            <a:lumOff val="25000"/>
          </a:schemeClr>
        </a:solidFill>
      </a:ln>
    </cs:spPr>
  </cs:downBar>
  <cs:dropLine>
    <cs:lnRef idx="0"/>
    <cs:fillRef idx="0"/>
    <cs:effectRef idx="0"/>
    <cs:fontRef idx="minor">
      <a:schemeClr val="dk1"/>
    </cs:fontRef>
    <cs:spPr>
      <a:ln w="9525">
        <a:solidFill>
          <a:schemeClr val="tx1">
            <a:lumMod val="75000"/>
            <a:lumOff val="25000"/>
          </a:schemeClr>
        </a:solidFill>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75000"/>
            <a:lumOff val="25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35.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325">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5"/>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75000"/>
            <a:lumOff val="25000"/>
          </a:schemeClr>
        </a:solidFill>
      </a:ln>
    </cs:spPr>
  </cs:downBar>
  <cs:dropLine>
    <cs:lnRef idx="0"/>
    <cs:fillRef idx="0"/>
    <cs:effectRef idx="0"/>
    <cs:fontRef idx="minor">
      <a:schemeClr val="dk1"/>
    </cs:fontRef>
    <cs:spPr>
      <a:ln w="9525">
        <a:solidFill>
          <a:schemeClr val="tx1">
            <a:lumMod val="75000"/>
            <a:lumOff val="25000"/>
          </a:schemeClr>
        </a:solidFill>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75000"/>
            <a:lumOff val="25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37.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325">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5"/>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75000"/>
            <a:lumOff val="25000"/>
          </a:schemeClr>
        </a:solidFill>
      </a:ln>
    </cs:spPr>
  </cs:downBar>
  <cs:dropLine>
    <cs:lnRef idx="0"/>
    <cs:fillRef idx="0"/>
    <cs:effectRef idx="0"/>
    <cs:fontRef idx="minor">
      <a:schemeClr val="dk1"/>
    </cs:fontRef>
    <cs:spPr>
      <a:ln w="9525">
        <a:solidFill>
          <a:schemeClr val="tx1">
            <a:lumMod val="75000"/>
            <a:lumOff val="25000"/>
          </a:schemeClr>
        </a:solidFill>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75000"/>
            <a:lumOff val="25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40.xml><?xml version="1.0" encoding="utf-8"?>
<cs:chartStyle xmlns:cs="http://schemas.microsoft.com/office/drawing/2012/chartStyle" xmlns:a="http://schemas.openxmlformats.org/drawingml/2006/main" id="325">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5"/>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75000"/>
            <a:lumOff val="25000"/>
          </a:schemeClr>
        </a:solidFill>
      </a:ln>
    </cs:spPr>
  </cs:downBar>
  <cs:dropLine>
    <cs:lnRef idx="0"/>
    <cs:fillRef idx="0"/>
    <cs:effectRef idx="0"/>
    <cs:fontRef idx="minor">
      <a:schemeClr val="dk1"/>
    </cs:fontRef>
    <cs:spPr>
      <a:ln w="9525">
        <a:solidFill>
          <a:schemeClr val="tx1">
            <a:lumMod val="75000"/>
            <a:lumOff val="25000"/>
          </a:schemeClr>
        </a:solidFill>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75000"/>
            <a:lumOff val="25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41.xml><?xml version="1.0" encoding="utf-8"?>
<cs:chartStyle xmlns:cs="http://schemas.microsoft.com/office/drawing/2012/chartStyle" xmlns:a="http://schemas.openxmlformats.org/drawingml/2006/main" id="325">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5"/>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75000"/>
            <a:lumOff val="25000"/>
          </a:schemeClr>
        </a:solidFill>
      </a:ln>
    </cs:spPr>
  </cs:downBar>
  <cs:dropLine>
    <cs:lnRef idx="0"/>
    <cs:fillRef idx="0"/>
    <cs:effectRef idx="0"/>
    <cs:fontRef idx="minor">
      <a:schemeClr val="dk1"/>
    </cs:fontRef>
    <cs:spPr>
      <a:ln w="9525">
        <a:solidFill>
          <a:schemeClr val="tx1">
            <a:lumMod val="75000"/>
            <a:lumOff val="25000"/>
          </a:schemeClr>
        </a:solidFill>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75000"/>
            <a:lumOff val="25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42.xml><?xml version="1.0" encoding="utf-8"?>
<cs:chartStyle xmlns:cs="http://schemas.microsoft.com/office/drawing/2012/chartStyle" xmlns:a="http://schemas.openxmlformats.org/drawingml/2006/main" id="325">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5"/>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75000"/>
            <a:lumOff val="25000"/>
          </a:schemeClr>
        </a:solidFill>
      </a:ln>
    </cs:spPr>
  </cs:downBar>
  <cs:dropLine>
    <cs:lnRef idx="0"/>
    <cs:fillRef idx="0"/>
    <cs:effectRef idx="0"/>
    <cs:fontRef idx="minor">
      <a:schemeClr val="dk1"/>
    </cs:fontRef>
    <cs:spPr>
      <a:ln w="9525">
        <a:solidFill>
          <a:schemeClr val="tx1">
            <a:lumMod val="75000"/>
            <a:lumOff val="25000"/>
          </a:schemeClr>
        </a:solidFill>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75000"/>
            <a:lumOff val="25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43.xml><?xml version="1.0" encoding="utf-8"?>
<cs:chartStyle xmlns:cs="http://schemas.microsoft.com/office/drawing/2012/chartStyle" xmlns:a="http://schemas.openxmlformats.org/drawingml/2006/main" id="325">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5"/>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75000"/>
            <a:lumOff val="25000"/>
          </a:schemeClr>
        </a:solidFill>
      </a:ln>
    </cs:spPr>
  </cs:downBar>
  <cs:dropLine>
    <cs:lnRef idx="0"/>
    <cs:fillRef idx="0"/>
    <cs:effectRef idx="0"/>
    <cs:fontRef idx="minor">
      <a:schemeClr val="dk1"/>
    </cs:fontRef>
    <cs:spPr>
      <a:ln w="9525">
        <a:solidFill>
          <a:schemeClr val="tx1">
            <a:lumMod val="75000"/>
            <a:lumOff val="25000"/>
          </a:schemeClr>
        </a:solidFill>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75000"/>
            <a:lumOff val="25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44.xml><?xml version="1.0" encoding="utf-8"?>
<cs:chartStyle xmlns:cs="http://schemas.microsoft.com/office/drawing/2012/chartStyle" xmlns:a="http://schemas.openxmlformats.org/drawingml/2006/main" id="325">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5"/>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75000"/>
            <a:lumOff val="25000"/>
          </a:schemeClr>
        </a:solidFill>
      </a:ln>
    </cs:spPr>
  </cs:downBar>
  <cs:dropLine>
    <cs:lnRef idx="0"/>
    <cs:fillRef idx="0"/>
    <cs:effectRef idx="0"/>
    <cs:fontRef idx="minor">
      <a:schemeClr val="dk1"/>
    </cs:fontRef>
    <cs:spPr>
      <a:ln w="9525">
        <a:solidFill>
          <a:schemeClr val="tx1">
            <a:lumMod val="75000"/>
            <a:lumOff val="25000"/>
          </a:schemeClr>
        </a:solidFill>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75000"/>
            <a:lumOff val="25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45.xml><?xml version="1.0" encoding="utf-8"?>
<cs:chartStyle xmlns:cs="http://schemas.microsoft.com/office/drawing/2012/chartStyle" xmlns:a="http://schemas.openxmlformats.org/drawingml/2006/main" id="325">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5"/>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75000"/>
            <a:lumOff val="25000"/>
          </a:schemeClr>
        </a:solidFill>
      </a:ln>
    </cs:spPr>
  </cs:downBar>
  <cs:dropLine>
    <cs:lnRef idx="0"/>
    <cs:fillRef idx="0"/>
    <cs:effectRef idx="0"/>
    <cs:fontRef idx="minor">
      <a:schemeClr val="dk1"/>
    </cs:fontRef>
    <cs:spPr>
      <a:ln w="9525">
        <a:solidFill>
          <a:schemeClr val="tx1">
            <a:lumMod val="75000"/>
            <a:lumOff val="25000"/>
          </a:schemeClr>
        </a:solidFill>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75000"/>
            <a:lumOff val="25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46.xml><?xml version="1.0" encoding="utf-8"?>
<cs:chartStyle xmlns:cs="http://schemas.microsoft.com/office/drawing/2012/chartStyle" xmlns:a="http://schemas.openxmlformats.org/drawingml/2006/main" id="325">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5"/>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75000"/>
            <a:lumOff val="25000"/>
          </a:schemeClr>
        </a:solidFill>
      </a:ln>
    </cs:spPr>
  </cs:downBar>
  <cs:dropLine>
    <cs:lnRef idx="0"/>
    <cs:fillRef idx="0"/>
    <cs:effectRef idx="0"/>
    <cs:fontRef idx="minor">
      <a:schemeClr val="dk1"/>
    </cs:fontRef>
    <cs:spPr>
      <a:ln w="9525">
        <a:solidFill>
          <a:schemeClr val="tx1">
            <a:lumMod val="75000"/>
            <a:lumOff val="25000"/>
          </a:schemeClr>
        </a:solidFill>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75000"/>
            <a:lumOff val="25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47.xml><?xml version="1.0" encoding="utf-8"?>
<cs:chartStyle xmlns:cs="http://schemas.microsoft.com/office/drawing/2012/chartStyle" xmlns:a="http://schemas.openxmlformats.org/drawingml/2006/main" id="325">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5"/>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75000"/>
            <a:lumOff val="25000"/>
          </a:schemeClr>
        </a:solidFill>
      </a:ln>
    </cs:spPr>
  </cs:downBar>
  <cs:dropLine>
    <cs:lnRef idx="0"/>
    <cs:fillRef idx="0"/>
    <cs:effectRef idx="0"/>
    <cs:fontRef idx="minor">
      <a:schemeClr val="dk1"/>
    </cs:fontRef>
    <cs:spPr>
      <a:ln w="9525">
        <a:solidFill>
          <a:schemeClr val="tx1">
            <a:lumMod val="75000"/>
            <a:lumOff val="25000"/>
          </a:schemeClr>
        </a:solidFill>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75000"/>
            <a:lumOff val="25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48.xml><?xml version="1.0" encoding="utf-8"?>
<cs:chartStyle xmlns:cs="http://schemas.microsoft.com/office/drawing/2012/chartStyle" xmlns:a="http://schemas.openxmlformats.org/drawingml/2006/main" id="325">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5"/>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75000"/>
            <a:lumOff val="25000"/>
          </a:schemeClr>
        </a:solidFill>
      </a:ln>
    </cs:spPr>
  </cs:downBar>
  <cs:dropLine>
    <cs:lnRef idx="0"/>
    <cs:fillRef idx="0"/>
    <cs:effectRef idx="0"/>
    <cs:fontRef idx="minor">
      <a:schemeClr val="dk1"/>
    </cs:fontRef>
    <cs:spPr>
      <a:ln w="9525">
        <a:solidFill>
          <a:schemeClr val="tx1">
            <a:lumMod val="75000"/>
            <a:lumOff val="25000"/>
          </a:schemeClr>
        </a:solidFill>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75000"/>
            <a:lumOff val="25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49.xml><?xml version="1.0" encoding="utf-8"?>
<cs:chartStyle xmlns:cs="http://schemas.microsoft.com/office/drawing/2012/chartStyle" xmlns:a="http://schemas.openxmlformats.org/drawingml/2006/main" id="325">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5"/>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75000"/>
            <a:lumOff val="25000"/>
          </a:schemeClr>
        </a:solidFill>
      </a:ln>
    </cs:spPr>
  </cs:downBar>
  <cs:dropLine>
    <cs:lnRef idx="0"/>
    <cs:fillRef idx="0"/>
    <cs:effectRef idx="0"/>
    <cs:fontRef idx="minor">
      <a:schemeClr val="dk1"/>
    </cs:fontRef>
    <cs:spPr>
      <a:ln w="9525">
        <a:solidFill>
          <a:schemeClr val="tx1">
            <a:lumMod val="75000"/>
            <a:lumOff val="25000"/>
          </a:schemeClr>
        </a:solidFill>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75000"/>
            <a:lumOff val="25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5.xml><?xml version="1.0" encoding="utf-8"?>
<cs:chartStyle xmlns:cs="http://schemas.microsoft.com/office/drawing/2012/chartStyle" xmlns:a="http://schemas.openxmlformats.org/drawingml/2006/main" id="325">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5"/>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75000"/>
            <a:lumOff val="25000"/>
          </a:schemeClr>
        </a:solidFill>
      </a:ln>
    </cs:spPr>
  </cs:downBar>
  <cs:dropLine>
    <cs:lnRef idx="0"/>
    <cs:fillRef idx="0"/>
    <cs:effectRef idx="0"/>
    <cs:fontRef idx="minor">
      <a:schemeClr val="dk1"/>
    </cs:fontRef>
    <cs:spPr>
      <a:ln w="9525">
        <a:solidFill>
          <a:schemeClr val="tx1">
            <a:lumMod val="75000"/>
            <a:lumOff val="25000"/>
          </a:schemeClr>
        </a:solidFill>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75000"/>
            <a:lumOff val="25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50.xml><?xml version="1.0" encoding="utf-8"?>
<cs:chartStyle xmlns:cs="http://schemas.microsoft.com/office/drawing/2012/chartStyle" xmlns:a="http://schemas.openxmlformats.org/drawingml/2006/main" id="325">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5"/>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75000"/>
            <a:lumOff val="25000"/>
          </a:schemeClr>
        </a:solidFill>
      </a:ln>
    </cs:spPr>
  </cs:downBar>
  <cs:dropLine>
    <cs:lnRef idx="0"/>
    <cs:fillRef idx="0"/>
    <cs:effectRef idx="0"/>
    <cs:fontRef idx="minor">
      <a:schemeClr val="dk1"/>
    </cs:fontRef>
    <cs:spPr>
      <a:ln w="9525">
        <a:solidFill>
          <a:schemeClr val="tx1">
            <a:lumMod val="75000"/>
            <a:lumOff val="25000"/>
          </a:schemeClr>
        </a:solidFill>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75000"/>
            <a:lumOff val="25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51.xml><?xml version="1.0" encoding="utf-8"?>
<cs:chartStyle xmlns:cs="http://schemas.microsoft.com/office/drawing/2012/chartStyle" xmlns:a="http://schemas.openxmlformats.org/drawingml/2006/main" id="325">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5"/>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75000"/>
            <a:lumOff val="25000"/>
          </a:schemeClr>
        </a:solidFill>
      </a:ln>
    </cs:spPr>
  </cs:downBar>
  <cs:dropLine>
    <cs:lnRef idx="0"/>
    <cs:fillRef idx="0"/>
    <cs:effectRef idx="0"/>
    <cs:fontRef idx="minor">
      <a:schemeClr val="dk1"/>
    </cs:fontRef>
    <cs:spPr>
      <a:ln w="9525">
        <a:solidFill>
          <a:schemeClr val="tx1">
            <a:lumMod val="75000"/>
            <a:lumOff val="25000"/>
          </a:schemeClr>
        </a:solidFill>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75000"/>
            <a:lumOff val="25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52.xml><?xml version="1.0" encoding="utf-8"?>
<cs:chartStyle xmlns:cs="http://schemas.microsoft.com/office/drawing/2012/chartStyle" xmlns:a="http://schemas.openxmlformats.org/drawingml/2006/main" id="325">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5"/>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75000"/>
            <a:lumOff val="25000"/>
          </a:schemeClr>
        </a:solidFill>
      </a:ln>
    </cs:spPr>
  </cs:downBar>
  <cs:dropLine>
    <cs:lnRef idx="0"/>
    <cs:fillRef idx="0"/>
    <cs:effectRef idx="0"/>
    <cs:fontRef idx="minor">
      <a:schemeClr val="dk1"/>
    </cs:fontRef>
    <cs:spPr>
      <a:ln w="9525">
        <a:solidFill>
          <a:schemeClr val="tx1">
            <a:lumMod val="75000"/>
            <a:lumOff val="25000"/>
          </a:schemeClr>
        </a:solidFill>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75000"/>
            <a:lumOff val="25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53.xml><?xml version="1.0" encoding="utf-8"?>
<cs:chartStyle xmlns:cs="http://schemas.microsoft.com/office/drawing/2012/chartStyle" xmlns:a="http://schemas.openxmlformats.org/drawingml/2006/main" id="325">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5"/>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75000"/>
            <a:lumOff val="25000"/>
          </a:schemeClr>
        </a:solidFill>
      </a:ln>
    </cs:spPr>
  </cs:downBar>
  <cs:dropLine>
    <cs:lnRef idx="0"/>
    <cs:fillRef idx="0"/>
    <cs:effectRef idx="0"/>
    <cs:fontRef idx="minor">
      <a:schemeClr val="dk1"/>
    </cs:fontRef>
    <cs:spPr>
      <a:ln w="9525">
        <a:solidFill>
          <a:schemeClr val="tx1">
            <a:lumMod val="75000"/>
            <a:lumOff val="25000"/>
          </a:schemeClr>
        </a:solidFill>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75000"/>
            <a:lumOff val="25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54.xml><?xml version="1.0" encoding="utf-8"?>
<cs:chartStyle xmlns:cs="http://schemas.microsoft.com/office/drawing/2012/chartStyle" xmlns:a="http://schemas.openxmlformats.org/drawingml/2006/main" id="325">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5"/>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75000"/>
            <a:lumOff val="25000"/>
          </a:schemeClr>
        </a:solidFill>
      </a:ln>
    </cs:spPr>
  </cs:downBar>
  <cs:dropLine>
    <cs:lnRef idx="0"/>
    <cs:fillRef idx="0"/>
    <cs:effectRef idx="0"/>
    <cs:fontRef idx="minor">
      <a:schemeClr val="dk1"/>
    </cs:fontRef>
    <cs:spPr>
      <a:ln w="9525">
        <a:solidFill>
          <a:schemeClr val="tx1">
            <a:lumMod val="75000"/>
            <a:lumOff val="25000"/>
          </a:schemeClr>
        </a:solidFill>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75000"/>
            <a:lumOff val="25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55.xml><?xml version="1.0" encoding="utf-8"?>
<cs:chartStyle xmlns:cs="http://schemas.microsoft.com/office/drawing/2012/chartStyle" xmlns:a="http://schemas.openxmlformats.org/drawingml/2006/main" id="325">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5"/>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75000"/>
            <a:lumOff val="25000"/>
          </a:schemeClr>
        </a:solidFill>
      </a:ln>
    </cs:spPr>
  </cs:downBar>
  <cs:dropLine>
    <cs:lnRef idx="0"/>
    <cs:fillRef idx="0"/>
    <cs:effectRef idx="0"/>
    <cs:fontRef idx="minor">
      <a:schemeClr val="dk1"/>
    </cs:fontRef>
    <cs:spPr>
      <a:ln w="9525">
        <a:solidFill>
          <a:schemeClr val="tx1">
            <a:lumMod val="75000"/>
            <a:lumOff val="25000"/>
          </a:schemeClr>
        </a:solidFill>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75000"/>
            <a:lumOff val="25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56.xml><?xml version="1.0" encoding="utf-8"?>
<cs:chartStyle xmlns:cs="http://schemas.microsoft.com/office/drawing/2012/chartStyle" xmlns:a="http://schemas.openxmlformats.org/drawingml/2006/main" id="325">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5"/>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75000"/>
            <a:lumOff val="25000"/>
          </a:schemeClr>
        </a:solidFill>
      </a:ln>
    </cs:spPr>
  </cs:downBar>
  <cs:dropLine>
    <cs:lnRef idx="0"/>
    <cs:fillRef idx="0"/>
    <cs:effectRef idx="0"/>
    <cs:fontRef idx="minor">
      <a:schemeClr val="dk1"/>
    </cs:fontRef>
    <cs:spPr>
      <a:ln w="9525">
        <a:solidFill>
          <a:schemeClr val="tx1">
            <a:lumMod val="75000"/>
            <a:lumOff val="25000"/>
          </a:schemeClr>
        </a:solidFill>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75000"/>
            <a:lumOff val="25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5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325">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5"/>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75000"/>
            <a:lumOff val="25000"/>
          </a:schemeClr>
        </a:solidFill>
      </a:ln>
    </cs:spPr>
  </cs:downBar>
  <cs:dropLine>
    <cs:lnRef idx="0"/>
    <cs:fillRef idx="0"/>
    <cs:effectRef idx="0"/>
    <cs:fontRef idx="minor">
      <a:schemeClr val="dk1"/>
    </cs:fontRef>
    <cs:spPr>
      <a:ln w="9525">
        <a:solidFill>
          <a:schemeClr val="tx1">
            <a:lumMod val="75000"/>
            <a:lumOff val="25000"/>
          </a:schemeClr>
        </a:solidFill>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75000"/>
            <a:lumOff val="25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5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325">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5"/>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75000"/>
            <a:lumOff val="25000"/>
          </a:schemeClr>
        </a:solidFill>
      </a:ln>
    </cs:spPr>
  </cs:downBar>
  <cs:dropLine>
    <cs:lnRef idx="0"/>
    <cs:fillRef idx="0"/>
    <cs:effectRef idx="0"/>
    <cs:fontRef idx="minor">
      <a:schemeClr val="dk1"/>
    </cs:fontRef>
    <cs:spPr>
      <a:ln w="9525">
        <a:solidFill>
          <a:schemeClr val="tx1">
            <a:lumMod val="75000"/>
            <a:lumOff val="25000"/>
          </a:schemeClr>
        </a:solidFill>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75000"/>
            <a:lumOff val="25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60.xml><?xml version="1.0" encoding="utf-8"?>
<cs:chartStyle xmlns:cs="http://schemas.microsoft.com/office/drawing/2012/chartStyle" xmlns:a="http://schemas.openxmlformats.org/drawingml/2006/main" id="325">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5"/>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75000"/>
            <a:lumOff val="25000"/>
          </a:schemeClr>
        </a:solidFill>
      </a:ln>
    </cs:spPr>
  </cs:downBar>
  <cs:dropLine>
    <cs:lnRef idx="0"/>
    <cs:fillRef idx="0"/>
    <cs:effectRef idx="0"/>
    <cs:fontRef idx="minor">
      <a:schemeClr val="dk1"/>
    </cs:fontRef>
    <cs:spPr>
      <a:ln w="9525">
        <a:solidFill>
          <a:schemeClr val="tx1">
            <a:lumMod val="75000"/>
            <a:lumOff val="25000"/>
          </a:schemeClr>
        </a:solidFill>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75000"/>
            <a:lumOff val="25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6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2.xml><?xml version="1.0" encoding="utf-8"?>
<cs:chartStyle xmlns:cs="http://schemas.microsoft.com/office/drawing/2012/chartStyle" xmlns:a="http://schemas.openxmlformats.org/drawingml/2006/main" id="325">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5"/>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75000"/>
            <a:lumOff val="25000"/>
          </a:schemeClr>
        </a:solidFill>
      </a:ln>
    </cs:spPr>
  </cs:downBar>
  <cs:dropLine>
    <cs:lnRef idx="0"/>
    <cs:fillRef idx="0"/>
    <cs:effectRef idx="0"/>
    <cs:fontRef idx="minor">
      <a:schemeClr val="dk1"/>
    </cs:fontRef>
    <cs:spPr>
      <a:ln w="9525">
        <a:solidFill>
          <a:schemeClr val="tx1">
            <a:lumMod val="75000"/>
            <a:lumOff val="25000"/>
          </a:schemeClr>
        </a:solidFill>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75000"/>
            <a:lumOff val="25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63.xml><?xml version="1.0" encoding="utf-8"?>
<cs:chartStyle xmlns:cs="http://schemas.microsoft.com/office/drawing/2012/chartStyle" xmlns:a="http://schemas.openxmlformats.org/drawingml/2006/main" id="325">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5"/>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75000"/>
            <a:lumOff val="25000"/>
          </a:schemeClr>
        </a:solidFill>
      </a:ln>
    </cs:spPr>
  </cs:downBar>
  <cs:dropLine>
    <cs:lnRef idx="0"/>
    <cs:fillRef idx="0"/>
    <cs:effectRef idx="0"/>
    <cs:fontRef idx="minor">
      <a:schemeClr val="dk1"/>
    </cs:fontRef>
    <cs:spPr>
      <a:ln w="9525">
        <a:solidFill>
          <a:schemeClr val="tx1">
            <a:lumMod val="75000"/>
            <a:lumOff val="25000"/>
          </a:schemeClr>
        </a:solidFill>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75000"/>
            <a:lumOff val="25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64.xml><?xml version="1.0" encoding="utf-8"?>
<cs:chartStyle xmlns:cs="http://schemas.microsoft.com/office/drawing/2012/chartStyle" xmlns:a="http://schemas.openxmlformats.org/drawingml/2006/main" id="325">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5"/>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75000"/>
            <a:lumOff val="25000"/>
          </a:schemeClr>
        </a:solidFill>
      </a:ln>
    </cs:spPr>
  </cs:downBar>
  <cs:dropLine>
    <cs:lnRef idx="0"/>
    <cs:fillRef idx="0"/>
    <cs:effectRef idx="0"/>
    <cs:fontRef idx="minor">
      <a:schemeClr val="dk1"/>
    </cs:fontRef>
    <cs:spPr>
      <a:ln w="9525">
        <a:solidFill>
          <a:schemeClr val="tx1">
            <a:lumMod val="75000"/>
            <a:lumOff val="25000"/>
          </a:schemeClr>
        </a:solidFill>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75000"/>
            <a:lumOff val="25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6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6.xml><?xml version="1.0" encoding="utf-8"?>
<cs:chartStyle xmlns:cs="http://schemas.microsoft.com/office/drawing/2012/chartStyle" xmlns:a="http://schemas.openxmlformats.org/drawingml/2006/main" id="325">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5"/>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75000"/>
            <a:lumOff val="25000"/>
          </a:schemeClr>
        </a:solidFill>
      </a:ln>
    </cs:spPr>
  </cs:downBar>
  <cs:dropLine>
    <cs:lnRef idx="0"/>
    <cs:fillRef idx="0"/>
    <cs:effectRef idx="0"/>
    <cs:fontRef idx="minor">
      <a:schemeClr val="dk1"/>
    </cs:fontRef>
    <cs:spPr>
      <a:ln w="9525">
        <a:solidFill>
          <a:schemeClr val="tx1">
            <a:lumMod val="75000"/>
            <a:lumOff val="25000"/>
          </a:schemeClr>
        </a:solidFill>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75000"/>
            <a:lumOff val="25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67.xml><?xml version="1.0" encoding="utf-8"?>
<cs:chartStyle xmlns:cs="http://schemas.microsoft.com/office/drawing/2012/chartStyle" xmlns:a="http://schemas.openxmlformats.org/drawingml/2006/main" id="325">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5"/>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75000"/>
            <a:lumOff val="25000"/>
          </a:schemeClr>
        </a:solidFill>
      </a:ln>
    </cs:spPr>
  </cs:downBar>
  <cs:dropLine>
    <cs:lnRef idx="0"/>
    <cs:fillRef idx="0"/>
    <cs:effectRef idx="0"/>
    <cs:fontRef idx="minor">
      <a:schemeClr val="dk1"/>
    </cs:fontRef>
    <cs:spPr>
      <a:ln w="9525">
        <a:solidFill>
          <a:schemeClr val="tx1">
            <a:lumMod val="75000"/>
            <a:lumOff val="25000"/>
          </a:schemeClr>
        </a:solidFill>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75000"/>
            <a:lumOff val="25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68.xml><?xml version="1.0" encoding="utf-8"?>
<cs:chartStyle xmlns:cs="http://schemas.microsoft.com/office/drawing/2012/chartStyle" xmlns:a="http://schemas.openxmlformats.org/drawingml/2006/main" id="325">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5"/>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75000"/>
            <a:lumOff val="25000"/>
          </a:schemeClr>
        </a:solidFill>
      </a:ln>
    </cs:spPr>
  </cs:downBar>
  <cs:dropLine>
    <cs:lnRef idx="0"/>
    <cs:fillRef idx="0"/>
    <cs:effectRef idx="0"/>
    <cs:fontRef idx="minor">
      <a:schemeClr val="dk1"/>
    </cs:fontRef>
    <cs:spPr>
      <a:ln w="9525">
        <a:solidFill>
          <a:schemeClr val="tx1">
            <a:lumMod val="75000"/>
            <a:lumOff val="25000"/>
          </a:schemeClr>
        </a:solidFill>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75000"/>
            <a:lumOff val="25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69.xml><?xml version="1.0" encoding="utf-8"?>
<cs:chartStyle xmlns:cs="http://schemas.microsoft.com/office/drawing/2012/chartStyle" xmlns:a="http://schemas.openxmlformats.org/drawingml/2006/main" id="325">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5"/>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75000"/>
            <a:lumOff val="25000"/>
          </a:schemeClr>
        </a:solidFill>
      </a:ln>
    </cs:spPr>
  </cs:downBar>
  <cs:dropLine>
    <cs:lnRef idx="0"/>
    <cs:fillRef idx="0"/>
    <cs:effectRef idx="0"/>
    <cs:fontRef idx="minor">
      <a:schemeClr val="dk1"/>
    </cs:fontRef>
    <cs:spPr>
      <a:ln w="9525">
        <a:solidFill>
          <a:schemeClr val="tx1">
            <a:lumMod val="75000"/>
            <a:lumOff val="25000"/>
          </a:schemeClr>
        </a:solidFill>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75000"/>
            <a:lumOff val="25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7.xml><?xml version="1.0" encoding="utf-8"?>
<cs:chartStyle xmlns:cs="http://schemas.microsoft.com/office/drawing/2012/chartStyle" xmlns:a="http://schemas.openxmlformats.org/drawingml/2006/main" id="325">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5"/>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75000"/>
            <a:lumOff val="25000"/>
          </a:schemeClr>
        </a:solidFill>
      </a:ln>
    </cs:spPr>
  </cs:downBar>
  <cs:dropLine>
    <cs:lnRef idx="0"/>
    <cs:fillRef idx="0"/>
    <cs:effectRef idx="0"/>
    <cs:fontRef idx="minor">
      <a:schemeClr val="dk1"/>
    </cs:fontRef>
    <cs:spPr>
      <a:ln w="9525">
        <a:solidFill>
          <a:schemeClr val="tx1">
            <a:lumMod val="75000"/>
            <a:lumOff val="25000"/>
          </a:schemeClr>
        </a:solidFill>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75000"/>
            <a:lumOff val="25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70.xml><?xml version="1.0" encoding="utf-8"?>
<cs:chartStyle xmlns:cs="http://schemas.microsoft.com/office/drawing/2012/chartStyle" xmlns:a="http://schemas.openxmlformats.org/drawingml/2006/main" id="325">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5"/>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75000"/>
            <a:lumOff val="25000"/>
          </a:schemeClr>
        </a:solidFill>
      </a:ln>
    </cs:spPr>
  </cs:downBar>
  <cs:dropLine>
    <cs:lnRef idx="0"/>
    <cs:fillRef idx="0"/>
    <cs:effectRef idx="0"/>
    <cs:fontRef idx="minor">
      <a:schemeClr val="dk1"/>
    </cs:fontRef>
    <cs:spPr>
      <a:ln w="9525">
        <a:solidFill>
          <a:schemeClr val="tx1">
            <a:lumMod val="75000"/>
            <a:lumOff val="25000"/>
          </a:schemeClr>
        </a:solidFill>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75000"/>
            <a:lumOff val="25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71.xml><?xml version="1.0" encoding="utf-8"?>
<cs:chartStyle xmlns:cs="http://schemas.microsoft.com/office/drawing/2012/chartStyle" xmlns:a="http://schemas.openxmlformats.org/drawingml/2006/main" id="325">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5"/>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75000"/>
            <a:lumOff val="25000"/>
          </a:schemeClr>
        </a:solidFill>
      </a:ln>
    </cs:spPr>
  </cs:downBar>
  <cs:dropLine>
    <cs:lnRef idx="0"/>
    <cs:fillRef idx="0"/>
    <cs:effectRef idx="0"/>
    <cs:fontRef idx="minor">
      <a:schemeClr val="dk1"/>
    </cs:fontRef>
    <cs:spPr>
      <a:ln w="9525">
        <a:solidFill>
          <a:schemeClr val="tx1">
            <a:lumMod val="75000"/>
            <a:lumOff val="25000"/>
          </a:schemeClr>
        </a:solidFill>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75000"/>
            <a:lumOff val="25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8.xml><?xml version="1.0" encoding="utf-8"?>
<cs:chartStyle xmlns:cs="http://schemas.microsoft.com/office/drawing/2012/chartStyle" xmlns:a="http://schemas.openxmlformats.org/drawingml/2006/main" id="325">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5"/>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75000"/>
            <a:lumOff val="25000"/>
          </a:schemeClr>
        </a:solidFill>
      </a:ln>
    </cs:spPr>
  </cs:downBar>
  <cs:dropLine>
    <cs:lnRef idx="0"/>
    <cs:fillRef idx="0"/>
    <cs:effectRef idx="0"/>
    <cs:fontRef idx="minor">
      <a:schemeClr val="dk1"/>
    </cs:fontRef>
    <cs:spPr>
      <a:ln w="9525">
        <a:solidFill>
          <a:schemeClr val="tx1">
            <a:lumMod val="75000"/>
            <a:lumOff val="25000"/>
          </a:schemeClr>
        </a:solidFill>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75000"/>
            <a:lumOff val="25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9.xml><?xml version="1.0" encoding="utf-8"?>
<cs:chartStyle xmlns:cs="http://schemas.microsoft.com/office/drawing/2012/chartStyle" xmlns:a="http://schemas.openxmlformats.org/drawingml/2006/main" id="410">
  <cs:axisTitle>
    <cs:lnRef idx="0"/>
    <cs:fillRef idx="0"/>
    <cs:effectRef idx="0"/>
    <cs:fontRef idx="minor">
      <a:schemeClr val="tx1">
        <a:lumMod val="65000"/>
        <a:lumOff val="35000"/>
      </a:schemeClr>
    </cs:fontRef>
    <cs:spPr>
      <a:solidFill>
        <a:schemeClr val="bg1">
          <a:lumMod val="65000"/>
        </a:schemeClr>
      </a:solidFill>
      <a:ln w="19050">
        <a:solidFill>
          <a:schemeClr val="bg1"/>
        </a:solidFill>
      </a:ln>
    </cs:spPr>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bg1"/>
    </cs:fontRef>
    <cs:defRPr sz="900" kern="1200"/>
    <cs:bodyPr lIns="38100" tIns="19050" rIns="38100" bIns="19050">
      <a:spAutoFit/>
    </cs:bodyPr>
  </cs:dataLabel>
  <cs:dataLabelCallout>
    <cs:lnRef idx="0"/>
    <cs:fillRef idx="0"/>
    <cs:effectRef idx="0"/>
    <cs:fontRef idx="minor">
      <a:schemeClr val="tx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defRPr sz="900"/>
  </cs:dataTable>
  <cs:downBar>
    <cs:lnRef idx="0"/>
    <cs:fillRef idx="0"/>
    <cs:effectRef idx="0"/>
    <cs:fontRef idx="minor">
      <a:schemeClr val="tx1"/>
    </cs:fontRef>
    <cs:spPr>
      <a:solidFill>
        <a:schemeClr val="dk1"/>
      </a:solidFill>
    </cs:spPr>
  </cs:downBar>
  <cs:dropLine>
    <cs:lnRef idx="0"/>
    <cs:fillRef idx="0"/>
    <cs:effectRef idx="0"/>
    <cs:fontRef idx="minor">
      <a:schemeClr val="tx1"/>
    </cs:fontRef>
  </cs:dropLine>
  <cs:errorBar>
    <cs:lnRef idx="0"/>
    <cs:fillRef idx="0"/>
    <cs:effectRef idx="0"/>
    <cs:fontRef idx="minor">
      <a:schemeClr val="tx1"/>
    </cs:fontRef>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lumOff val="10000"/>
          </a:schemeClr>
        </a:solidFill>
        <a:round/>
      </a:ln>
    </cs:spPr>
  </cs:gridlineMinor>
  <cs:hiLoLine>
    <cs:lnRef idx="0"/>
    <cs:fillRef idx="0"/>
    <cs:effectRef idx="0"/>
    <cs:fontRef idx="minor">
      <a:schemeClr val="tx1"/>
    </cs:fontRef>
  </cs:hiLoLine>
  <cs:leaderLine>
    <cs:lnRef idx="0"/>
    <cs:fillRef idx="0"/>
    <cs:effectRef idx="0"/>
    <cs:fontRef idx="minor">
      <a:schemeClr val="tx1"/>
    </cs:fontRef>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tx1"/>
    </cs:fontRef>
    <cs:spPr>
      <a:solidFill>
        <a:schemeClr val="lt1"/>
      </a:solidFill>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3" Type="http://schemas.openxmlformats.org/officeDocument/2006/relationships/image" Target="../media/image1.jpg"/><Relationship Id="rId7" Type="http://schemas.openxmlformats.org/officeDocument/2006/relationships/chart" Target="../charts/chart6.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5.xml"/><Relationship Id="rId5" Type="http://schemas.openxmlformats.org/officeDocument/2006/relationships/chart" Target="../charts/chart4.xml"/><Relationship Id="rId4" Type="http://schemas.openxmlformats.org/officeDocument/2006/relationships/chart" Target="../charts/chart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9.xml"/><Relationship Id="rId7" Type="http://schemas.openxmlformats.org/officeDocument/2006/relationships/image" Target="../media/image1.jpg"/><Relationship Id="rId2" Type="http://schemas.openxmlformats.org/officeDocument/2006/relationships/chart" Target="../charts/chart8.xml"/><Relationship Id="rId1" Type="http://schemas.openxmlformats.org/officeDocument/2006/relationships/chart" Target="../charts/chart7.xml"/><Relationship Id="rId6" Type="http://schemas.openxmlformats.org/officeDocument/2006/relationships/chart" Target="../charts/chart12.xml"/><Relationship Id="rId5" Type="http://schemas.openxmlformats.org/officeDocument/2006/relationships/chart" Target="../charts/chart11.xml"/><Relationship Id="rId4" Type="http://schemas.openxmlformats.org/officeDocument/2006/relationships/chart" Target="../charts/chart10.xml"/><Relationship Id="rId9" Type="http://schemas.openxmlformats.org/officeDocument/2006/relationships/chart" Target="../charts/chart14.xml"/></Relationships>
</file>

<file path=xl/drawings/_rels/drawing4.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11" Type="http://schemas.openxmlformats.org/officeDocument/2006/relationships/image" Target="../media/image1.jpg"/><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_rels/drawing5.xml.rels><?xml version="1.0" encoding="UTF-8" standalone="yes"?>
<Relationships xmlns="http://schemas.openxmlformats.org/package/2006/relationships"><Relationship Id="rId8" Type="http://schemas.openxmlformats.org/officeDocument/2006/relationships/chart" Target="../charts/chart32.xml"/><Relationship Id="rId13" Type="http://schemas.openxmlformats.org/officeDocument/2006/relationships/chart" Target="../charts/chart37.xml"/><Relationship Id="rId18" Type="http://schemas.openxmlformats.org/officeDocument/2006/relationships/image" Target="../media/image1.jpg"/><Relationship Id="rId3" Type="http://schemas.openxmlformats.org/officeDocument/2006/relationships/chart" Target="../charts/chart27.xml"/><Relationship Id="rId7" Type="http://schemas.openxmlformats.org/officeDocument/2006/relationships/chart" Target="../charts/chart31.xml"/><Relationship Id="rId12" Type="http://schemas.openxmlformats.org/officeDocument/2006/relationships/chart" Target="../charts/chart36.xml"/><Relationship Id="rId17" Type="http://schemas.openxmlformats.org/officeDocument/2006/relationships/chart" Target="../charts/chart41.xml"/><Relationship Id="rId2" Type="http://schemas.openxmlformats.org/officeDocument/2006/relationships/chart" Target="../charts/chart26.xml"/><Relationship Id="rId16" Type="http://schemas.openxmlformats.org/officeDocument/2006/relationships/chart" Target="../charts/chart40.xml"/><Relationship Id="rId1" Type="http://schemas.openxmlformats.org/officeDocument/2006/relationships/chart" Target="../charts/chart25.xml"/><Relationship Id="rId6" Type="http://schemas.openxmlformats.org/officeDocument/2006/relationships/chart" Target="../charts/chart30.xml"/><Relationship Id="rId11" Type="http://schemas.openxmlformats.org/officeDocument/2006/relationships/chart" Target="../charts/chart35.xml"/><Relationship Id="rId5" Type="http://schemas.openxmlformats.org/officeDocument/2006/relationships/chart" Target="../charts/chart29.xml"/><Relationship Id="rId15" Type="http://schemas.openxmlformats.org/officeDocument/2006/relationships/chart" Target="../charts/chart39.xml"/><Relationship Id="rId10" Type="http://schemas.openxmlformats.org/officeDocument/2006/relationships/chart" Target="../charts/chart34.xml"/><Relationship Id="rId4" Type="http://schemas.openxmlformats.org/officeDocument/2006/relationships/chart" Target="../charts/chart28.xml"/><Relationship Id="rId9" Type="http://schemas.openxmlformats.org/officeDocument/2006/relationships/chart" Target="../charts/chart33.xml"/><Relationship Id="rId14" Type="http://schemas.openxmlformats.org/officeDocument/2006/relationships/chart" Target="../charts/chart38.xml"/></Relationships>
</file>

<file path=xl/drawings/_rels/drawing6.xml.rels><?xml version="1.0" encoding="UTF-8" standalone="yes"?>
<Relationships xmlns="http://schemas.openxmlformats.org/package/2006/relationships"><Relationship Id="rId8" Type="http://schemas.openxmlformats.org/officeDocument/2006/relationships/chart" Target="../charts/chart49.xml"/><Relationship Id="rId13" Type="http://schemas.openxmlformats.org/officeDocument/2006/relationships/image" Target="../media/image1.jpg"/><Relationship Id="rId3" Type="http://schemas.openxmlformats.org/officeDocument/2006/relationships/chart" Target="../charts/chart44.xml"/><Relationship Id="rId7" Type="http://schemas.openxmlformats.org/officeDocument/2006/relationships/chart" Target="../charts/chart48.xml"/><Relationship Id="rId12" Type="http://schemas.openxmlformats.org/officeDocument/2006/relationships/chart" Target="../charts/chart53.xml"/><Relationship Id="rId2" Type="http://schemas.openxmlformats.org/officeDocument/2006/relationships/chart" Target="../charts/chart43.xml"/><Relationship Id="rId1" Type="http://schemas.openxmlformats.org/officeDocument/2006/relationships/chart" Target="../charts/chart42.xml"/><Relationship Id="rId6" Type="http://schemas.openxmlformats.org/officeDocument/2006/relationships/chart" Target="../charts/chart47.xml"/><Relationship Id="rId11" Type="http://schemas.openxmlformats.org/officeDocument/2006/relationships/chart" Target="../charts/chart52.xml"/><Relationship Id="rId5" Type="http://schemas.openxmlformats.org/officeDocument/2006/relationships/chart" Target="../charts/chart46.xml"/><Relationship Id="rId10" Type="http://schemas.openxmlformats.org/officeDocument/2006/relationships/chart" Target="../charts/chart51.xml"/><Relationship Id="rId4" Type="http://schemas.openxmlformats.org/officeDocument/2006/relationships/chart" Target="../charts/chart45.xml"/><Relationship Id="rId9" Type="http://schemas.openxmlformats.org/officeDocument/2006/relationships/chart" Target="../charts/chart50.xml"/><Relationship Id="rId14" Type="http://schemas.openxmlformats.org/officeDocument/2006/relationships/chart" Target="../charts/chart54.xml"/></Relationships>
</file>

<file path=xl/drawings/_rels/drawing7.xml.rels><?xml version="1.0" encoding="UTF-8" standalone="yes"?>
<Relationships xmlns="http://schemas.openxmlformats.org/package/2006/relationships"><Relationship Id="rId8" Type="http://schemas.openxmlformats.org/officeDocument/2006/relationships/chart" Target="../charts/chart62.xml"/><Relationship Id="rId13" Type="http://schemas.openxmlformats.org/officeDocument/2006/relationships/chart" Target="../charts/chart67.xml"/><Relationship Id="rId18" Type="http://schemas.openxmlformats.org/officeDocument/2006/relationships/chart" Target="../charts/chart71.xml"/><Relationship Id="rId3" Type="http://schemas.openxmlformats.org/officeDocument/2006/relationships/chart" Target="../charts/chart57.xml"/><Relationship Id="rId7" Type="http://schemas.openxmlformats.org/officeDocument/2006/relationships/chart" Target="../charts/chart61.xml"/><Relationship Id="rId12" Type="http://schemas.openxmlformats.org/officeDocument/2006/relationships/chart" Target="../charts/chart66.xml"/><Relationship Id="rId17" Type="http://schemas.openxmlformats.org/officeDocument/2006/relationships/chart" Target="../charts/chart70.xml"/><Relationship Id="rId2" Type="http://schemas.openxmlformats.org/officeDocument/2006/relationships/chart" Target="../charts/chart56.xml"/><Relationship Id="rId16" Type="http://schemas.openxmlformats.org/officeDocument/2006/relationships/chart" Target="../charts/chart69.xml"/><Relationship Id="rId1" Type="http://schemas.openxmlformats.org/officeDocument/2006/relationships/chart" Target="../charts/chart55.xml"/><Relationship Id="rId6" Type="http://schemas.openxmlformats.org/officeDocument/2006/relationships/chart" Target="../charts/chart60.xml"/><Relationship Id="rId11" Type="http://schemas.openxmlformats.org/officeDocument/2006/relationships/chart" Target="../charts/chart65.xml"/><Relationship Id="rId5" Type="http://schemas.openxmlformats.org/officeDocument/2006/relationships/chart" Target="../charts/chart59.xml"/><Relationship Id="rId15" Type="http://schemas.openxmlformats.org/officeDocument/2006/relationships/chart" Target="../charts/chart68.xml"/><Relationship Id="rId10" Type="http://schemas.openxmlformats.org/officeDocument/2006/relationships/chart" Target="../charts/chart64.xml"/><Relationship Id="rId4" Type="http://schemas.openxmlformats.org/officeDocument/2006/relationships/chart" Target="../charts/chart58.xml"/><Relationship Id="rId9" Type="http://schemas.openxmlformats.org/officeDocument/2006/relationships/chart" Target="../charts/chart63.xml"/><Relationship Id="rId14" Type="http://schemas.openxmlformats.org/officeDocument/2006/relationships/image" Target="../media/image1.jpg"/></Relationships>
</file>

<file path=xl/drawings/_rels/drawing8.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10583</xdr:colOff>
      <xdr:row>0</xdr:row>
      <xdr:rowOff>74083</xdr:rowOff>
    </xdr:from>
    <xdr:to>
      <xdr:col>2</xdr:col>
      <xdr:colOff>10583</xdr:colOff>
      <xdr:row>0</xdr:row>
      <xdr:rowOff>1712383</xdr:rowOff>
    </xdr:to>
    <xdr:pic>
      <xdr:nvPicPr>
        <xdr:cNvPr id="2" name="Imagem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391708" y="74083"/>
          <a:ext cx="5715000" cy="1638300"/>
        </a:xfrm>
        <a:prstGeom prst="rect">
          <a:avLst/>
        </a:prstGeom>
      </xdr:spPr>
    </xdr:pic>
    <xdr:clientData/>
  </xdr:twoCellAnchor>
  <xdr:twoCellAnchor editAs="oneCell">
    <xdr:from>
      <xdr:col>2</xdr:col>
      <xdr:colOff>0</xdr:colOff>
      <xdr:row>1</xdr:row>
      <xdr:rowOff>19049</xdr:rowOff>
    </xdr:from>
    <xdr:to>
      <xdr:col>19</xdr:col>
      <xdr:colOff>9525</xdr:colOff>
      <xdr:row>29</xdr:row>
      <xdr:rowOff>133349</xdr:rowOff>
    </xdr:to>
    <xdr:pic>
      <xdr:nvPicPr>
        <xdr:cNvPr id="4" name="Imagem 3"/>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096125" y="1790699"/>
          <a:ext cx="10372725" cy="50196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10</xdr:col>
      <xdr:colOff>381000</xdr:colOff>
      <xdr:row>30</xdr:row>
      <xdr:rowOff>28575</xdr:rowOff>
    </xdr:from>
    <xdr:to>
      <xdr:col>10</xdr:col>
      <xdr:colOff>5781000</xdr:colOff>
      <xdr:row>48</xdr:row>
      <xdr:rowOff>48000</xdr:rowOff>
    </xdr:to>
    <xdr:graphicFrame macro="">
      <xdr:nvGraphicFramePr>
        <xdr:cNvPr id="2" name="Gráfico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304800</xdr:colOff>
      <xdr:row>6</xdr:row>
      <xdr:rowOff>142875</xdr:rowOff>
    </xdr:from>
    <xdr:to>
      <xdr:col>10</xdr:col>
      <xdr:colOff>5704800</xdr:colOff>
      <xdr:row>24</xdr:row>
      <xdr:rowOff>144375</xdr:rowOff>
    </xdr:to>
    <xdr:graphicFrame macro="">
      <xdr:nvGraphicFramePr>
        <xdr:cNvPr id="3" name="Gráfico 2"/>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1</xdr:col>
      <xdr:colOff>12699</xdr:colOff>
      <xdr:row>0</xdr:row>
      <xdr:rowOff>53975</xdr:rowOff>
    </xdr:from>
    <xdr:ext cx="5715000" cy="1638300"/>
    <xdr:pic>
      <xdr:nvPicPr>
        <xdr:cNvPr id="4" name="Imagem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660524" y="53975"/>
          <a:ext cx="5715000" cy="1638300"/>
        </a:xfrm>
        <a:prstGeom prst="rect">
          <a:avLst/>
        </a:prstGeom>
      </xdr:spPr>
    </xdr:pic>
    <xdr:clientData/>
  </xdr:oneCellAnchor>
  <xdr:twoCellAnchor editAs="oneCell">
    <xdr:from>
      <xdr:col>71</xdr:col>
      <xdr:colOff>247650</xdr:colOff>
      <xdr:row>7</xdr:row>
      <xdr:rowOff>152400</xdr:rowOff>
    </xdr:from>
    <xdr:to>
      <xdr:col>71</xdr:col>
      <xdr:colOff>4819650</xdr:colOff>
      <xdr:row>21</xdr:row>
      <xdr:rowOff>142875</xdr:rowOff>
    </xdr:to>
    <xdr:graphicFrame macro="">
      <xdr:nvGraphicFramePr>
        <xdr:cNvPr id="5" name="Gráfico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76</xdr:col>
      <xdr:colOff>381000</xdr:colOff>
      <xdr:row>6</xdr:row>
      <xdr:rowOff>133350</xdr:rowOff>
    </xdr:from>
    <xdr:to>
      <xdr:col>76</xdr:col>
      <xdr:colOff>4953000</xdr:colOff>
      <xdr:row>20</xdr:row>
      <xdr:rowOff>285750</xdr:rowOff>
    </xdr:to>
    <xdr:graphicFrame macro="">
      <xdr:nvGraphicFramePr>
        <xdr:cNvPr id="6" name="Gráfico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71</xdr:col>
      <xdr:colOff>314325</xdr:colOff>
      <xdr:row>42</xdr:row>
      <xdr:rowOff>19050</xdr:rowOff>
    </xdr:from>
    <xdr:to>
      <xdr:col>71</xdr:col>
      <xdr:colOff>4886325</xdr:colOff>
      <xdr:row>58</xdr:row>
      <xdr:rowOff>9525</xdr:rowOff>
    </xdr:to>
    <xdr:graphicFrame macro="">
      <xdr:nvGraphicFramePr>
        <xdr:cNvPr id="8" name="Gráfico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76</xdr:col>
      <xdr:colOff>304800</xdr:colOff>
      <xdr:row>45</xdr:row>
      <xdr:rowOff>0</xdr:rowOff>
    </xdr:from>
    <xdr:to>
      <xdr:col>76</xdr:col>
      <xdr:colOff>4876800</xdr:colOff>
      <xdr:row>61</xdr:row>
      <xdr:rowOff>152400</xdr:rowOff>
    </xdr:to>
    <xdr:graphicFrame macro="">
      <xdr:nvGraphicFramePr>
        <xdr:cNvPr id="9" name="Gráfico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11</xdr:col>
      <xdr:colOff>428625</xdr:colOff>
      <xdr:row>7</xdr:row>
      <xdr:rowOff>38100</xdr:rowOff>
    </xdr:from>
    <xdr:to>
      <xdr:col>11</xdr:col>
      <xdr:colOff>5000625</xdr:colOff>
      <xdr:row>20</xdr:row>
      <xdr:rowOff>3300</xdr:rowOff>
    </xdr:to>
    <xdr:graphicFrame macro="">
      <xdr:nvGraphicFramePr>
        <xdr:cNvPr id="14" name="Gráfico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11</xdr:col>
      <xdr:colOff>323850</xdr:colOff>
      <xdr:row>24</xdr:row>
      <xdr:rowOff>104775</xdr:rowOff>
    </xdr:from>
    <xdr:to>
      <xdr:col>11</xdr:col>
      <xdr:colOff>4895850</xdr:colOff>
      <xdr:row>39</xdr:row>
      <xdr:rowOff>95250</xdr:rowOff>
    </xdr:to>
    <xdr:graphicFrame macro="">
      <xdr:nvGraphicFramePr>
        <xdr:cNvPr id="15" name="Gráfico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16</xdr:col>
      <xdr:colOff>304800</xdr:colOff>
      <xdr:row>6</xdr:row>
      <xdr:rowOff>104775</xdr:rowOff>
    </xdr:from>
    <xdr:to>
      <xdr:col>16</xdr:col>
      <xdr:colOff>4876800</xdr:colOff>
      <xdr:row>22</xdr:row>
      <xdr:rowOff>95250</xdr:rowOff>
    </xdr:to>
    <mc:AlternateContent xmlns:mc="http://schemas.openxmlformats.org/markup-compatibility/2006">
      <mc:Choice xmlns:cx="http://schemas.microsoft.com/office/drawing/2014/chartex" Requires="cx">
        <xdr:graphicFrame macro="">
          <xdr:nvGraphicFramePr>
            <xdr:cNvPr id="16" name="Gráfico 15"/>
            <xdr:cNvGraphicFramePr/>
          </xdr:nvGraphicFramePr>
          <xdr:xfrm>
            <a:off x="0" y="0"/>
            <a:ext cx="0" cy="0"/>
          </xdr:xfrm>
          <a:graphic>
            <a:graphicData uri="http://schemas.microsoft.com/office/drawing/2014/chartex">
              <c:chart xmlns:c="http://schemas.openxmlformats.org/drawingml/2006/chart" xmlns:r="http://schemas.openxmlformats.org/officeDocument/2006/relationships" r:id="rId3"/>
            </a:graphicData>
          </a:graphic>
        </xdr:graphicFrame>
      </mc:Choice>
      <mc:Fallback>
        <xdr:sp macro="" textlink="">
          <xdr:nvSpPr>
            <xdr:cNvPr id="0" name=""/>
            <xdr:cNvSpPr>
              <a:spLocks noTextEdit="1"/>
            </xdr:cNvSpPr>
          </xdr:nvSpPr>
          <xdr:spPr>
            <a:prstGeom prst="rect">
              <a:avLst/>
            </a:prstGeom>
            <a:solidFill>
              <a:prstClr val="white"/>
            </a:solidFill>
            <a:ln w="1">
              <a:solidFill>
                <a:prstClr val="green"/>
              </a:solidFill>
            </a:ln>
          </xdr:spPr>
          <xdr:txBody>
            <a:bodyPr vertOverflow="clip" horzOverflow="clip"/>
            <a:lstStyle/>
            <a:p>
              <a:r>
                <a:rPr lang="pt-BR" sz="1100"/>
                <a:t>Este gráfico não está disponível na sua versão de Excel.
Editar esta forma ou salvar esta pasta de trabalho em um formato de arquivo diferente quebrará o gráfico permanentemente.</a:t>
              </a:r>
            </a:p>
          </xdr:txBody>
        </xdr:sp>
      </mc:Fallback>
    </mc:AlternateContent>
    <xdr:clientData/>
  </xdr:twoCellAnchor>
  <xdr:twoCellAnchor>
    <xdr:from>
      <xdr:col>16</xdr:col>
      <xdr:colOff>381000</xdr:colOff>
      <xdr:row>25</xdr:row>
      <xdr:rowOff>152400</xdr:rowOff>
    </xdr:from>
    <xdr:to>
      <xdr:col>16</xdr:col>
      <xdr:colOff>4953000</xdr:colOff>
      <xdr:row>41</xdr:row>
      <xdr:rowOff>142875</xdr:rowOff>
    </xdr:to>
    <mc:AlternateContent xmlns:mc="http://schemas.openxmlformats.org/markup-compatibility/2006">
      <mc:Choice xmlns:cx="http://schemas.microsoft.com/office/drawing/2014/chartex" Requires="cx">
        <xdr:graphicFrame macro="">
          <xdr:nvGraphicFramePr>
            <xdr:cNvPr id="17" name="Gráfico 16"/>
            <xdr:cNvGraphicFramePr/>
          </xdr:nvGraphicFramePr>
          <xdr:xfrm>
            <a:off x="0" y="0"/>
            <a:ext cx="0" cy="0"/>
          </xdr:xfrm>
          <a:graphic>
            <a:graphicData uri="http://schemas.microsoft.com/office/drawing/2014/chartex">
              <c:chart xmlns:c="http://schemas.openxmlformats.org/drawingml/2006/chart" xmlns:r="http://schemas.openxmlformats.org/officeDocument/2006/relationships" r:id="rId4"/>
            </a:graphicData>
          </a:graphic>
        </xdr:graphicFrame>
      </mc:Choice>
      <mc:Fallback>
        <xdr:sp macro="" textlink="">
          <xdr:nvSpPr>
            <xdr:cNvPr id="0" name=""/>
            <xdr:cNvSpPr>
              <a:spLocks noTextEdit="1"/>
            </xdr:cNvSpPr>
          </xdr:nvSpPr>
          <xdr:spPr>
            <a:prstGeom prst="rect">
              <a:avLst/>
            </a:prstGeom>
            <a:solidFill>
              <a:prstClr val="white"/>
            </a:solidFill>
            <a:ln w="1">
              <a:solidFill>
                <a:prstClr val="green"/>
              </a:solidFill>
            </a:ln>
          </xdr:spPr>
          <xdr:txBody>
            <a:bodyPr vertOverflow="clip" horzOverflow="clip"/>
            <a:lstStyle/>
            <a:p>
              <a:r>
                <a:rPr lang="pt-BR" sz="1100"/>
                <a:t>Este gráfico não está disponível na sua versão de Excel.
Editar esta forma ou salvar esta pasta de trabalho em um formato de arquivo diferente quebrará o gráfico permanentemente.</a:t>
              </a:r>
            </a:p>
          </xdr:txBody>
        </xdr:sp>
      </mc:Fallback>
    </mc:AlternateContent>
    <xdr:clientData/>
  </xdr:twoCellAnchor>
  <xdr:twoCellAnchor>
    <xdr:from>
      <xdr:col>21</xdr:col>
      <xdr:colOff>219075</xdr:colOff>
      <xdr:row>7</xdr:row>
      <xdr:rowOff>190500</xdr:rowOff>
    </xdr:from>
    <xdr:to>
      <xdr:col>21</xdr:col>
      <xdr:colOff>4791075</xdr:colOff>
      <xdr:row>24</xdr:row>
      <xdr:rowOff>19050</xdr:rowOff>
    </xdr:to>
    <xdr:graphicFrame macro="">
      <xdr:nvGraphicFramePr>
        <xdr:cNvPr id="18" name="Gráfico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21</xdr:col>
      <xdr:colOff>200025</xdr:colOff>
      <xdr:row>28</xdr:row>
      <xdr:rowOff>133350</xdr:rowOff>
    </xdr:from>
    <xdr:to>
      <xdr:col>21</xdr:col>
      <xdr:colOff>4772025</xdr:colOff>
      <xdr:row>43</xdr:row>
      <xdr:rowOff>142875</xdr:rowOff>
    </xdr:to>
    <xdr:graphicFrame macro="">
      <xdr:nvGraphicFramePr>
        <xdr:cNvPr id="19" name="Gráfico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1</xdr:col>
      <xdr:colOff>9525</xdr:colOff>
      <xdr:row>0</xdr:row>
      <xdr:rowOff>66675</xdr:rowOff>
    </xdr:from>
    <xdr:ext cx="5715000" cy="1638300"/>
    <xdr:pic>
      <xdr:nvPicPr>
        <xdr:cNvPr id="20" name="Imagem 19"/>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1276350" y="66675"/>
          <a:ext cx="5715000" cy="1638300"/>
        </a:xfrm>
        <a:prstGeom prst="rect">
          <a:avLst/>
        </a:prstGeom>
      </xdr:spPr>
    </xdr:pic>
    <xdr:clientData/>
  </xdr:oneCellAnchor>
  <xdr:twoCellAnchor>
    <xdr:from>
      <xdr:col>16</xdr:col>
      <xdr:colOff>371475</xdr:colOff>
      <xdr:row>44</xdr:row>
      <xdr:rowOff>28575</xdr:rowOff>
    </xdr:from>
    <xdr:to>
      <xdr:col>16</xdr:col>
      <xdr:colOff>4943475</xdr:colOff>
      <xdr:row>61</xdr:row>
      <xdr:rowOff>19050</xdr:rowOff>
    </xdr:to>
    <mc:AlternateContent xmlns:mc="http://schemas.openxmlformats.org/markup-compatibility/2006">
      <mc:Choice xmlns:cx="http://schemas.microsoft.com/office/drawing/2014/chartex" Requires="cx">
        <xdr:graphicFrame macro="">
          <xdr:nvGraphicFramePr>
            <xdr:cNvPr id="9" name="Gráfico 8"/>
            <xdr:cNvGraphicFramePr/>
          </xdr:nvGraphicFramePr>
          <xdr:xfrm>
            <a:off x="0" y="0"/>
            <a:ext cx="0" cy="0"/>
          </xdr:xfrm>
          <a:graphic>
            <a:graphicData uri="http://schemas.microsoft.com/office/drawing/2014/chartex">
              <c:chart xmlns:c="http://schemas.openxmlformats.org/drawingml/2006/chart" xmlns:r="http://schemas.openxmlformats.org/officeDocument/2006/relationships" r:id="rId8"/>
            </a:graphicData>
          </a:graphic>
        </xdr:graphicFrame>
      </mc:Choice>
      <mc:Fallback>
        <xdr:sp macro="" textlink="">
          <xdr:nvSpPr>
            <xdr:cNvPr id="0" name=""/>
            <xdr:cNvSpPr>
              <a:spLocks noTextEdit="1"/>
            </xdr:cNvSpPr>
          </xdr:nvSpPr>
          <xdr:spPr>
            <a:prstGeom prst="rect">
              <a:avLst/>
            </a:prstGeom>
            <a:solidFill>
              <a:prstClr val="white"/>
            </a:solidFill>
            <a:ln w="1">
              <a:solidFill>
                <a:prstClr val="green"/>
              </a:solidFill>
            </a:ln>
          </xdr:spPr>
          <xdr:txBody>
            <a:bodyPr vertOverflow="clip" horzOverflow="clip"/>
            <a:lstStyle/>
            <a:p>
              <a:r>
                <a:rPr lang="pt-BR" sz="1100"/>
                <a:t>Este gráfico não está disponível na sua versão de Excel.
Editar esta forma ou salvar esta pasta de trabalho em um formato de arquivo diferente quebrará o gráfico permanentemente.</a:t>
              </a:r>
            </a:p>
          </xdr:txBody>
        </xdr:sp>
      </mc:Fallback>
    </mc:AlternateContent>
    <xdr:clientData/>
  </xdr:twoCellAnchor>
  <xdr:twoCellAnchor>
    <xdr:from>
      <xdr:col>16</xdr:col>
      <xdr:colOff>390525</xdr:colOff>
      <xdr:row>63</xdr:row>
      <xdr:rowOff>28575</xdr:rowOff>
    </xdr:from>
    <xdr:to>
      <xdr:col>16</xdr:col>
      <xdr:colOff>4962525</xdr:colOff>
      <xdr:row>81</xdr:row>
      <xdr:rowOff>19050</xdr:rowOff>
    </xdr:to>
    <mc:AlternateContent xmlns:mc="http://schemas.openxmlformats.org/markup-compatibility/2006">
      <mc:Choice xmlns:cx="http://schemas.microsoft.com/office/drawing/2014/chartex" Requires="cx">
        <xdr:graphicFrame macro="">
          <xdr:nvGraphicFramePr>
            <xdr:cNvPr id="10" name="Gráfico 9"/>
            <xdr:cNvGraphicFramePr/>
          </xdr:nvGraphicFramePr>
          <xdr:xfrm>
            <a:off x="0" y="0"/>
            <a:ext cx="0" cy="0"/>
          </xdr:xfrm>
          <a:graphic>
            <a:graphicData uri="http://schemas.microsoft.com/office/drawing/2014/chartex">
              <c:chart xmlns:c="http://schemas.openxmlformats.org/drawingml/2006/chart" xmlns:r="http://schemas.openxmlformats.org/officeDocument/2006/relationships" r:id="rId9"/>
            </a:graphicData>
          </a:graphic>
        </xdr:graphicFrame>
      </mc:Choice>
      <mc:Fallback>
        <xdr:sp macro="" textlink="">
          <xdr:nvSpPr>
            <xdr:cNvPr id="0" name=""/>
            <xdr:cNvSpPr>
              <a:spLocks noTextEdit="1"/>
            </xdr:cNvSpPr>
          </xdr:nvSpPr>
          <xdr:spPr>
            <a:prstGeom prst="rect">
              <a:avLst/>
            </a:prstGeom>
            <a:solidFill>
              <a:prstClr val="white"/>
            </a:solidFill>
            <a:ln w="1">
              <a:solidFill>
                <a:prstClr val="green"/>
              </a:solidFill>
            </a:ln>
          </xdr:spPr>
          <xdr:txBody>
            <a:bodyPr vertOverflow="clip" horzOverflow="clip"/>
            <a:lstStyle/>
            <a:p>
              <a:r>
                <a:rPr lang="pt-BR" sz="1100"/>
                <a:t>Este gráfico não está disponível na sua versão de Excel.
Editar esta forma ou salvar esta pasta de trabalho em um formato de arquivo diferente quebrará o gráfico permanentemente.</a:t>
              </a:r>
            </a:p>
          </xdr:txBody>
        </xdr:sp>
      </mc:Fallback>
    </mc:AlternateContent>
    <xdr:clientData/>
  </xdr:twoCellAnchor>
</xdr:wsDr>
</file>

<file path=xl/drawings/drawing4.xml><?xml version="1.0" encoding="utf-8"?>
<xdr:wsDr xmlns:xdr="http://schemas.openxmlformats.org/drawingml/2006/spreadsheetDrawing" xmlns:a="http://schemas.openxmlformats.org/drawingml/2006/main">
  <xdr:twoCellAnchor>
    <xdr:from>
      <xdr:col>11</xdr:col>
      <xdr:colOff>495300</xdr:colOff>
      <xdr:row>7</xdr:row>
      <xdr:rowOff>19050</xdr:rowOff>
    </xdr:from>
    <xdr:to>
      <xdr:col>11</xdr:col>
      <xdr:colOff>5067300</xdr:colOff>
      <xdr:row>23</xdr:row>
      <xdr:rowOff>9525</xdr:rowOff>
    </xdr:to>
    <xdr:graphicFrame macro="">
      <xdr:nvGraphicFramePr>
        <xdr:cNvPr id="2" name="Gráfico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523875</xdr:colOff>
      <xdr:row>30</xdr:row>
      <xdr:rowOff>19050</xdr:rowOff>
    </xdr:from>
    <xdr:to>
      <xdr:col>11</xdr:col>
      <xdr:colOff>5095875</xdr:colOff>
      <xdr:row>46</xdr:row>
      <xdr:rowOff>38100</xdr:rowOff>
    </xdr:to>
    <xdr:graphicFrame macro="">
      <xdr:nvGraphicFramePr>
        <xdr:cNvPr id="3"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16</xdr:col>
      <xdr:colOff>895350</xdr:colOff>
      <xdr:row>7</xdr:row>
      <xdr:rowOff>47625</xdr:rowOff>
    </xdr:from>
    <xdr:to>
      <xdr:col>16</xdr:col>
      <xdr:colOff>5467350</xdr:colOff>
      <xdr:row>23</xdr:row>
      <xdr:rowOff>38100</xdr:rowOff>
    </xdr:to>
    <xdr:graphicFrame macro="">
      <xdr:nvGraphicFramePr>
        <xdr:cNvPr id="4" name="Gráfico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16</xdr:col>
      <xdr:colOff>1200150</xdr:colOff>
      <xdr:row>30</xdr:row>
      <xdr:rowOff>19050</xdr:rowOff>
    </xdr:from>
    <xdr:to>
      <xdr:col>16</xdr:col>
      <xdr:colOff>5772150</xdr:colOff>
      <xdr:row>46</xdr:row>
      <xdr:rowOff>9525</xdr:rowOff>
    </xdr:to>
    <xdr:graphicFrame macro="">
      <xdr:nvGraphicFramePr>
        <xdr:cNvPr id="5" name="Gráfico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21</xdr:col>
      <xdr:colOff>390525</xdr:colOff>
      <xdr:row>7</xdr:row>
      <xdr:rowOff>19050</xdr:rowOff>
    </xdr:from>
    <xdr:to>
      <xdr:col>21</xdr:col>
      <xdr:colOff>4962525</xdr:colOff>
      <xdr:row>23</xdr:row>
      <xdr:rowOff>9525</xdr:rowOff>
    </xdr:to>
    <xdr:graphicFrame macro="">
      <xdr:nvGraphicFramePr>
        <xdr:cNvPr id="6" name="Gráfico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21</xdr:col>
      <xdr:colOff>428625</xdr:colOff>
      <xdr:row>30</xdr:row>
      <xdr:rowOff>57150</xdr:rowOff>
    </xdr:from>
    <xdr:to>
      <xdr:col>21</xdr:col>
      <xdr:colOff>5000625</xdr:colOff>
      <xdr:row>46</xdr:row>
      <xdr:rowOff>47625</xdr:rowOff>
    </xdr:to>
    <xdr:graphicFrame macro="">
      <xdr:nvGraphicFramePr>
        <xdr:cNvPr id="7" name="Gráfico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26</xdr:col>
      <xdr:colOff>219075</xdr:colOff>
      <xdr:row>7</xdr:row>
      <xdr:rowOff>76200</xdr:rowOff>
    </xdr:from>
    <xdr:to>
      <xdr:col>26</xdr:col>
      <xdr:colOff>4791075</xdr:colOff>
      <xdr:row>23</xdr:row>
      <xdr:rowOff>66675</xdr:rowOff>
    </xdr:to>
    <xdr:graphicFrame macro="">
      <xdr:nvGraphicFramePr>
        <xdr:cNvPr id="8" name="Gráfico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266700</xdr:colOff>
      <xdr:row>30</xdr:row>
      <xdr:rowOff>142875</xdr:rowOff>
    </xdr:from>
    <xdr:to>
      <xdr:col>26</xdr:col>
      <xdr:colOff>4838700</xdr:colOff>
      <xdr:row>46</xdr:row>
      <xdr:rowOff>133350</xdr:rowOff>
    </xdr:to>
    <xdr:graphicFrame macro="">
      <xdr:nvGraphicFramePr>
        <xdr:cNvPr id="9" name="Gráfico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31</xdr:col>
      <xdr:colOff>266700</xdr:colOff>
      <xdr:row>7</xdr:row>
      <xdr:rowOff>28575</xdr:rowOff>
    </xdr:from>
    <xdr:to>
      <xdr:col>31</xdr:col>
      <xdr:colOff>4838700</xdr:colOff>
      <xdr:row>23</xdr:row>
      <xdr:rowOff>19050</xdr:rowOff>
    </xdr:to>
    <xdr:graphicFrame macro="">
      <xdr:nvGraphicFramePr>
        <xdr:cNvPr id="10" name="Gráfico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31</xdr:col>
      <xdr:colOff>285750</xdr:colOff>
      <xdr:row>30</xdr:row>
      <xdr:rowOff>85725</xdr:rowOff>
    </xdr:from>
    <xdr:to>
      <xdr:col>31</xdr:col>
      <xdr:colOff>4857750</xdr:colOff>
      <xdr:row>46</xdr:row>
      <xdr:rowOff>76200</xdr:rowOff>
    </xdr:to>
    <xdr:graphicFrame macro="">
      <xdr:nvGraphicFramePr>
        <xdr:cNvPr id="11" name="Gráfico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oneCellAnchor>
    <xdr:from>
      <xdr:col>1</xdr:col>
      <xdr:colOff>9525</xdr:colOff>
      <xdr:row>0</xdr:row>
      <xdr:rowOff>66675</xdr:rowOff>
    </xdr:from>
    <xdr:ext cx="5715000" cy="1638300"/>
    <xdr:pic>
      <xdr:nvPicPr>
        <xdr:cNvPr id="12" name="Imagem 11"/>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1657350" y="66675"/>
          <a:ext cx="5715000" cy="1638300"/>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twoCellAnchor>
    <xdr:from>
      <xdr:col>23</xdr:col>
      <xdr:colOff>342900</xdr:colOff>
      <xdr:row>7</xdr:row>
      <xdr:rowOff>19050</xdr:rowOff>
    </xdr:from>
    <xdr:to>
      <xdr:col>23</xdr:col>
      <xdr:colOff>4914900</xdr:colOff>
      <xdr:row>23</xdr:row>
      <xdr:rowOff>9525</xdr:rowOff>
    </xdr:to>
    <xdr:graphicFrame macro="">
      <xdr:nvGraphicFramePr>
        <xdr:cNvPr id="2" name="Gráfico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23</xdr:col>
      <xdr:colOff>5133975</xdr:colOff>
      <xdr:row>32</xdr:row>
      <xdr:rowOff>38100</xdr:rowOff>
    </xdr:from>
    <xdr:to>
      <xdr:col>23</xdr:col>
      <xdr:colOff>9705975</xdr:colOff>
      <xdr:row>49</xdr:row>
      <xdr:rowOff>28575</xdr:rowOff>
    </xdr:to>
    <xdr:graphicFrame macro="">
      <xdr:nvGraphicFramePr>
        <xdr:cNvPr id="3"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23</xdr:col>
      <xdr:colOff>361950</xdr:colOff>
      <xdr:row>32</xdr:row>
      <xdr:rowOff>114300</xdr:rowOff>
    </xdr:from>
    <xdr:to>
      <xdr:col>23</xdr:col>
      <xdr:colOff>4933950</xdr:colOff>
      <xdr:row>49</xdr:row>
      <xdr:rowOff>104775</xdr:rowOff>
    </xdr:to>
    <xdr:graphicFrame macro="">
      <xdr:nvGraphicFramePr>
        <xdr:cNvPr id="4" name="Gráfico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23</xdr:col>
      <xdr:colOff>5076825</xdr:colOff>
      <xdr:row>7</xdr:row>
      <xdr:rowOff>66675</xdr:rowOff>
    </xdr:from>
    <xdr:to>
      <xdr:col>23</xdr:col>
      <xdr:colOff>9648825</xdr:colOff>
      <xdr:row>23</xdr:row>
      <xdr:rowOff>57150</xdr:rowOff>
    </xdr:to>
    <xdr:graphicFrame macro="">
      <xdr:nvGraphicFramePr>
        <xdr:cNvPr id="5" name="Gráfico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38</xdr:col>
      <xdr:colOff>677333</xdr:colOff>
      <xdr:row>30</xdr:row>
      <xdr:rowOff>46566</xdr:rowOff>
    </xdr:from>
    <xdr:to>
      <xdr:col>38</xdr:col>
      <xdr:colOff>5249332</xdr:colOff>
      <xdr:row>45</xdr:row>
      <xdr:rowOff>80433</xdr:rowOff>
    </xdr:to>
    <xdr:graphicFrame macro="">
      <xdr:nvGraphicFramePr>
        <xdr:cNvPr id="6" name="Gráfico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45</xdr:col>
      <xdr:colOff>158750</xdr:colOff>
      <xdr:row>7</xdr:row>
      <xdr:rowOff>67734</xdr:rowOff>
    </xdr:from>
    <xdr:to>
      <xdr:col>45</xdr:col>
      <xdr:colOff>4730750</xdr:colOff>
      <xdr:row>23</xdr:row>
      <xdr:rowOff>101600</xdr:rowOff>
    </xdr:to>
    <xdr:graphicFrame macro="">
      <xdr:nvGraphicFramePr>
        <xdr:cNvPr id="7" name="Gráfico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45</xdr:col>
      <xdr:colOff>5080000</xdr:colOff>
      <xdr:row>7</xdr:row>
      <xdr:rowOff>57150</xdr:rowOff>
    </xdr:from>
    <xdr:to>
      <xdr:col>45</xdr:col>
      <xdr:colOff>9652000</xdr:colOff>
      <xdr:row>23</xdr:row>
      <xdr:rowOff>91016</xdr:rowOff>
    </xdr:to>
    <xdr:graphicFrame macro="">
      <xdr:nvGraphicFramePr>
        <xdr:cNvPr id="8" name="Gráfico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45</xdr:col>
      <xdr:colOff>201084</xdr:colOff>
      <xdr:row>30</xdr:row>
      <xdr:rowOff>99484</xdr:rowOff>
    </xdr:from>
    <xdr:to>
      <xdr:col>45</xdr:col>
      <xdr:colOff>4773084</xdr:colOff>
      <xdr:row>45</xdr:row>
      <xdr:rowOff>133351</xdr:rowOff>
    </xdr:to>
    <xdr:graphicFrame macro="">
      <xdr:nvGraphicFramePr>
        <xdr:cNvPr id="9" name="Gráfico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45</xdr:col>
      <xdr:colOff>5132917</xdr:colOff>
      <xdr:row>30</xdr:row>
      <xdr:rowOff>14816</xdr:rowOff>
    </xdr:from>
    <xdr:to>
      <xdr:col>45</xdr:col>
      <xdr:colOff>9657292</xdr:colOff>
      <xdr:row>45</xdr:row>
      <xdr:rowOff>48683</xdr:rowOff>
    </xdr:to>
    <xdr:graphicFrame macro="">
      <xdr:nvGraphicFramePr>
        <xdr:cNvPr id="10" name="Gráfico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45</xdr:col>
      <xdr:colOff>211666</xdr:colOff>
      <xdr:row>53</xdr:row>
      <xdr:rowOff>205317</xdr:rowOff>
    </xdr:from>
    <xdr:to>
      <xdr:col>45</xdr:col>
      <xdr:colOff>4783666</xdr:colOff>
      <xdr:row>69</xdr:row>
      <xdr:rowOff>69850</xdr:rowOff>
    </xdr:to>
    <xdr:graphicFrame macro="">
      <xdr:nvGraphicFramePr>
        <xdr:cNvPr id="11" name="Gráfico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45</xdr:col>
      <xdr:colOff>5196416</xdr:colOff>
      <xdr:row>53</xdr:row>
      <xdr:rowOff>67733</xdr:rowOff>
    </xdr:from>
    <xdr:to>
      <xdr:col>45</xdr:col>
      <xdr:colOff>9768416</xdr:colOff>
      <xdr:row>69</xdr:row>
      <xdr:rowOff>101599</xdr:rowOff>
    </xdr:to>
    <xdr:graphicFrame macro="">
      <xdr:nvGraphicFramePr>
        <xdr:cNvPr id="12" name="Gráfico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45</xdr:col>
      <xdr:colOff>381000</xdr:colOff>
      <xdr:row>78</xdr:row>
      <xdr:rowOff>120650</xdr:rowOff>
    </xdr:from>
    <xdr:to>
      <xdr:col>45</xdr:col>
      <xdr:colOff>4953000</xdr:colOff>
      <xdr:row>93</xdr:row>
      <xdr:rowOff>154517</xdr:rowOff>
    </xdr:to>
    <xdr:graphicFrame macro="">
      <xdr:nvGraphicFramePr>
        <xdr:cNvPr id="13" name="Gráfico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45</xdr:col>
      <xdr:colOff>5154084</xdr:colOff>
      <xdr:row>78</xdr:row>
      <xdr:rowOff>237067</xdr:rowOff>
    </xdr:from>
    <xdr:to>
      <xdr:col>45</xdr:col>
      <xdr:colOff>9726084</xdr:colOff>
      <xdr:row>94</xdr:row>
      <xdr:rowOff>112184</xdr:rowOff>
    </xdr:to>
    <xdr:graphicFrame macro="">
      <xdr:nvGraphicFramePr>
        <xdr:cNvPr id="14" name="Gráfico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45</xdr:col>
      <xdr:colOff>243416</xdr:colOff>
      <xdr:row>101</xdr:row>
      <xdr:rowOff>67734</xdr:rowOff>
    </xdr:from>
    <xdr:to>
      <xdr:col>45</xdr:col>
      <xdr:colOff>4815416</xdr:colOff>
      <xdr:row>118</xdr:row>
      <xdr:rowOff>112184</xdr:rowOff>
    </xdr:to>
    <xdr:graphicFrame macro="">
      <xdr:nvGraphicFramePr>
        <xdr:cNvPr id="15" name="Gráfico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45</xdr:col>
      <xdr:colOff>179916</xdr:colOff>
      <xdr:row>124</xdr:row>
      <xdr:rowOff>110068</xdr:rowOff>
    </xdr:from>
    <xdr:to>
      <xdr:col>45</xdr:col>
      <xdr:colOff>4751916</xdr:colOff>
      <xdr:row>141</xdr:row>
      <xdr:rowOff>154518</xdr:rowOff>
    </xdr:to>
    <xdr:graphicFrame macro="">
      <xdr:nvGraphicFramePr>
        <xdr:cNvPr id="16" name="Gráfico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45</xdr:col>
      <xdr:colOff>317499</xdr:colOff>
      <xdr:row>148</xdr:row>
      <xdr:rowOff>14818</xdr:rowOff>
    </xdr:from>
    <xdr:to>
      <xdr:col>45</xdr:col>
      <xdr:colOff>4889499</xdr:colOff>
      <xdr:row>165</xdr:row>
      <xdr:rowOff>59268</xdr:rowOff>
    </xdr:to>
    <xdr:graphicFrame macro="">
      <xdr:nvGraphicFramePr>
        <xdr:cNvPr id="17" name="Gráfico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45</xdr:col>
      <xdr:colOff>486833</xdr:colOff>
      <xdr:row>170</xdr:row>
      <xdr:rowOff>46567</xdr:rowOff>
    </xdr:from>
    <xdr:to>
      <xdr:col>45</xdr:col>
      <xdr:colOff>5058833</xdr:colOff>
      <xdr:row>185</xdr:row>
      <xdr:rowOff>80433</xdr:rowOff>
    </xdr:to>
    <xdr:graphicFrame macro="">
      <xdr:nvGraphicFramePr>
        <xdr:cNvPr id="18" name="Gráfico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oneCellAnchor>
    <xdr:from>
      <xdr:col>1</xdr:col>
      <xdr:colOff>28575</xdr:colOff>
      <xdr:row>0</xdr:row>
      <xdr:rowOff>66675</xdr:rowOff>
    </xdr:from>
    <xdr:ext cx="5715000" cy="1638300"/>
    <xdr:pic>
      <xdr:nvPicPr>
        <xdr:cNvPr id="19" name="Imagem 18"/>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tretch>
          <a:fillRect/>
        </a:stretch>
      </xdr:blipFill>
      <xdr:spPr>
        <a:xfrm>
          <a:off x="1676400" y="66675"/>
          <a:ext cx="5715000" cy="1638300"/>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twoCellAnchor editAs="oneCell">
    <xdr:from>
      <xdr:col>10</xdr:col>
      <xdr:colOff>338666</xdr:colOff>
      <xdr:row>7</xdr:row>
      <xdr:rowOff>120649</xdr:rowOff>
    </xdr:from>
    <xdr:to>
      <xdr:col>10</xdr:col>
      <xdr:colOff>4910667</xdr:colOff>
      <xdr:row>22</xdr:row>
      <xdr:rowOff>154515</xdr:rowOff>
    </xdr:to>
    <xdr:graphicFrame macro="">
      <xdr:nvGraphicFramePr>
        <xdr:cNvPr id="2" name="Gráfico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359834</xdr:colOff>
      <xdr:row>30</xdr:row>
      <xdr:rowOff>152400</xdr:rowOff>
    </xdr:from>
    <xdr:to>
      <xdr:col>10</xdr:col>
      <xdr:colOff>4931834</xdr:colOff>
      <xdr:row>46</xdr:row>
      <xdr:rowOff>27517</xdr:rowOff>
    </xdr:to>
    <xdr:graphicFrame macro="">
      <xdr:nvGraphicFramePr>
        <xdr:cNvPr id="3"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31</xdr:col>
      <xdr:colOff>338666</xdr:colOff>
      <xdr:row>30</xdr:row>
      <xdr:rowOff>184151</xdr:rowOff>
    </xdr:from>
    <xdr:to>
      <xdr:col>31</xdr:col>
      <xdr:colOff>4910666</xdr:colOff>
      <xdr:row>46</xdr:row>
      <xdr:rowOff>59268</xdr:rowOff>
    </xdr:to>
    <xdr:graphicFrame macro="">
      <xdr:nvGraphicFramePr>
        <xdr:cNvPr id="4" name="Gráfico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56</xdr:col>
      <xdr:colOff>265642</xdr:colOff>
      <xdr:row>5</xdr:row>
      <xdr:rowOff>161924</xdr:rowOff>
    </xdr:from>
    <xdr:to>
      <xdr:col>56</xdr:col>
      <xdr:colOff>4837642</xdr:colOff>
      <xdr:row>22</xdr:row>
      <xdr:rowOff>44449</xdr:rowOff>
    </xdr:to>
    <xdr:graphicFrame macro="">
      <xdr:nvGraphicFramePr>
        <xdr:cNvPr id="5" name="Gráfico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61</xdr:col>
      <xdr:colOff>495300</xdr:colOff>
      <xdr:row>5</xdr:row>
      <xdr:rowOff>164041</xdr:rowOff>
    </xdr:from>
    <xdr:to>
      <xdr:col>61</xdr:col>
      <xdr:colOff>5067300</xdr:colOff>
      <xdr:row>22</xdr:row>
      <xdr:rowOff>46566</xdr:rowOff>
    </xdr:to>
    <xdr:graphicFrame macro="">
      <xdr:nvGraphicFramePr>
        <xdr:cNvPr id="6" name="Gráfico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66</xdr:col>
      <xdr:colOff>424391</xdr:colOff>
      <xdr:row>5</xdr:row>
      <xdr:rowOff>240242</xdr:rowOff>
    </xdr:from>
    <xdr:to>
      <xdr:col>66</xdr:col>
      <xdr:colOff>4996391</xdr:colOff>
      <xdr:row>21</xdr:row>
      <xdr:rowOff>95250</xdr:rowOff>
    </xdr:to>
    <xdr:graphicFrame macro="">
      <xdr:nvGraphicFramePr>
        <xdr:cNvPr id="7" name="Gráfico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108</xdr:col>
      <xdr:colOff>643467</xdr:colOff>
      <xdr:row>7</xdr:row>
      <xdr:rowOff>4232</xdr:rowOff>
    </xdr:from>
    <xdr:to>
      <xdr:col>108</xdr:col>
      <xdr:colOff>5215467</xdr:colOff>
      <xdr:row>23</xdr:row>
      <xdr:rowOff>48682</xdr:rowOff>
    </xdr:to>
    <xdr:graphicFrame macro="">
      <xdr:nvGraphicFramePr>
        <xdr:cNvPr id="8" name="Gráfico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108</xdr:col>
      <xdr:colOff>625475</xdr:colOff>
      <xdr:row>30</xdr:row>
      <xdr:rowOff>19050</xdr:rowOff>
    </xdr:from>
    <xdr:to>
      <xdr:col>108</xdr:col>
      <xdr:colOff>5197475</xdr:colOff>
      <xdr:row>45</xdr:row>
      <xdr:rowOff>66675</xdr:rowOff>
    </xdr:to>
    <xdr:graphicFrame macro="">
      <xdr:nvGraphicFramePr>
        <xdr:cNvPr id="9" name="Gráfico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113</xdr:col>
      <xdr:colOff>443442</xdr:colOff>
      <xdr:row>7</xdr:row>
      <xdr:rowOff>6349</xdr:rowOff>
    </xdr:from>
    <xdr:to>
      <xdr:col>113</xdr:col>
      <xdr:colOff>5015442</xdr:colOff>
      <xdr:row>23</xdr:row>
      <xdr:rowOff>53974</xdr:rowOff>
    </xdr:to>
    <xdr:graphicFrame macro="">
      <xdr:nvGraphicFramePr>
        <xdr:cNvPr id="10" name="Gráfico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118</xdr:col>
      <xdr:colOff>492125</xdr:colOff>
      <xdr:row>7</xdr:row>
      <xdr:rowOff>10582</xdr:rowOff>
    </xdr:from>
    <xdr:to>
      <xdr:col>118</xdr:col>
      <xdr:colOff>5064125</xdr:colOff>
      <xdr:row>23</xdr:row>
      <xdr:rowOff>55032</xdr:rowOff>
    </xdr:to>
    <xdr:graphicFrame macro="">
      <xdr:nvGraphicFramePr>
        <xdr:cNvPr id="11" name="Gráfico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oneCell">
    <xdr:from>
      <xdr:col>118</xdr:col>
      <xdr:colOff>473075</xdr:colOff>
      <xdr:row>30</xdr:row>
      <xdr:rowOff>4232</xdr:rowOff>
    </xdr:from>
    <xdr:to>
      <xdr:col>118</xdr:col>
      <xdr:colOff>5045075</xdr:colOff>
      <xdr:row>45</xdr:row>
      <xdr:rowOff>221191</xdr:rowOff>
    </xdr:to>
    <xdr:graphicFrame macro="">
      <xdr:nvGraphicFramePr>
        <xdr:cNvPr id="12" name="Gráfico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oneCell">
    <xdr:from>
      <xdr:col>113</xdr:col>
      <xdr:colOff>492125</xdr:colOff>
      <xdr:row>30</xdr:row>
      <xdr:rowOff>41275</xdr:rowOff>
    </xdr:from>
    <xdr:to>
      <xdr:col>113</xdr:col>
      <xdr:colOff>5064125</xdr:colOff>
      <xdr:row>46</xdr:row>
      <xdr:rowOff>110067</xdr:rowOff>
    </xdr:to>
    <xdr:graphicFrame macro="">
      <xdr:nvGraphicFramePr>
        <xdr:cNvPr id="13" name="Gráfico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oneCellAnchor>
    <xdr:from>
      <xdr:col>1</xdr:col>
      <xdr:colOff>19050</xdr:colOff>
      <xdr:row>0</xdr:row>
      <xdr:rowOff>66675</xdr:rowOff>
    </xdr:from>
    <xdr:ext cx="5715000" cy="1638300"/>
    <xdr:pic>
      <xdr:nvPicPr>
        <xdr:cNvPr id="14" name="Imagem 13"/>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1666875" y="66675"/>
          <a:ext cx="5715000" cy="1638300"/>
        </a:xfrm>
        <a:prstGeom prst="rect">
          <a:avLst/>
        </a:prstGeom>
      </xdr:spPr>
    </xdr:pic>
    <xdr:clientData/>
  </xdr:oneCellAnchor>
  <xdr:twoCellAnchor editAs="oneCell">
    <xdr:from>
      <xdr:col>66</xdr:col>
      <xdr:colOff>419100</xdr:colOff>
      <xdr:row>22</xdr:row>
      <xdr:rowOff>95250</xdr:rowOff>
    </xdr:from>
    <xdr:to>
      <xdr:col>66</xdr:col>
      <xdr:colOff>4991100</xdr:colOff>
      <xdr:row>33</xdr:row>
      <xdr:rowOff>112183</xdr:rowOff>
    </xdr:to>
    <xdr:graphicFrame macro="">
      <xdr:nvGraphicFramePr>
        <xdr:cNvPr id="15" name="Gráfico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editAs="oneCell">
    <xdr:from>
      <xdr:col>8</xdr:col>
      <xdr:colOff>449792</xdr:colOff>
      <xdr:row>6</xdr:row>
      <xdr:rowOff>116416</xdr:rowOff>
    </xdr:from>
    <xdr:to>
      <xdr:col>8</xdr:col>
      <xdr:colOff>5021792</xdr:colOff>
      <xdr:row>22</xdr:row>
      <xdr:rowOff>160866</xdr:rowOff>
    </xdr:to>
    <xdr:graphicFrame macro="">
      <xdr:nvGraphicFramePr>
        <xdr:cNvPr id="2" name="Gráfico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60</xdr:col>
      <xdr:colOff>423333</xdr:colOff>
      <xdr:row>8</xdr:row>
      <xdr:rowOff>110067</xdr:rowOff>
    </xdr:from>
    <xdr:to>
      <xdr:col>60</xdr:col>
      <xdr:colOff>4995333</xdr:colOff>
      <xdr:row>25</xdr:row>
      <xdr:rowOff>154517</xdr:rowOff>
    </xdr:to>
    <xdr:graphicFrame macro="">
      <xdr:nvGraphicFramePr>
        <xdr:cNvPr id="3"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65</xdr:col>
      <xdr:colOff>486833</xdr:colOff>
      <xdr:row>6</xdr:row>
      <xdr:rowOff>99482</xdr:rowOff>
    </xdr:from>
    <xdr:to>
      <xdr:col>65</xdr:col>
      <xdr:colOff>5058833</xdr:colOff>
      <xdr:row>22</xdr:row>
      <xdr:rowOff>133348</xdr:rowOff>
    </xdr:to>
    <xdr:graphicFrame macro="">
      <xdr:nvGraphicFramePr>
        <xdr:cNvPr id="4" name="Gráfico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71</xdr:col>
      <xdr:colOff>321734</xdr:colOff>
      <xdr:row>7</xdr:row>
      <xdr:rowOff>63499</xdr:rowOff>
    </xdr:from>
    <xdr:to>
      <xdr:col>71</xdr:col>
      <xdr:colOff>4893734</xdr:colOff>
      <xdr:row>23</xdr:row>
      <xdr:rowOff>273049</xdr:rowOff>
    </xdr:to>
    <xdr:graphicFrame macro="">
      <xdr:nvGraphicFramePr>
        <xdr:cNvPr id="5" name="Gráfico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83</xdr:col>
      <xdr:colOff>423333</xdr:colOff>
      <xdr:row>8</xdr:row>
      <xdr:rowOff>152399</xdr:rowOff>
    </xdr:from>
    <xdr:to>
      <xdr:col>83</xdr:col>
      <xdr:colOff>4995333</xdr:colOff>
      <xdr:row>26</xdr:row>
      <xdr:rowOff>38099</xdr:rowOff>
    </xdr:to>
    <xdr:graphicFrame macro="">
      <xdr:nvGraphicFramePr>
        <xdr:cNvPr id="6" name="Gráfico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88</xdr:col>
      <xdr:colOff>391584</xdr:colOff>
      <xdr:row>8</xdr:row>
      <xdr:rowOff>141816</xdr:rowOff>
    </xdr:from>
    <xdr:to>
      <xdr:col>88</xdr:col>
      <xdr:colOff>4963584</xdr:colOff>
      <xdr:row>26</xdr:row>
      <xdr:rowOff>27516</xdr:rowOff>
    </xdr:to>
    <xdr:graphicFrame macro="">
      <xdr:nvGraphicFramePr>
        <xdr:cNvPr id="7" name="Gráfico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100</xdr:col>
      <xdr:colOff>629708</xdr:colOff>
      <xdr:row>6</xdr:row>
      <xdr:rowOff>134407</xdr:rowOff>
    </xdr:from>
    <xdr:to>
      <xdr:col>100</xdr:col>
      <xdr:colOff>5201708</xdr:colOff>
      <xdr:row>23</xdr:row>
      <xdr:rowOff>178857</xdr:rowOff>
    </xdr:to>
    <xdr:graphicFrame macro="">
      <xdr:nvGraphicFramePr>
        <xdr:cNvPr id="8" name="Gráfico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107</xdr:col>
      <xdr:colOff>400050</xdr:colOff>
      <xdr:row>6</xdr:row>
      <xdr:rowOff>142875</xdr:rowOff>
    </xdr:from>
    <xdr:to>
      <xdr:col>107</xdr:col>
      <xdr:colOff>4972050</xdr:colOff>
      <xdr:row>22</xdr:row>
      <xdr:rowOff>133350</xdr:rowOff>
    </xdr:to>
    <xdr:graphicFrame macro="">
      <xdr:nvGraphicFramePr>
        <xdr:cNvPr id="9" name="Gráfico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78</xdr:col>
      <xdr:colOff>466725</xdr:colOff>
      <xdr:row>7</xdr:row>
      <xdr:rowOff>76200</xdr:rowOff>
    </xdr:from>
    <xdr:to>
      <xdr:col>78</xdr:col>
      <xdr:colOff>5038725</xdr:colOff>
      <xdr:row>23</xdr:row>
      <xdr:rowOff>66675</xdr:rowOff>
    </xdr:to>
    <xdr:graphicFrame macro="">
      <xdr:nvGraphicFramePr>
        <xdr:cNvPr id="10" name="Gráfico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95</xdr:col>
      <xdr:colOff>247650</xdr:colOff>
      <xdr:row>7</xdr:row>
      <xdr:rowOff>28575</xdr:rowOff>
    </xdr:from>
    <xdr:to>
      <xdr:col>95</xdr:col>
      <xdr:colOff>4819650</xdr:colOff>
      <xdr:row>23</xdr:row>
      <xdr:rowOff>19050</xdr:rowOff>
    </xdr:to>
    <xdr:graphicFrame macro="">
      <xdr:nvGraphicFramePr>
        <xdr:cNvPr id="11" name="Gráfico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60</xdr:col>
      <xdr:colOff>419100</xdr:colOff>
      <xdr:row>27</xdr:row>
      <xdr:rowOff>152400</xdr:rowOff>
    </xdr:from>
    <xdr:to>
      <xdr:col>60</xdr:col>
      <xdr:colOff>4991100</xdr:colOff>
      <xdr:row>41</xdr:row>
      <xdr:rowOff>142875</xdr:rowOff>
    </xdr:to>
    <xdr:graphicFrame macro="">
      <xdr:nvGraphicFramePr>
        <xdr:cNvPr id="12" name="Gráfico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oneCell">
    <xdr:from>
      <xdr:col>8</xdr:col>
      <xdr:colOff>549275</xdr:colOff>
      <xdr:row>29</xdr:row>
      <xdr:rowOff>142875</xdr:rowOff>
    </xdr:from>
    <xdr:to>
      <xdr:col>8</xdr:col>
      <xdr:colOff>5121275</xdr:colOff>
      <xdr:row>44</xdr:row>
      <xdr:rowOff>35984</xdr:rowOff>
    </xdr:to>
    <xdr:graphicFrame macro="">
      <xdr:nvGraphicFramePr>
        <xdr:cNvPr id="13" name="Gráfico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60</xdr:col>
      <xdr:colOff>391583</xdr:colOff>
      <xdr:row>44</xdr:row>
      <xdr:rowOff>148167</xdr:rowOff>
    </xdr:from>
    <xdr:to>
      <xdr:col>60</xdr:col>
      <xdr:colOff>4963583</xdr:colOff>
      <xdr:row>61</xdr:row>
      <xdr:rowOff>23284</xdr:rowOff>
    </xdr:to>
    <xdr:graphicFrame macro="">
      <xdr:nvGraphicFramePr>
        <xdr:cNvPr id="14" name="Gráfico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oneCellAnchor>
    <xdr:from>
      <xdr:col>1</xdr:col>
      <xdr:colOff>9525</xdr:colOff>
      <xdr:row>0</xdr:row>
      <xdr:rowOff>66675</xdr:rowOff>
    </xdr:from>
    <xdr:ext cx="5715000" cy="1638300"/>
    <xdr:pic>
      <xdr:nvPicPr>
        <xdr:cNvPr id="15" name="Imagem 14"/>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1657350" y="66675"/>
          <a:ext cx="5715000" cy="1638300"/>
        </a:xfrm>
        <a:prstGeom prst="rect">
          <a:avLst/>
        </a:prstGeom>
      </xdr:spPr>
    </xdr:pic>
    <xdr:clientData/>
  </xdr:oneCellAnchor>
  <xdr:twoCellAnchor>
    <xdr:from>
      <xdr:col>78</xdr:col>
      <xdr:colOff>495300</xdr:colOff>
      <xdr:row>29</xdr:row>
      <xdr:rowOff>323850</xdr:rowOff>
    </xdr:from>
    <xdr:to>
      <xdr:col>78</xdr:col>
      <xdr:colOff>5067300</xdr:colOff>
      <xdr:row>41</xdr:row>
      <xdr:rowOff>314325</xdr:rowOff>
    </xdr:to>
    <xdr:graphicFrame macro="">
      <xdr:nvGraphicFramePr>
        <xdr:cNvPr id="16" name="Gráfico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editAs="oneCell">
    <xdr:from>
      <xdr:col>95</xdr:col>
      <xdr:colOff>247650</xdr:colOff>
      <xdr:row>29</xdr:row>
      <xdr:rowOff>85725</xdr:rowOff>
    </xdr:from>
    <xdr:to>
      <xdr:col>95</xdr:col>
      <xdr:colOff>4819650</xdr:colOff>
      <xdr:row>41</xdr:row>
      <xdr:rowOff>400050</xdr:rowOff>
    </xdr:to>
    <xdr:graphicFrame macro="">
      <xdr:nvGraphicFramePr>
        <xdr:cNvPr id="17" name="Gráfico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editAs="oneCell">
    <xdr:from>
      <xdr:col>107</xdr:col>
      <xdr:colOff>400050</xdr:colOff>
      <xdr:row>29</xdr:row>
      <xdr:rowOff>0</xdr:rowOff>
    </xdr:from>
    <xdr:to>
      <xdr:col>107</xdr:col>
      <xdr:colOff>4972050</xdr:colOff>
      <xdr:row>41</xdr:row>
      <xdr:rowOff>314325</xdr:rowOff>
    </xdr:to>
    <xdr:graphicFrame macro="">
      <xdr:nvGraphicFramePr>
        <xdr:cNvPr id="18" name="Gráfico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editAs="oneCell">
    <xdr:from>
      <xdr:col>71</xdr:col>
      <xdr:colOff>171450</xdr:colOff>
      <xdr:row>29</xdr:row>
      <xdr:rowOff>285750</xdr:rowOff>
    </xdr:from>
    <xdr:to>
      <xdr:col>71</xdr:col>
      <xdr:colOff>4743450</xdr:colOff>
      <xdr:row>44</xdr:row>
      <xdr:rowOff>9525</xdr:rowOff>
    </xdr:to>
    <xdr:graphicFrame macro="">
      <xdr:nvGraphicFramePr>
        <xdr:cNvPr id="19" name="Gráfico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wsDr>
</file>

<file path=xl/drawings/drawing8.xml><?xml version="1.0" encoding="utf-8"?>
<xdr:wsDr xmlns:xdr="http://schemas.openxmlformats.org/drawingml/2006/spreadsheetDrawing" xmlns:a="http://schemas.openxmlformats.org/drawingml/2006/main">
  <xdr:oneCellAnchor>
    <xdr:from>
      <xdr:col>1</xdr:col>
      <xdr:colOff>28575</xdr:colOff>
      <xdr:row>0</xdr:row>
      <xdr:rowOff>66675</xdr:rowOff>
    </xdr:from>
    <xdr:ext cx="5715000" cy="1638300"/>
    <xdr:pic>
      <xdr:nvPicPr>
        <xdr:cNvPr id="2" name="Imagem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76400" y="66675"/>
          <a:ext cx="5715000" cy="1638300"/>
        </a:xfrm>
        <a:prstGeom prst="rect">
          <a:avLst/>
        </a:prstGeom>
      </xdr:spPr>
    </xdr:pic>
    <xdr:clientData/>
  </xdr:one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7.xml"/><Relationship Id="rId1" Type="http://schemas.openxmlformats.org/officeDocument/2006/relationships/printerSettings" Target="../printerSettings/printerSettings10.bin"/><Relationship Id="rId4" Type="http://schemas.openxmlformats.org/officeDocument/2006/relationships/comments" Target="../comments1.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outlinePr summaryBelow="0" summaryRight="0"/>
  </sheetPr>
  <dimension ref="A1:FN288"/>
  <sheetViews>
    <sheetView zoomScale="90" zoomScaleNormal="90" workbookViewId="0">
      <pane ySplit="2" topLeftCell="A3" activePane="bottomLeft" state="frozen"/>
      <selection pane="bottomLeft"/>
    </sheetView>
  </sheetViews>
  <sheetFormatPr defaultColWidth="14.42578125" defaultRowHeight="15.75" customHeight="1" x14ac:dyDescent="0.2"/>
  <cols>
    <col min="1" max="1" width="20.42578125" style="1" bestFit="1" customWidth="1"/>
    <col min="2" max="2" width="25.42578125" style="20" bestFit="1" customWidth="1"/>
    <col min="3" max="3" width="45.28515625" style="1" bestFit="1" customWidth="1"/>
    <col min="4" max="4" width="64.42578125" style="20" bestFit="1" customWidth="1"/>
    <col min="5" max="5" width="44.7109375" style="1" bestFit="1" customWidth="1"/>
    <col min="6" max="7" width="44.7109375" style="1" customWidth="1"/>
    <col min="8" max="8" width="52.7109375" style="1" customWidth="1"/>
    <col min="9" max="9" width="39.140625" style="1" bestFit="1" customWidth="1"/>
    <col min="10" max="10" width="51.5703125" style="1" bestFit="1" customWidth="1"/>
    <col min="11" max="11" width="35.5703125" style="1" bestFit="1" customWidth="1"/>
    <col min="12" max="12" width="59.85546875" style="1" bestFit="1" customWidth="1"/>
    <col min="13" max="13" width="61.140625" style="1" bestFit="1" customWidth="1"/>
    <col min="14" max="14" width="88.42578125" style="1" bestFit="1" customWidth="1"/>
    <col min="15" max="15" width="89" style="1" bestFit="1" customWidth="1"/>
    <col min="16" max="16" width="99.28515625" style="1" bestFit="1" customWidth="1"/>
    <col min="17" max="17" width="99.85546875" style="1" bestFit="1" customWidth="1"/>
    <col min="18" max="18" width="57.42578125" style="1" bestFit="1" customWidth="1"/>
    <col min="19" max="19" width="63.85546875" style="1" bestFit="1" customWidth="1"/>
    <col min="20" max="20" width="25.7109375" style="1" bestFit="1" customWidth="1"/>
    <col min="21" max="21" width="52.7109375" style="1" bestFit="1" customWidth="1"/>
    <col min="22" max="22" width="74" style="1" bestFit="1" customWidth="1"/>
    <col min="23" max="23" width="40.42578125" style="1" bestFit="1" customWidth="1"/>
    <col min="24" max="24" width="60.42578125" style="1" bestFit="1" customWidth="1"/>
    <col min="25" max="25" width="63" style="1" bestFit="1" customWidth="1"/>
    <col min="26" max="26" width="76.42578125" style="1" bestFit="1" customWidth="1"/>
    <col min="27" max="27" width="48.5703125" style="1" bestFit="1" customWidth="1"/>
    <col min="28" max="29" width="53.140625" style="1" bestFit="1" customWidth="1"/>
    <col min="30" max="30" width="67.28515625" style="1" bestFit="1" customWidth="1"/>
    <col min="31" max="31" width="98" style="1" bestFit="1" customWidth="1"/>
    <col min="32" max="32" width="71.140625" style="1" bestFit="1" customWidth="1"/>
    <col min="33" max="33" width="71.140625" style="1" customWidth="1"/>
    <col min="34" max="34" width="31.85546875" style="1" bestFit="1" customWidth="1"/>
    <col min="35" max="35" width="86.28515625" style="1" bestFit="1" customWidth="1"/>
    <col min="36" max="36" width="82.42578125" style="1" bestFit="1" customWidth="1"/>
    <col min="37" max="37" width="101.5703125" style="1" bestFit="1" customWidth="1"/>
    <col min="38" max="38" width="38" style="1" bestFit="1" customWidth="1"/>
    <col min="39" max="39" width="74.28515625" style="1" bestFit="1" customWidth="1"/>
    <col min="40" max="40" width="67" style="1" bestFit="1" customWidth="1"/>
    <col min="41" max="41" width="45.28515625" style="1" bestFit="1" customWidth="1"/>
    <col min="42" max="42" width="50" style="1" bestFit="1" customWidth="1"/>
    <col min="43" max="43" width="54.140625" style="1" bestFit="1" customWidth="1"/>
    <col min="44" max="44" width="68.85546875" style="1" bestFit="1" customWidth="1"/>
    <col min="45" max="45" width="109.7109375" style="1" bestFit="1" customWidth="1"/>
    <col min="46" max="46" width="96.42578125" style="1" bestFit="1" customWidth="1"/>
    <col min="47" max="47" width="51.85546875" style="1" bestFit="1" customWidth="1"/>
    <col min="48" max="48" width="78" style="1" bestFit="1" customWidth="1"/>
    <col min="49" max="49" width="98.7109375" style="1" bestFit="1" customWidth="1"/>
    <col min="50" max="50" width="36.7109375" style="1" bestFit="1" customWidth="1"/>
    <col min="51" max="51" width="51.140625" style="1" bestFit="1" customWidth="1"/>
    <col min="52" max="52" width="81" style="1" bestFit="1" customWidth="1"/>
    <col min="53" max="53" width="44.140625" style="1" bestFit="1" customWidth="1"/>
    <col min="54" max="54" width="43.140625" style="1" bestFit="1" customWidth="1"/>
    <col min="55" max="55" width="38.7109375" style="1" customWidth="1"/>
    <col min="56" max="56" width="45" style="1" bestFit="1" customWidth="1"/>
    <col min="57" max="58" width="38.42578125" style="1" bestFit="1" customWidth="1"/>
    <col min="59" max="59" width="30.140625" style="1" bestFit="1" customWidth="1"/>
    <col min="60" max="60" width="39.7109375" style="1" bestFit="1" customWidth="1"/>
    <col min="61" max="61" width="19.140625" style="1" bestFit="1" customWidth="1"/>
    <col min="62" max="62" width="21.7109375" style="1" bestFit="1" customWidth="1"/>
    <col min="63" max="63" width="30.28515625" style="1" bestFit="1" customWidth="1"/>
    <col min="64" max="64" width="42.28515625" style="1" bestFit="1" customWidth="1"/>
    <col min="65" max="65" width="44.85546875" style="1" bestFit="1" customWidth="1"/>
    <col min="66" max="66" width="37.7109375" style="1" bestFit="1" customWidth="1"/>
    <col min="67" max="67" width="45.85546875" style="1" bestFit="1" customWidth="1"/>
    <col min="68" max="68" width="55.5703125" style="1" bestFit="1" customWidth="1"/>
    <col min="69" max="69" width="57" style="1" bestFit="1" customWidth="1"/>
    <col min="70" max="70" width="54.28515625" style="1" bestFit="1" customWidth="1"/>
    <col min="71" max="71" width="48.85546875" style="1" bestFit="1" customWidth="1"/>
    <col min="72" max="72" width="30.140625" style="1" bestFit="1" customWidth="1"/>
    <col min="73" max="73" width="39.7109375" style="1" bestFit="1" customWidth="1"/>
    <col min="74" max="74" width="19.140625" style="1" bestFit="1" customWidth="1"/>
    <col min="75" max="75" width="21.7109375" style="1" bestFit="1" customWidth="1"/>
    <col min="76" max="76" width="30.28515625" style="1" bestFit="1" customWidth="1"/>
    <col min="77" max="77" width="42.28515625" style="1" bestFit="1" customWidth="1"/>
    <col min="78" max="78" width="44.85546875" style="1" bestFit="1" customWidth="1"/>
    <col min="79" max="79" width="37.7109375" style="1" bestFit="1" customWidth="1"/>
    <col min="80" max="80" width="45.85546875" style="1" bestFit="1" customWidth="1"/>
    <col min="81" max="81" width="55.5703125" style="1" bestFit="1" customWidth="1"/>
    <col min="82" max="82" width="57" style="1" bestFit="1" customWidth="1"/>
    <col min="83" max="83" width="54.28515625" style="1" bestFit="1" customWidth="1"/>
    <col min="84" max="84" width="48.85546875" style="1" bestFit="1" customWidth="1"/>
    <col min="85" max="85" width="64.5703125" style="1" bestFit="1" customWidth="1"/>
    <col min="86" max="86" width="152.140625" style="1" customWidth="1"/>
    <col min="87" max="88" width="68.5703125" style="1" customWidth="1"/>
    <col min="89" max="89" width="87.5703125" style="1" bestFit="1" customWidth="1"/>
    <col min="90" max="90" width="67.28515625" style="1" customWidth="1"/>
    <col min="91" max="91" width="59.85546875" style="1" customWidth="1"/>
    <col min="92" max="92" width="38.42578125" style="1" bestFit="1" customWidth="1"/>
    <col min="93" max="93" width="32.42578125" style="1" bestFit="1" customWidth="1"/>
    <col min="94" max="94" width="48.7109375" style="1" bestFit="1" customWidth="1"/>
    <col min="95" max="95" width="39.140625" style="1" bestFit="1" customWidth="1"/>
    <col min="96" max="96" width="57.140625" style="1" bestFit="1" customWidth="1"/>
    <col min="97" max="97" width="8.85546875" style="1" bestFit="1" customWidth="1"/>
    <col min="98" max="98" width="15.85546875" style="1" bestFit="1" customWidth="1"/>
    <col min="99" max="99" width="31.85546875" style="1" bestFit="1" customWidth="1"/>
    <col min="100" max="100" width="8.28515625" style="1" bestFit="1" customWidth="1"/>
    <col min="101" max="102" width="16.28515625" style="1" bestFit="1" customWidth="1"/>
    <col min="103" max="103" width="18.28515625" style="1" bestFit="1" customWidth="1"/>
    <col min="104" max="104" width="39.140625" style="1" bestFit="1" customWidth="1"/>
    <col min="105" max="105" width="47.85546875" style="1" bestFit="1" customWidth="1"/>
    <col min="106" max="106" width="27.85546875" style="1" bestFit="1" customWidth="1"/>
    <col min="107" max="107" width="23.5703125" style="1" bestFit="1" customWidth="1"/>
    <col min="108" max="108" width="25.85546875" style="1" bestFit="1" customWidth="1"/>
    <col min="109" max="109" width="31.85546875" style="1" bestFit="1" customWidth="1"/>
    <col min="110" max="110" width="31.5703125" style="1" bestFit="1" customWidth="1"/>
    <col min="111" max="111" width="28.140625" style="1" bestFit="1" customWidth="1"/>
    <col min="112" max="112" width="36.7109375" style="1" bestFit="1" customWidth="1"/>
    <col min="113" max="113" width="92.85546875" style="1" bestFit="1" customWidth="1"/>
    <col min="114" max="114" width="73" style="1" bestFit="1" customWidth="1"/>
    <col min="115" max="115" width="48.7109375" style="1" bestFit="1" customWidth="1"/>
    <col min="116" max="120" width="48.7109375" style="1" customWidth="1"/>
    <col min="121" max="121" width="106" style="1" bestFit="1" customWidth="1"/>
    <col min="122" max="122" width="73.28515625" style="1" bestFit="1" customWidth="1"/>
    <col min="123" max="123" width="20.85546875" style="1" customWidth="1"/>
    <col min="124" max="128" width="20.85546875" customWidth="1"/>
    <col min="129" max="129" width="106.28515625" style="1" bestFit="1" customWidth="1"/>
    <col min="130" max="130" width="62" style="1" bestFit="1" customWidth="1"/>
    <col min="131" max="131" width="99.42578125" style="1" bestFit="1" customWidth="1"/>
    <col min="132" max="132" width="18.28515625" style="1" bestFit="1" customWidth="1"/>
    <col min="133" max="133" width="8.42578125" style="1" bestFit="1" customWidth="1"/>
    <col min="134" max="134" width="17.85546875" style="1" bestFit="1" customWidth="1"/>
    <col min="135" max="135" width="52" style="1" bestFit="1" customWidth="1"/>
    <col min="136" max="136" width="52" style="1" customWidth="1"/>
    <col min="137" max="137" width="45.5703125" style="1" bestFit="1" customWidth="1"/>
    <col min="138" max="138" width="45.5703125" style="1" customWidth="1"/>
    <col min="139" max="139" width="37.140625" style="1" bestFit="1" customWidth="1"/>
    <col min="140" max="140" width="37.140625" style="1" customWidth="1"/>
    <col min="141" max="141" width="94.140625" style="1" bestFit="1" customWidth="1"/>
    <col min="142" max="142" width="95.28515625" style="1" bestFit="1" customWidth="1"/>
    <col min="143" max="143" width="103.5703125" style="1" bestFit="1" customWidth="1"/>
    <col min="144" max="144" width="100" style="1" bestFit="1" customWidth="1"/>
    <col min="145" max="145" width="101.140625" style="1" bestFit="1" customWidth="1"/>
    <col min="146" max="146" width="109.5703125" style="1" bestFit="1" customWidth="1"/>
    <col min="147" max="148" width="53.5703125" style="1" bestFit="1" customWidth="1"/>
    <col min="149" max="149" width="35.5703125" style="1" bestFit="1" customWidth="1"/>
    <col min="150" max="150" width="35.5703125" style="1" customWidth="1"/>
    <col min="151" max="151" width="19.85546875" style="1" bestFit="1" customWidth="1"/>
    <col min="152" max="152" width="43.5703125" style="1" bestFit="1" customWidth="1"/>
    <col min="153" max="153" width="44.42578125" style="1" bestFit="1" customWidth="1"/>
    <col min="154" max="154" width="49.7109375" style="1" bestFit="1" customWidth="1"/>
    <col min="155" max="155" width="40" style="1" bestFit="1" customWidth="1"/>
    <col min="156" max="156" width="31.5703125" style="1" bestFit="1" customWidth="1"/>
    <col min="157" max="157" width="40.140625" style="1" bestFit="1" customWidth="1"/>
    <col min="158" max="158" width="54.5703125" style="1" bestFit="1" customWidth="1"/>
    <col min="159" max="159" width="94.5703125" style="1" bestFit="1" customWidth="1"/>
    <col min="160" max="160" width="177.7109375" style="1" customWidth="1"/>
    <col min="161" max="161" width="39.42578125" style="1" bestFit="1" customWidth="1"/>
    <col min="162" max="164" width="21.5703125" style="1" customWidth="1"/>
    <col min="165" max="166" width="24.42578125" style="1" customWidth="1"/>
    <col min="167" max="167" width="14.42578125" style="1"/>
    <col min="168" max="168" width="38.42578125" style="1" bestFit="1" customWidth="1"/>
    <col min="169" max="169" width="23.85546875" style="1" bestFit="1" customWidth="1"/>
    <col min="170" max="170" width="12.140625" style="1" bestFit="1" customWidth="1"/>
    <col min="171" max="16384" width="14.42578125" style="1"/>
  </cols>
  <sheetData>
    <row r="1" spans="1:170" ht="15.75" customHeight="1" x14ac:dyDescent="0.2">
      <c r="A1" s="8">
        <v>1</v>
      </c>
      <c r="B1" s="8">
        <v>2</v>
      </c>
      <c r="C1" s="8">
        <v>3</v>
      </c>
      <c r="D1" s="8">
        <v>4</v>
      </c>
      <c r="E1" s="8">
        <v>5</v>
      </c>
      <c r="F1" s="8" t="s">
        <v>951</v>
      </c>
      <c r="G1" s="8" t="s">
        <v>952</v>
      </c>
      <c r="H1" s="8">
        <v>6</v>
      </c>
      <c r="I1" s="8" t="s">
        <v>955</v>
      </c>
      <c r="J1" s="8" t="s">
        <v>956</v>
      </c>
      <c r="K1" s="8" t="s">
        <v>957</v>
      </c>
      <c r="L1" s="8" t="s">
        <v>959</v>
      </c>
      <c r="M1" s="8">
        <v>7</v>
      </c>
      <c r="N1" s="8">
        <v>8</v>
      </c>
      <c r="O1" s="8">
        <v>9</v>
      </c>
      <c r="P1" s="8">
        <v>10</v>
      </c>
      <c r="Q1" s="8">
        <v>11</v>
      </c>
      <c r="R1" s="8">
        <v>12</v>
      </c>
      <c r="S1" s="22">
        <v>13</v>
      </c>
      <c r="T1" s="8">
        <v>14</v>
      </c>
      <c r="U1" s="8">
        <v>15</v>
      </c>
      <c r="V1" s="8">
        <v>16</v>
      </c>
      <c r="W1" s="8">
        <v>17</v>
      </c>
      <c r="X1" s="8">
        <v>18</v>
      </c>
      <c r="Y1" s="8">
        <v>19</v>
      </c>
      <c r="Z1" s="8">
        <v>20</v>
      </c>
      <c r="AA1" s="8">
        <v>21</v>
      </c>
      <c r="AB1" s="8">
        <v>22</v>
      </c>
      <c r="AC1" s="8">
        <v>23</v>
      </c>
      <c r="AD1" s="22">
        <v>24</v>
      </c>
      <c r="AE1" s="8">
        <v>25</v>
      </c>
      <c r="AF1" s="22">
        <v>26</v>
      </c>
      <c r="AG1" s="22"/>
      <c r="AH1" s="8">
        <v>27</v>
      </c>
      <c r="AI1" s="22">
        <v>28</v>
      </c>
      <c r="AJ1" s="2">
        <v>29</v>
      </c>
      <c r="AK1" s="2">
        <v>30</v>
      </c>
      <c r="AL1" s="2">
        <v>31</v>
      </c>
      <c r="AM1" s="2">
        <v>32</v>
      </c>
      <c r="AN1" s="2">
        <v>33</v>
      </c>
      <c r="AO1" s="2">
        <v>34</v>
      </c>
      <c r="AP1" s="2">
        <v>35</v>
      </c>
      <c r="AQ1" s="22">
        <v>36</v>
      </c>
      <c r="AR1" s="2">
        <v>37</v>
      </c>
      <c r="AS1" s="2">
        <v>38</v>
      </c>
      <c r="AT1" s="2">
        <v>39</v>
      </c>
      <c r="AU1" s="2">
        <v>40</v>
      </c>
      <c r="AV1" s="2">
        <v>41</v>
      </c>
      <c r="AW1" s="2">
        <v>42</v>
      </c>
      <c r="AX1" s="2">
        <v>43</v>
      </c>
      <c r="AY1" s="2">
        <v>44</v>
      </c>
      <c r="AZ1" s="2">
        <v>45</v>
      </c>
      <c r="BA1" s="2">
        <v>46</v>
      </c>
      <c r="BB1" s="2">
        <v>47</v>
      </c>
      <c r="BC1" s="2"/>
      <c r="BD1" s="2">
        <v>48</v>
      </c>
      <c r="BE1" s="2">
        <v>49</v>
      </c>
      <c r="BF1" s="8">
        <v>50</v>
      </c>
      <c r="BG1" s="8">
        <v>51</v>
      </c>
      <c r="BH1" s="8">
        <v>52</v>
      </c>
      <c r="BI1" s="8">
        <v>53</v>
      </c>
      <c r="BJ1" s="8">
        <v>54</v>
      </c>
      <c r="BK1" s="8">
        <v>55</v>
      </c>
      <c r="BL1" s="8">
        <v>56</v>
      </c>
      <c r="BM1" s="8">
        <v>57</v>
      </c>
      <c r="BN1" s="8">
        <v>58</v>
      </c>
      <c r="BO1" s="8">
        <v>59</v>
      </c>
      <c r="BP1" s="8">
        <v>60</v>
      </c>
      <c r="BQ1" s="8">
        <v>61</v>
      </c>
      <c r="BR1" s="8">
        <v>62</v>
      </c>
      <c r="BS1" s="8">
        <v>63</v>
      </c>
      <c r="BT1" s="8">
        <v>64</v>
      </c>
      <c r="BU1" s="8">
        <v>65</v>
      </c>
      <c r="BV1" s="8">
        <v>66</v>
      </c>
      <c r="BW1" s="8">
        <v>67</v>
      </c>
      <c r="BX1" s="8">
        <v>68</v>
      </c>
      <c r="BY1" s="2">
        <v>69</v>
      </c>
      <c r="BZ1" s="2">
        <v>70</v>
      </c>
      <c r="CA1" s="2">
        <v>71</v>
      </c>
      <c r="CB1" s="2">
        <v>72</v>
      </c>
      <c r="CC1" s="2">
        <v>73</v>
      </c>
      <c r="CD1" s="2">
        <v>74</v>
      </c>
      <c r="CE1" s="2">
        <v>75</v>
      </c>
      <c r="CF1" s="2">
        <v>76</v>
      </c>
      <c r="CG1" s="2">
        <v>77</v>
      </c>
      <c r="CH1" s="2">
        <v>78</v>
      </c>
      <c r="CI1" s="2"/>
      <c r="CJ1" s="2"/>
      <c r="CK1" s="2">
        <v>79</v>
      </c>
      <c r="CL1" s="2"/>
      <c r="CM1" s="2"/>
      <c r="CN1" s="2">
        <v>80</v>
      </c>
      <c r="CO1" s="2">
        <v>81</v>
      </c>
      <c r="CP1" s="2">
        <v>82</v>
      </c>
      <c r="CQ1" s="2">
        <v>83</v>
      </c>
      <c r="CR1" s="2">
        <v>84</v>
      </c>
      <c r="CS1" s="2">
        <v>85</v>
      </c>
      <c r="CT1" s="2">
        <v>86</v>
      </c>
      <c r="CU1" s="2">
        <v>87</v>
      </c>
      <c r="CV1" s="2">
        <v>88</v>
      </c>
      <c r="CW1" s="2">
        <v>89</v>
      </c>
      <c r="CX1" s="2">
        <v>90</v>
      </c>
      <c r="CY1" s="2">
        <v>91</v>
      </c>
      <c r="CZ1" s="2">
        <v>92</v>
      </c>
      <c r="DA1" s="2">
        <v>93</v>
      </c>
      <c r="DB1" s="2">
        <v>94</v>
      </c>
      <c r="DC1" s="2">
        <v>95</v>
      </c>
      <c r="DD1" s="2">
        <v>96</v>
      </c>
      <c r="DE1" s="2">
        <v>97</v>
      </c>
      <c r="DF1" s="2">
        <v>98</v>
      </c>
      <c r="DG1" s="2">
        <v>99</v>
      </c>
      <c r="DH1" s="2">
        <v>100</v>
      </c>
      <c r="DI1" s="2">
        <v>101</v>
      </c>
      <c r="DJ1" s="2">
        <v>102</v>
      </c>
      <c r="DK1" s="2">
        <v>103</v>
      </c>
      <c r="DL1" s="2"/>
      <c r="DM1" s="2"/>
      <c r="DN1" s="2"/>
      <c r="DO1" s="2"/>
      <c r="DP1" s="2"/>
      <c r="DQ1" s="2">
        <v>104</v>
      </c>
      <c r="DR1" s="2">
        <v>105</v>
      </c>
      <c r="DS1" s="2">
        <v>106</v>
      </c>
      <c r="DT1" s="2"/>
      <c r="DU1" s="2"/>
      <c r="DV1" s="2"/>
      <c r="DW1" s="2"/>
      <c r="DX1" s="2"/>
      <c r="DY1" s="2">
        <v>107</v>
      </c>
      <c r="DZ1" s="2">
        <v>108</v>
      </c>
      <c r="EA1" s="2">
        <v>109</v>
      </c>
      <c r="EB1" s="2">
        <v>110</v>
      </c>
      <c r="EC1" s="2">
        <v>111</v>
      </c>
      <c r="ED1" s="2">
        <v>112</v>
      </c>
      <c r="EE1" s="2">
        <v>113</v>
      </c>
      <c r="EF1" s="284">
        <f>EE1</f>
        <v>113</v>
      </c>
      <c r="EG1" s="2">
        <v>114</v>
      </c>
      <c r="EH1" s="284">
        <f>EG1</f>
        <v>114</v>
      </c>
      <c r="EI1" s="2">
        <v>115</v>
      </c>
      <c r="EJ1" s="284">
        <f>EI1</f>
        <v>115</v>
      </c>
      <c r="EK1" s="2">
        <v>116</v>
      </c>
      <c r="EL1" s="2">
        <v>117</v>
      </c>
      <c r="EM1" s="2">
        <v>118</v>
      </c>
      <c r="EN1" s="2">
        <v>119</v>
      </c>
      <c r="EO1" s="2">
        <v>120</v>
      </c>
      <c r="EP1" s="2">
        <v>121</v>
      </c>
      <c r="EQ1" s="2">
        <v>122</v>
      </c>
      <c r="ER1" s="2"/>
      <c r="ES1" s="2">
        <v>123</v>
      </c>
      <c r="ET1" s="2"/>
      <c r="EU1" s="2">
        <v>124</v>
      </c>
      <c r="EV1" s="2">
        <v>125</v>
      </c>
      <c r="EW1" s="2">
        <v>126</v>
      </c>
      <c r="EX1" s="2">
        <v>127</v>
      </c>
      <c r="EY1" s="2">
        <v>128</v>
      </c>
      <c r="EZ1" s="2">
        <v>129</v>
      </c>
      <c r="FA1" s="2">
        <v>130</v>
      </c>
      <c r="FB1" s="2">
        <v>131</v>
      </c>
      <c r="FC1" s="2">
        <v>132</v>
      </c>
      <c r="FD1" s="2">
        <v>133</v>
      </c>
      <c r="FE1" s="2">
        <v>134</v>
      </c>
      <c r="FF1" s="2">
        <v>135</v>
      </c>
      <c r="FI1" s="2">
        <v>136</v>
      </c>
      <c r="FJ1" s="2">
        <v>137</v>
      </c>
    </row>
    <row r="2" spans="1:170" ht="15.75" customHeight="1" x14ac:dyDescent="0.2">
      <c r="A2" s="9" t="s">
        <v>0</v>
      </c>
      <c r="B2" s="21" t="s">
        <v>1</v>
      </c>
      <c r="C2" s="9" t="s">
        <v>2</v>
      </c>
      <c r="D2" s="55" t="s">
        <v>3</v>
      </c>
      <c r="E2" s="9" t="s">
        <v>4</v>
      </c>
      <c r="F2" s="9"/>
      <c r="G2" s="9"/>
      <c r="H2" s="9" t="s">
        <v>5</v>
      </c>
      <c r="I2" s="9"/>
      <c r="J2" s="9"/>
      <c r="K2" s="9"/>
      <c r="L2" s="9"/>
      <c r="M2" s="9" t="s">
        <v>6</v>
      </c>
      <c r="N2" s="9" t="s">
        <v>7</v>
      </c>
      <c r="O2" s="9" t="s">
        <v>8</v>
      </c>
      <c r="P2" s="9" t="s">
        <v>9</v>
      </c>
      <c r="Q2" s="9" t="s">
        <v>10</v>
      </c>
      <c r="R2" s="9" t="s">
        <v>11</v>
      </c>
      <c r="S2" s="23" t="s">
        <v>12</v>
      </c>
      <c r="T2" s="9" t="s">
        <v>13</v>
      </c>
      <c r="U2" s="9" t="s">
        <v>14</v>
      </c>
      <c r="V2" s="9" t="s">
        <v>15</v>
      </c>
      <c r="W2" s="9" t="s">
        <v>16</v>
      </c>
      <c r="X2" s="9" t="s">
        <v>17</v>
      </c>
      <c r="Y2" s="9" t="s">
        <v>18</v>
      </c>
      <c r="Z2" s="9" t="s">
        <v>19</v>
      </c>
      <c r="AA2" s="9" t="s">
        <v>20</v>
      </c>
      <c r="AB2" s="9" t="s">
        <v>21</v>
      </c>
      <c r="AC2" s="9" t="s">
        <v>21</v>
      </c>
      <c r="AD2" s="23" t="s">
        <v>22</v>
      </c>
      <c r="AE2" s="9" t="s">
        <v>23</v>
      </c>
      <c r="AF2" s="23" t="s">
        <v>24</v>
      </c>
      <c r="AG2" s="23"/>
      <c r="AH2" s="9" t="s">
        <v>25</v>
      </c>
      <c r="AI2" s="23" t="s">
        <v>26</v>
      </c>
      <c r="AJ2" s="1" t="s">
        <v>27</v>
      </c>
      <c r="AK2" s="1" t="s">
        <v>28</v>
      </c>
      <c r="AL2" s="1" t="s">
        <v>29</v>
      </c>
      <c r="AM2" s="1" t="s">
        <v>30</v>
      </c>
      <c r="AN2" s="1" t="s">
        <v>31</v>
      </c>
      <c r="AO2" s="1" t="s">
        <v>32</v>
      </c>
      <c r="AP2" s="1" t="s">
        <v>33</v>
      </c>
      <c r="AQ2" s="23" t="s">
        <v>34</v>
      </c>
      <c r="AR2" s="1" t="s">
        <v>35</v>
      </c>
      <c r="AS2" s="1" t="s">
        <v>36</v>
      </c>
      <c r="AT2" s="1" t="s">
        <v>37</v>
      </c>
      <c r="AU2" s="1" t="s">
        <v>38</v>
      </c>
      <c r="AV2" s="1" t="s">
        <v>39</v>
      </c>
      <c r="AW2" s="1" t="s">
        <v>40</v>
      </c>
      <c r="AX2" s="1" t="s">
        <v>41</v>
      </c>
      <c r="AY2" s="1" t="s">
        <v>42</v>
      </c>
      <c r="AZ2" s="1" t="s">
        <v>43</v>
      </c>
      <c r="BA2" s="1" t="s">
        <v>44</v>
      </c>
      <c r="BB2" s="1" t="s">
        <v>45</v>
      </c>
      <c r="BC2" s="283" t="s">
        <v>45</v>
      </c>
      <c r="BD2" s="1" t="s">
        <v>46</v>
      </c>
      <c r="BE2" s="1" t="s">
        <v>47</v>
      </c>
      <c r="BF2" s="9" t="s">
        <v>47</v>
      </c>
      <c r="BG2" s="9" t="s">
        <v>48</v>
      </c>
      <c r="BH2" s="9" t="s">
        <v>49</v>
      </c>
      <c r="BI2" s="9" t="s">
        <v>50</v>
      </c>
      <c r="BJ2" s="9" t="s">
        <v>51</v>
      </c>
      <c r="BK2" s="9" t="s">
        <v>52</v>
      </c>
      <c r="BL2" s="9" t="s">
        <v>53</v>
      </c>
      <c r="BM2" s="9" t="s">
        <v>54</v>
      </c>
      <c r="BN2" s="9" t="s">
        <v>55</v>
      </c>
      <c r="BO2" s="9" t="s">
        <v>56</v>
      </c>
      <c r="BP2" s="9" t="s">
        <v>57</v>
      </c>
      <c r="BQ2" s="9" t="s">
        <v>58</v>
      </c>
      <c r="BR2" s="9" t="s">
        <v>59</v>
      </c>
      <c r="BS2" s="9" t="s">
        <v>60</v>
      </c>
      <c r="BT2" s="9" t="s">
        <v>48</v>
      </c>
      <c r="BU2" s="9" t="s">
        <v>49</v>
      </c>
      <c r="BV2" s="9" t="s">
        <v>50</v>
      </c>
      <c r="BW2" s="9" t="s">
        <v>51</v>
      </c>
      <c r="BX2" s="9" t="s">
        <v>52</v>
      </c>
      <c r="BY2" s="1" t="s">
        <v>53</v>
      </c>
      <c r="BZ2" s="1" t="s">
        <v>54</v>
      </c>
      <c r="CA2" s="1" t="s">
        <v>55</v>
      </c>
      <c r="CB2" s="1" t="s">
        <v>56</v>
      </c>
      <c r="CC2" s="1" t="s">
        <v>57</v>
      </c>
      <c r="CD2" s="1" t="s">
        <v>58</v>
      </c>
      <c r="CE2" s="1" t="s">
        <v>59</v>
      </c>
      <c r="CF2" s="1" t="s">
        <v>60</v>
      </c>
      <c r="CG2" s="1" t="s">
        <v>61</v>
      </c>
      <c r="CH2" s="1" t="s">
        <v>62</v>
      </c>
      <c r="CI2" s="1" t="s">
        <v>62</v>
      </c>
      <c r="CJ2" s="1" t="s">
        <v>62</v>
      </c>
      <c r="CK2" s="1" t="s">
        <v>63</v>
      </c>
      <c r="CN2" s="1" t="s">
        <v>64</v>
      </c>
      <c r="CO2" s="1" t="s">
        <v>65</v>
      </c>
      <c r="CP2" s="1" t="s">
        <v>66</v>
      </c>
      <c r="CQ2" s="1" t="s">
        <v>67</v>
      </c>
      <c r="CR2" s="1" t="s">
        <v>68</v>
      </c>
      <c r="CS2" s="1" t="s">
        <v>69</v>
      </c>
      <c r="CT2" s="1" t="s">
        <v>70</v>
      </c>
      <c r="CU2" s="1" t="s">
        <v>71</v>
      </c>
      <c r="CV2" s="1" t="s">
        <v>72</v>
      </c>
      <c r="CW2" s="1" t="s">
        <v>73</v>
      </c>
      <c r="CX2" s="1" t="s">
        <v>74</v>
      </c>
      <c r="CY2" s="1" t="s">
        <v>75</v>
      </c>
      <c r="CZ2" s="1" t="s">
        <v>76</v>
      </c>
      <c r="DA2" s="1" t="s">
        <v>77</v>
      </c>
      <c r="DB2" s="1" t="s">
        <v>78</v>
      </c>
      <c r="DC2" s="1" t="s">
        <v>79</v>
      </c>
      <c r="DD2" s="1" t="s">
        <v>80</v>
      </c>
      <c r="DE2" s="1" t="s">
        <v>81</v>
      </c>
      <c r="DF2" s="1" t="s">
        <v>82</v>
      </c>
      <c r="DG2" s="1" t="s">
        <v>83</v>
      </c>
      <c r="DH2" s="1" t="s">
        <v>84</v>
      </c>
      <c r="DI2" s="1" t="s">
        <v>85</v>
      </c>
      <c r="DJ2" s="1" t="s">
        <v>86</v>
      </c>
      <c r="DK2" s="1" t="s">
        <v>87</v>
      </c>
      <c r="DQ2" s="1" t="s">
        <v>88</v>
      </c>
      <c r="DR2" s="1" t="s">
        <v>89</v>
      </c>
      <c r="DS2" s="1" t="s">
        <v>90</v>
      </c>
      <c r="DT2" s="1" t="s">
        <v>90</v>
      </c>
      <c r="DU2" s="1" t="s">
        <v>90</v>
      </c>
      <c r="DV2" s="1" t="s">
        <v>90</v>
      </c>
      <c r="DW2" s="1" t="s">
        <v>90</v>
      </c>
      <c r="DX2" s="1" t="s">
        <v>90</v>
      </c>
      <c r="DY2" s="1" t="s">
        <v>91</v>
      </c>
      <c r="DZ2" s="1" t="s">
        <v>92</v>
      </c>
      <c r="EA2" s="1" t="s">
        <v>93</v>
      </c>
      <c r="EB2" s="1" t="s">
        <v>94</v>
      </c>
      <c r="EC2" s="1" t="s">
        <v>95</v>
      </c>
      <c r="ED2" s="1" t="s">
        <v>96</v>
      </c>
      <c r="EE2" s="1" t="s">
        <v>97</v>
      </c>
      <c r="EF2" s="283" t="str">
        <f>EE2</f>
        <v>Em que cidade você morava ANTES de iniciar a graduação?</v>
      </c>
      <c r="EG2" s="1" t="s">
        <v>98</v>
      </c>
      <c r="EH2" s="283" t="str">
        <f>EG2</f>
        <v>Em que cidade você morou DURANTE a graduação?</v>
      </c>
      <c r="EI2" s="1" t="s">
        <v>99</v>
      </c>
      <c r="EJ2" s="283" t="str">
        <f>EI2</f>
        <v>Em que cidade você mora ATUALMENTE?</v>
      </c>
      <c r="EK2" s="1" t="s">
        <v>100</v>
      </c>
      <c r="EL2" s="1" t="s">
        <v>101</v>
      </c>
      <c r="EM2" s="1" t="s">
        <v>102</v>
      </c>
      <c r="EN2" s="1" t="s">
        <v>103</v>
      </c>
      <c r="EO2" s="1" t="s">
        <v>104</v>
      </c>
      <c r="EP2" s="1" t="s">
        <v>105</v>
      </c>
      <c r="EQ2" s="1" t="s">
        <v>106</v>
      </c>
      <c r="ER2" s="283" t="str">
        <f>EQ2</f>
        <v>Como você morava durante seu último ano de graduação?</v>
      </c>
      <c r="ES2" s="1" t="s">
        <v>107</v>
      </c>
      <c r="ET2" s="283" t="str">
        <f>ES2</f>
        <v>Como você mora atualmente?</v>
      </c>
      <c r="EU2" s="1" t="s">
        <v>108</v>
      </c>
      <c r="EV2" s="1" t="s">
        <v>109</v>
      </c>
      <c r="EW2" s="1" t="s">
        <v>110</v>
      </c>
      <c r="EX2" s="1" t="s">
        <v>111</v>
      </c>
      <c r="EY2" s="1" t="s">
        <v>112</v>
      </c>
      <c r="EZ2" s="1" t="s">
        <v>113</v>
      </c>
      <c r="FA2" s="1" t="s">
        <v>114</v>
      </c>
      <c r="FB2" s="1" t="s">
        <v>115</v>
      </c>
      <c r="FC2" s="1" t="s">
        <v>116</v>
      </c>
      <c r="FD2" s="1" t="s">
        <v>117</v>
      </c>
      <c r="FE2" s="37" t="s">
        <v>637</v>
      </c>
      <c r="FF2" s="20" t="s">
        <v>932</v>
      </c>
      <c r="FI2" s="20" t="s">
        <v>764</v>
      </c>
      <c r="FJ2" s="20" t="s">
        <v>1093</v>
      </c>
    </row>
    <row r="3" spans="1:170" s="36" customFormat="1" ht="15.75" customHeight="1" x14ac:dyDescent="0.2">
      <c r="A3" s="38">
        <v>43405.654451342591</v>
      </c>
      <c r="C3" s="36" t="s">
        <v>120</v>
      </c>
      <c r="D3" s="47" t="s">
        <v>133</v>
      </c>
      <c r="E3" s="36" t="s">
        <v>138</v>
      </c>
      <c r="H3" s="36" t="s">
        <v>141</v>
      </c>
      <c r="I3" s="36" t="s">
        <v>143</v>
      </c>
      <c r="J3" s="36" t="s">
        <v>144</v>
      </c>
      <c r="M3" s="36" t="s">
        <v>147</v>
      </c>
      <c r="N3" s="36" t="s">
        <v>133</v>
      </c>
      <c r="O3" s="36" t="s">
        <v>133</v>
      </c>
      <c r="P3" s="36" t="s">
        <v>134</v>
      </c>
      <c r="Q3" s="36" t="s">
        <v>134</v>
      </c>
      <c r="R3" s="36" t="s">
        <v>151</v>
      </c>
      <c r="Y3" s="36" t="s">
        <v>166</v>
      </c>
      <c r="AC3" s="36" t="s">
        <v>186</v>
      </c>
      <c r="AD3" s="36" t="s">
        <v>289</v>
      </c>
      <c r="AE3" s="36">
        <v>4</v>
      </c>
      <c r="AF3" s="36" t="s">
        <v>190</v>
      </c>
      <c r="AG3" s="36" t="s">
        <v>190</v>
      </c>
      <c r="AH3" s="36" t="s">
        <v>134</v>
      </c>
      <c r="AI3" s="40">
        <v>2600</v>
      </c>
      <c r="AJ3" s="36">
        <v>4</v>
      </c>
      <c r="AK3" s="36">
        <v>5</v>
      </c>
      <c r="AL3" s="36" t="s">
        <v>133</v>
      </c>
      <c r="AP3" s="36" t="s">
        <v>289</v>
      </c>
      <c r="AQ3" s="40">
        <v>4000</v>
      </c>
      <c r="AR3" s="36">
        <v>3</v>
      </c>
      <c r="AS3" s="36">
        <v>4</v>
      </c>
      <c r="AT3" s="36">
        <v>2</v>
      </c>
      <c r="AU3" s="36">
        <v>3</v>
      </c>
      <c r="AV3" s="36">
        <v>3</v>
      </c>
      <c r="AW3" s="36" t="s">
        <v>192</v>
      </c>
      <c r="AX3" s="36" t="s">
        <v>206</v>
      </c>
      <c r="AY3" s="36" t="s">
        <v>208</v>
      </c>
      <c r="AZ3" s="36" t="s">
        <v>133</v>
      </c>
      <c r="BA3" s="36" t="s">
        <v>170</v>
      </c>
      <c r="BB3" s="36" t="s">
        <v>290</v>
      </c>
      <c r="BC3" s="36" t="s">
        <v>292</v>
      </c>
      <c r="BD3" s="36" t="s">
        <v>190</v>
      </c>
      <c r="BG3" s="36">
        <v>4</v>
      </c>
      <c r="BH3" s="36">
        <v>4</v>
      </c>
      <c r="BI3" s="36">
        <v>4</v>
      </c>
      <c r="BJ3" s="36">
        <v>2</v>
      </c>
      <c r="BK3" s="36">
        <v>3</v>
      </c>
      <c r="BL3" s="36">
        <v>4</v>
      </c>
      <c r="BM3" s="36">
        <v>4</v>
      </c>
      <c r="BN3" s="36">
        <v>5</v>
      </c>
      <c r="BO3" s="36">
        <v>1</v>
      </c>
      <c r="BP3" s="36">
        <v>3</v>
      </c>
      <c r="BQ3" s="36">
        <v>3</v>
      </c>
      <c r="BR3" s="36">
        <v>4</v>
      </c>
      <c r="BS3" s="36">
        <v>1</v>
      </c>
      <c r="BT3" s="36">
        <v>4</v>
      </c>
      <c r="BU3" s="36">
        <v>3</v>
      </c>
      <c r="BV3" s="36">
        <v>4</v>
      </c>
      <c r="BW3" s="36">
        <v>4</v>
      </c>
      <c r="BX3" s="36">
        <v>4</v>
      </c>
      <c r="BY3" s="36">
        <v>4</v>
      </c>
      <c r="BZ3" s="36">
        <v>4</v>
      </c>
      <c r="CA3" s="36">
        <v>5</v>
      </c>
      <c r="CB3" s="36">
        <v>4</v>
      </c>
      <c r="CC3" s="36">
        <v>4</v>
      </c>
      <c r="CD3" s="36">
        <v>4</v>
      </c>
      <c r="CE3" s="36">
        <v>4</v>
      </c>
      <c r="CF3" s="36">
        <v>2</v>
      </c>
      <c r="CG3" s="36">
        <v>4</v>
      </c>
      <c r="CH3" s="36" t="s">
        <v>1014</v>
      </c>
      <c r="CI3"/>
      <c r="CJ3"/>
      <c r="CK3" s="36" t="s">
        <v>232</v>
      </c>
      <c r="CL3" t="s">
        <v>233</v>
      </c>
      <c r="CM3" t="s">
        <v>239</v>
      </c>
      <c r="CN3" s="36" t="s">
        <v>242</v>
      </c>
      <c r="CO3" s="36" t="s">
        <v>134</v>
      </c>
      <c r="CP3" s="36">
        <v>2</v>
      </c>
      <c r="CQ3" s="36">
        <v>5</v>
      </c>
      <c r="CR3" s="36" t="s">
        <v>249</v>
      </c>
      <c r="CS3" s="36">
        <v>3</v>
      </c>
      <c r="CT3" s="36">
        <v>4</v>
      </c>
      <c r="CU3" s="36">
        <v>5</v>
      </c>
      <c r="CV3" s="36">
        <v>5</v>
      </c>
      <c r="CW3" s="36">
        <v>5</v>
      </c>
      <c r="CX3" s="36">
        <v>3</v>
      </c>
      <c r="CY3" s="36">
        <v>4</v>
      </c>
      <c r="CZ3" s="36">
        <v>4</v>
      </c>
      <c r="DA3" s="36">
        <v>4</v>
      </c>
      <c r="DB3" s="36">
        <v>2</v>
      </c>
      <c r="DC3" s="36">
        <v>4</v>
      </c>
      <c r="DD3" s="36">
        <v>5</v>
      </c>
      <c r="DE3" s="36">
        <v>5</v>
      </c>
      <c r="DF3" s="36">
        <v>5</v>
      </c>
      <c r="DG3" s="36">
        <v>5</v>
      </c>
      <c r="DH3" s="36">
        <v>2</v>
      </c>
      <c r="DI3" s="36" t="s">
        <v>133</v>
      </c>
      <c r="DJ3" s="36" t="s">
        <v>133</v>
      </c>
      <c r="DK3" s="36" t="s">
        <v>254</v>
      </c>
      <c r="DL3" t="s">
        <v>255</v>
      </c>
      <c r="DM3"/>
      <c r="DN3"/>
      <c r="DO3" t="s">
        <v>256</v>
      </c>
      <c r="DP3" t="s">
        <v>257</v>
      </c>
      <c r="DQ3" s="36">
        <v>5</v>
      </c>
      <c r="DR3" s="36" t="s">
        <v>133</v>
      </c>
      <c r="DS3" s="36" t="s">
        <v>260</v>
      </c>
      <c r="DT3" t="s">
        <v>261</v>
      </c>
      <c r="DU3"/>
      <c r="DV3"/>
      <c r="DW3"/>
      <c r="DX3"/>
      <c r="DY3" s="36">
        <v>5</v>
      </c>
      <c r="DZ3" s="36" t="s">
        <v>134</v>
      </c>
      <c r="EB3" s="36" t="s">
        <v>262</v>
      </c>
      <c r="EC3" s="36" t="s">
        <v>264</v>
      </c>
      <c r="ED3" s="36">
        <v>26</v>
      </c>
      <c r="EE3" s="36" t="s">
        <v>291</v>
      </c>
      <c r="EF3" s="36" t="str">
        <f>Tabulacao!MC3</f>
        <v>Lagarto</v>
      </c>
      <c r="EG3" s="36" t="s">
        <v>291</v>
      </c>
      <c r="EH3" s="36" t="str">
        <f>Tabulacao!MG3</f>
        <v>Lagarto</v>
      </c>
      <c r="EI3" s="36" t="s">
        <v>292</v>
      </c>
      <c r="EJ3" s="36" t="str">
        <f>Tabulacao!MK3</f>
        <v>Aracaju</v>
      </c>
      <c r="EK3" s="36" t="s">
        <v>134</v>
      </c>
      <c r="EL3" s="36" t="s">
        <v>134</v>
      </c>
      <c r="EM3" s="36" t="s">
        <v>134</v>
      </c>
      <c r="EN3" s="36" t="s">
        <v>134</v>
      </c>
      <c r="EO3" s="36" t="s">
        <v>134</v>
      </c>
      <c r="EP3" s="36" t="s">
        <v>134</v>
      </c>
      <c r="EQ3" s="36" t="s">
        <v>273</v>
      </c>
      <c r="ER3" s="36" t="str">
        <f>IF(OR(EQ3=CaractAmostra!$BD$9,EQ3=CaractAmostra!$BD$10,EQ3=CaractAmostra!$BD$11,EQ3=CaractAmostra!$BD$12,EQ3=CaractAmostra!$BD$13),Respostas_Formatadas!EQ3,"Outros")</f>
        <v>Dividia residência com outras pessoas</v>
      </c>
      <c r="ES3" s="36" t="s">
        <v>277</v>
      </c>
      <c r="ET3" s="36" t="str">
        <f>IF(OR(ES3=CaractAmostra!$BH$9,ES3=CaractAmostra!$BH$10,ES3=CaractAmostra!$BH$11,ES3=CaractAmostra!$BH$12),Respostas_Formatadas!ES3,"Outros")</f>
        <v>Sozinho</v>
      </c>
      <c r="EU3" s="36" t="s">
        <v>134</v>
      </c>
      <c r="EV3" s="36" t="s">
        <v>285</v>
      </c>
      <c r="EW3" s="36" t="s">
        <v>287</v>
      </c>
      <c r="FD3" s="36" t="s">
        <v>293</v>
      </c>
      <c r="FE3" s="47">
        <v>2016</v>
      </c>
      <c r="FF3" s="97">
        <v>9.3510000000000009</v>
      </c>
      <c r="FI3" s="47" t="str">
        <f t="shared" ref="FI3:FI66" si="0">VLOOKUP($C3,$FL$4:$FN$16,2,FALSE)</f>
        <v>Lagarto</v>
      </c>
      <c r="FJ3" s="47" t="str">
        <f t="shared" ref="FJ3:FJ66" si="1">VLOOKUP($C3,$FL$4:$FN$16,3,FALSE)</f>
        <v>Bacharelado</v>
      </c>
    </row>
    <row r="4" spans="1:170" s="36" customFormat="1" ht="15.75" customHeight="1" x14ac:dyDescent="0.2">
      <c r="A4" s="38">
        <v>43405.655292557873</v>
      </c>
      <c r="C4" s="36" t="s">
        <v>130</v>
      </c>
      <c r="D4" s="47" t="s">
        <v>134</v>
      </c>
      <c r="M4" s="36" t="s">
        <v>146</v>
      </c>
      <c r="N4" s="36" t="s">
        <v>134</v>
      </c>
      <c r="O4" s="36" t="s">
        <v>134</v>
      </c>
      <c r="P4" s="36" t="s">
        <v>133</v>
      </c>
      <c r="Q4" s="36" t="s">
        <v>134</v>
      </c>
      <c r="R4" s="36" t="s">
        <v>151</v>
      </c>
      <c r="Y4" s="36" t="s">
        <v>134</v>
      </c>
      <c r="AI4" s="40"/>
      <c r="AQ4" s="40"/>
      <c r="BT4" s="36">
        <v>5</v>
      </c>
      <c r="BU4" s="36">
        <v>5</v>
      </c>
      <c r="BV4" s="36">
        <v>5</v>
      </c>
      <c r="BW4" s="36">
        <v>5</v>
      </c>
      <c r="BX4" s="36">
        <v>5</v>
      </c>
      <c r="BY4" s="36">
        <v>5</v>
      </c>
      <c r="BZ4" s="36">
        <v>5</v>
      </c>
      <c r="CA4" s="36">
        <v>5</v>
      </c>
      <c r="CB4" s="36">
        <v>5</v>
      </c>
      <c r="CC4" s="36">
        <v>5</v>
      </c>
      <c r="CD4" s="36">
        <v>5</v>
      </c>
      <c r="CE4" s="36">
        <v>5</v>
      </c>
      <c r="CF4" s="36">
        <v>3</v>
      </c>
      <c r="CG4" s="36">
        <v>3</v>
      </c>
      <c r="CH4" s="36" t="s">
        <v>222</v>
      </c>
      <c r="CI4"/>
      <c r="CJ4"/>
      <c r="CK4" s="36" t="s">
        <v>235</v>
      </c>
      <c r="CL4"/>
      <c r="CM4"/>
      <c r="CN4" s="36" t="s">
        <v>241</v>
      </c>
      <c r="CO4" s="36" t="s">
        <v>134</v>
      </c>
      <c r="CP4" s="36">
        <v>3</v>
      </c>
      <c r="CQ4" s="36">
        <v>4</v>
      </c>
      <c r="CR4" s="36" t="s">
        <v>249</v>
      </c>
      <c r="CS4" s="36">
        <v>3</v>
      </c>
      <c r="CT4" s="36">
        <v>3</v>
      </c>
      <c r="CU4" s="36">
        <v>3</v>
      </c>
      <c r="CV4" s="36">
        <v>1</v>
      </c>
      <c r="CW4" s="36">
        <v>3</v>
      </c>
      <c r="CX4" s="36">
        <v>3</v>
      </c>
      <c r="CY4" s="36">
        <v>4</v>
      </c>
      <c r="CZ4" s="36">
        <v>5</v>
      </c>
      <c r="DA4" s="36">
        <v>3</v>
      </c>
      <c r="DB4" s="36">
        <v>4</v>
      </c>
      <c r="DC4" s="36">
        <v>3</v>
      </c>
      <c r="DD4" s="36">
        <v>3</v>
      </c>
      <c r="DE4" s="36">
        <v>3</v>
      </c>
      <c r="DF4" s="36">
        <v>3</v>
      </c>
      <c r="DG4" s="36">
        <v>4</v>
      </c>
      <c r="DH4" s="36">
        <v>4</v>
      </c>
      <c r="DI4" s="36" t="s">
        <v>250</v>
      </c>
      <c r="DJ4" s="36" t="s">
        <v>133</v>
      </c>
      <c r="DK4" s="36" t="s">
        <v>255</v>
      </c>
      <c r="DL4"/>
      <c r="DM4"/>
      <c r="DN4" t="s">
        <v>256</v>
      </c>
      <c r="DO4" t="s">
        <v>257</v>
      </c>
      <c r="DP4"/>
      <c r="DQ4" s="36">
        <v>5</v>
      </c>
      <c r="DR4" s="36" t="s">
        <v>134</v>
      </c>
      <c r="DT4"/>
      <c r="DU4"/>
      <c r="DV4"/>
      <c r="DW4"/>
      <c r="DX4"/>
      <c r="DZ4" s="36" t="s">
        <v>133</v>
      </c>
      <c r="EA4" s="36">
        <v>5</v>
      </c>
      <c r="EB4" s="36" t="s">
        <v>263</v>
      </c>
      <c r="EC4" s="36" t="s">
        <v>267</v>
      </c>
      <c r="ED4" s="36">
        <v>43</v>
      </c>
      <c r="EE4" s="36" t="s">
        <v>292</v>
      </c>
      <c r="EF4" s="36" t="str">
        <f>Tabulacao!MC4</f>
        <v>Aracaju</v>
      </c>
      <c r="EG4" s="36" t="s">
        <v>292</v>
      </c>
      <c r="EH4" s="36" t="str">
        <f>Tabulacao!MG4</f>
        <v>Aracaju</v>
      </c>
      <c r="EI4" s="36" t="s">
        <v>292</v>
      </c>
      <c r="EJ4" s="36" t="str">
        <f>Tabulacao!MK4</f>
        <v>Aracaju</v>
      </c>
      <c r="EK4" s="36" t="s">
        <v>134</v>
      </c>
      <c r="EL4" s="36" t="s">
        <v>134</v>
      </c>
      <c r="EM4" s="36" t="s">
        <v>134</v>
      </c>
      <c r="EN4" s="36" t="s">
        <v>134</v>
      </c>
      <c r="EO4" s="36" t="s">
        <v>134</v>
      </c>
      <c r="EP4" s="36" t="s">
        <v>134</v>
      </c>
      <c r="EQ4" s="36" t="s">
        <v>274</v>
      </c>
      <c r="ER4" s="36" t="str">
        <f>IF(OR(EQ4=CaractAmostra!$BD$9,EQ4=CaractAmostra!$BD$10,EQ4=CaractAmostra!$BD$11,EQ4=CaractAmostra!$BD$12,EQ4=CaractAmostra!$BD$13),Respostas_Formatadas!EQ4,"Outros")</f>
        <v>Com um(a) parceiro(a)</v>
      </c>
      <c r="ES4" s="36" t="s">
        <v>274</v>
      </c>
      <c r="ET4" s="36" t="str">
        <f>IF(OR(ES4=CaractAmostra!$BH$9,ES4=CaractAmostra!$BH$10,ES4=CaractAmostra!$BH$11,ES4=CaractAmostra!$BH$12),Respostas_Formatadas!ES4,"Outros")</f>
        <v>Com um(a) parceiro(a)</v>
      </c>
      <c r="EU4" s="36" t="s">
        <v>280</v>
      </c>
      <c r="EV4" s="36" t="s">
        <v>282</v>
      </c>
      <c r="EW4" s="36" t="s">
        <v>282</v>
      </c>
      <c r="FD4" s="36" t="s">
        <v>294</v>
      </c>
      <c r="FE4" s="47">
        <v>2016</v>
      </c>
      <c r="FF4" s="97">
        <v>7.0823999999999998</v>
      </c>
      <c r="FI4" s="47" t="str">
        <f t="shared" si="0"/>
        <v>São Cristóvão</v>
      </c>
      <c r="FJ4" s="47" t="str">
        <f t="shared" si="1"/>
        <v>Tecnologia</v>
      </c>
      <c r="FL4" s="10" t="s">
        <v>620</v>
      </c>
      <c r="FM4" s="11" t="s">
        <v>764</v>
      </c>
      <c r="FN4" s="11" t="s">
        <v>1093</v>
      </c>
    </row>
    <row r="5" spans="1:170" s="36" customFormat="1" ht="15.75" customHeight="1" x14ac:dyDescent="0.2">
      <c r="A5" s="38">
        <v>43405.656657222222</v>
      </c>
      <c r="C5" s="36" t="s">
        <v>125</v>
      </c>
      <c r="D5" s="47" t="s">
        <v>134</v>
      </c>
      <c r="M5" s="36" t="s">
        <v>147</v>
      </c>
      <c r="N5" s="36" t="s">
        <v>134</v>
      </c>
      <c r="O5" s="36" t="s">
        <v>134</v>
      </c>
      <c r="P5" s="36" t="s">
        <v>134</v>
      </c>
      <c r="Q5" s="36" t="s">
        <v>134</v>
      </c>
      <c r="R5" s="36" t="s">
        <v>151</v>
      </c>
      <c r="Y5" s="36" t="s">
        <v>134</v>
      </c>
      <c r="AI5" s="40"/>
      <c r="AQ5" s="40"/>
      <c r="BT5" s="36">
        <v>4</v>
      </c>
      <c r="BU5" s="36">
        <v>3</v>
      </c>
      <c r="BV5" s="36">
        <v>3</v>
      </c>
      <c r="BW5" s="36">
        <v>4</v>
      </c>
      <c r="BX5" s="36">
        <v>5</v>
      </c>
      <c r="BY5" s="36">
        <v>4</v>
      </c>
      <c r="BZ5" s="36">
        <v>4</v>
      </c>
      <c r="CA5" s="36">
        <v>4</v>
      </c>
      <c r="CB5" s="36">
        <v>3</v>
      </c>
      <c r="CC5" s="36">
        <v>3</v>
      </c>
      <c r="CD5" s="36">
        <v>3</v>
      </c>
      <c r="CE5" s="36">
        <v>3</v>
      </c>
      <c r="CF5" s="36">
        <v>2</v>
      </c>
      <c r="CG5" s="36">
        <v>1</v>
      </c>
      <c r="CH5" s="36" t="s">
        <v>227</v>
      </c>
      <c r="CI5" t="s">
        <v>229</v>
      </c>
      <c r="CJ5" t="s">
        <v>231</v>
      </c>
      <c r="CK5" s="36" t="s">
        <v>232</v>
      </c>
      <c r="CL5"/>
      <c r="CM5"/>
      <c r="CN5" s="36" t="s">
        <v>242</v>
      </c>
      <c r="CO5" s="36" t="s">
        <v>133</v>
      </c>
      <c r="CP5" s="36">
        <v>4</v>
      </c>
      <c r="CQ5" s="36">
        <v>5</v>
      </c>
      <c r="CR5" s="36" t="s">
        <v>248</v>
      </c>
      <c r="CS5" s="36">
        <v>4</v>
      </c>
      <c r="CT5" s="36">
        <v>3</v>
      </c>
      <c r="CU5" s="36">
        <v>5</v>
      </c>
      <c r="CV5" s="36">
        <v>2</v>
      </c>
      <c r="CW5" s="36">
        <v>5</v>
      </c>
      <c r="CX5" s="36">
        <v>4</v>
      </c>
      <c r="CY5" s="36">
        <v>4</v>
      </c>
      <c r="CZ5" s="36">
        <v>4</v>
      </c>
      <c r="DA5" s="36">
        <v>3</v>
      </c>
      <c r="DB5" s="36">
        <v>3</v>
      </c>
      <c r="DC5" s="36">
        <v>3</v>
      </c>
      <c r="DD5" s="36">
        <v>4</v>
      </c>
      <c r="DE5" s="36">
        <v>4</v>
      </c>
      <c r="DF5" s="36">
        <v>4</v>
      </c>
      <c r="DG5" s="36">
        <v>4</v>
      </c>
      <c r="DH5" s="36">
        <v>3</v>
      </c>
      <c r="DI5" s="36" t="s">
        <v>251</v>
      </c>
      <c r="DJ5" s="36" t="s">
        <v>133</v>
      </c>
      <c r="DK5" s="36" t="s">
        <v>255</v>
      </c>
      <c r="DL5"/>
      <c r="DM5"/>
      <c r="DN5" t="s">
        <v>256</v>
      </c>
      <c r="DO5" t="s">
        <v>257</v>
      </c>
      <c r="DP5"/>
      <c r="DQ5" s="36">
        <v>3</v>
      </c>
      <c r="DR5" s="36" t="s">
        <v>134</v>
      </c>
      <c r="DT5"/>
      <c r="DU5"/>
      <c r="DV5"/>
      <c r="DW5"/>
      <c r="DX5"/>
      <c r="DZ5" s="36" t="s">
        <v>134</v>
      </c>
      <c r="EB5" s="36" t="s">
        <v>263</v>
      </c>
      <c r="EC5" s="36" t="s">
        <v>267</v>
      </c>
      <c r="ED5" s="36">
        <v>41</v>
      </c>
      <c r="EE5" s="36" t="s">
        <v>292</v>
      </c>
      <c r="EF5" s="36" t="str">
        <f>Tabulacao!MC5</f>
        <v>Aracaju</v>
      </c>
      <c r="EG5" s="36" t="s">
        <v>292</v>
      </c>
      <c r="EH5" s="36" t="str">
        <f>Tabulacao!MG5</f>
        <v>Aracaju</v>
      </c>
      <c r="EI5" s="36" t="s">
        <v>292</v>
      </c>
      <c r="EJ5" s="36" t="str">
        <f>Tabulacao!MK5</f>
        <v>Aracaju</v>
      </c>
      <c r="EK5" s="36" t="s">
        <v>134</v>
      </c>
      <c r="EL5" s="36" t="s">
        <v>134</v>
      </c>
      <c r="EM5" s="36" t="s">
        <v>134</v>
      </c>
      <c r="EN5" s="36" t="s">
        <v>134</v>
      </c>
      <c r="EO5" s="36" t="s">
        <v>134</v>
      </c>
      <c r="EP5" s="36" t="s">
        <v>134</v>
      </c>
      <c r="EQ5" s="36" t="s">
        <v>295</v>
      </c>
      <c r="ER5" s="36" t="str">
        <f>IF(OR(EQ5=CaractAmostra!$BD$9,EQ5=CaractAmostra!$BD$10,EQ5=CaractAmostra!$BD$11,EQ5=CaractAmostra!$BD$12,EQ5=CaractAmostra!$BD$13),Respostas_Formatadas!EQ5,"Outros")</f>
        <v>Outros</v>
      </c>
      <c r="ES5" s="36" t="s">
        <v>296</v>
      </c>
      <c r="ET5" s="36" t="str">
        <f>IF(OR(ES5=CaractAmostra!$BH$9,ES5=CaractAmostra!$BH$10,ES5=CaractAmostra!$BH$11,ES5=CaractAmostra!$BH$12),Respostas_Formatadas!ES5,"Outros")</f>
        <v>Outros</v>
      </c>
      <c r="EU5" s="36" t="s">
        <v>280</v>
      </c>
      <c r="EV5" s="36" t="s">
        <v>283</v>
      </c>
      <c r="EW5" s="36" t="s">
        <v>192</v>
      </c>
      <c r="FE5" s="47">
        <v>2016</v>
      </c>
      <c r="FF5" s="97">
        <v>7.8947000000000003</v>
      </c>
      <c r="FI5" s="47" t="str">
        <f t="shared" si="0"/>
        <v>Aracaju</v>
      </c>
      <c r="FJ5" s="47" t="str">
        <f t="shared" si="1"/>
        <v>Tecnologia</v>
      </c>
      <c r="FL5" s="4" t="s">
        <v>123</v>
      </c>
      <c r="FM5" s="264" t="s">
        <v>291</v>
      </c>
      <c r="FN5" s="264" t="s">
        <v>1088</v>
      </c>
    </row>
    <row r="6" spans="1:170" s="36" customFormat="1" ht="15.75" customHeight="1" x14ac:dyDescent="0.2">
      <c r="A6" s="38">
        <v>43405.66023947917</v>
      </c>
      <c r="C6" s="36" t="s">
        <v>120</v>
      </c>
      <c r="D6" s="47" t="s">
        <v>133</v>
      </c>
      <c r="E6" s="36" t="s">
        <v>135</v>
      </c>
      <c r="H6" s="36" t="s">
        <v>141</v>
      </c>
      <c r="I6" s="36" t="s">
        <v>142</v>
      </c>
      <c r="J6" s="36" t="s">
        <v>143</v>
      </c>
      <c r="K6" s="36" t="s">
        <v>144</v>
      </c>
      <c r="M6" s="36" t="s">
        <v>146</v>
      </c>
      <c r="N6" s="36" t="s">
        <v>133</v>
      </c>
      <c r="O6" s="36" t="s">
        <v>133</v>
      </c>
      <c r="P6" s="36" t="s">
        <v>134</v>
      </c>
      <c r="Q6" s="36" t="s">
        <v>134</v>
      </c>
      <c r="R6" s="36" t="s">
        <v>151</v>
      </c>
      <c r="Y6" s="36" t="s">
        <v>166</v>
      </c>
      <c r="AC6" s="36" t="s">
        <v>181</v>
      </c>
      <c r="AD6" s="36" t="s">
        <v>297</v>
      </c>
      <c r="AE6" s="36">
        <v>5</v>
      </c>
      <c r="AF6" s="36" t="s">
        <v>187</v>
      </c>
      <c r="AG6" s="36" t="s">
        <v>187</v>
      </c>
      <c r="AH6" s="36" t="s">
        <v>134</v>
      </c>
      <c r="AI6" s="40">
        <v>2400</v>
      </c>
      <c r="AJ6" s="36">
        <v>5</v>
      </c>
      <c r="AK6" s="36">
        <v>5</v>
      </c>
      <c r="AL6" s="36" t="s">
        <v>133</v>
      </c>
      <c r="AP6" s="36" t="s">
        <v>298</v>
      </c>
      <c r="AQ6" s="40">
        <v>3900</v>
      </c>
      <c r="AR6" s="36">
        <v>3</v>
      </c>
      <c r="AS6" s="36">
        <v>5</v>
      </c>
      <c r="AT6" s="36">
        <v>3</v>
      </c>
      <c r="AU6" s="36">
        <v>4</v>
      </c>
      <c r="AV6" s="36">
        <v>5</v>
      </c>
      <c r="AW6" s="36" t="s">
        <v>192</v>
      </c>
      <c r="AX6" s="36" t="s">
        <v>207</v>
      </c>
      <c r="AY6" s="36" t="s">
        <v>210</v>
      </c>
      <c r="AZ6" s="36" t="s">
        <v>133</v>
      </c>
      <c r="BA6" s="36" t="s">
        <v>170</v>
      </c>
      <c r="BB6" s="36" t="s">
        <v>299</v>
      </c>
      <c r="BC6" s="36" t="s">
        <v>843</v>
      </c>
      <c r="BD6" s="36" t="s">
        <v>187</v>
      </c>
      <c r="BE6" s="36" t="s">
        <v>217</v>
      </c>
      <c r="BG6" s="36">
        <v>5</v>
      </c>
      <c r="BH6" s="36">
        <v>5</v>
      </c>
      <c r="BI6" s="36">
        <v>5</v>
      </c>
      <c r="BJ6" s="36">
        <v>5</v>
      </c>
      <c r="BK6" s="36">
        <v>5</v>
      </c>
      <c r="BL6" s="36">
        <v>5</v>
      </c>
      <c r="BM6" s="36">
        <v>5</v>
      </c>
      <c r="BN6" s="36">
        <v>5</v>
      </c>
      <c r="BO6" s="36">
        <v>5</v>
      </c>
      <c r="BP6" s="36">
        <v>5</v>
      </c>
      <c r="BQ6" s="36">
        <v>5</v>
      </c>
      <c r="BR6" s="36">
        <v>5</v>
      </c>
      <c r="BS6" s="36">
        <v>3</v>
      </c>
      <c r="BT6" s="36">
        <v>4</v>
      </c>
      <c r="BU6" s="36">
        <v>3</v>
      </c>
      <c r="BV6" s="36">
        <v>5</v>
      </c>
      <c r="BW6" s="36">
        <v>4</v>
      </c>
      <c r="BX6" s="36">
        <v>4</v>
      </c>
      <c r="BY6" s="36">
        <v>4</v>
      </c>
      <c r="BZ6" s="36">
        <v>4</v>
      </c>
      <c r="CA6" s="36">
        <v>5</v>
      </c>
      <c r="CB6" s="36">
        <v>5</v>
      </c>
      <c r="CC6" s="36">
        <v>5</v>
      </c>
      <c r="CD6" s="36">
        <v>5</v>
      </c>
      <c r="CE6" s="36">
        <v>5</v>
      </c>
      <c r="CF6" s="36">
        <v>1</v>
      </c>
      <c r="CG6" s="36">
        <v>5</v>
      </c>
      <c r="CH6" s="36" t="s">
        <v>227</v>
      </c>
      <c r="CI6"/>
      <c r="CJ6"/>
      <c r="CK6" s="36" t="s">
        <v>233</v>
      </c>
      <c r="CL6" t="s">
        <v>235</v>
      </c>
      <c r="CM6" t="s">
        <v>239</v>
      </c>
      <c r="CN6" s="36" t="s">
        <v>242</v>
      </c>
      <c r="CO6" s="36" t="s">
        <v>134</v>
      </c>
      <c r="CP6" s="36">
        <v>5</v>
      </c>
      <c r="CQ6" s="36">
        <v>3</v>
      </c>
      <c r="CR6" s="36" t="s">
        <v>249</v>
      </c>
      <c r="CS6" s="36">
        <v>3</v>
      </c>
      <c r="CT6" s="36">
        <v>1</v>
      </c>
      <c r="CU6" s="36">
        <v>1</v>
      </c>
      <c r="CV6" s="36">
        <v>1</v>
      </c>
      <c r="CW6" s="36">
        <v>3</v>
      </c>
      <c r="CX6" s="36">
        <v>3</v>
      </c>
      <c r="CY6" s="36">
        <v>3</v>
      </c>
      <c r="CZ6" s="36">
        <v>3</v>
      </c>
      <c r="DA6" s="36">
        <v>5</v>
      </c>
      <c r="DB6" s="36">
        <v>2</v>
      </c>
      <c r="DC6" s="36">
        <v>5</v>
      </c>
      <c r="DD6" s="36">
        <v>5</v>
      </c>
      <c r="DE6" s="36">
        <v>5</v>
      </c>
      <c r="DF6" s="36">
        <v>5</v>
      </c>
      <c r="DG6" s="36">
        <v>5</v>
      </c>
      <c r="DH6" s="36">
        <v>5</v>
      </c>
      <c r="DI6" s="36" t="s">
        <v>133</v>
      </c>
      <c r="DJ6" s="36" t="s">
        <v>134</v>
      </c>
      <c r="DL6"/>
      <c r="DM6"/>
      <c r="DN6"/>
      <c r="DO6"/>
      <c r="DP6"/>
      <c r="DR6" s="36" t="s">
        <v>134</v>
      </c>
      <c r="DT6"/>
      <c r="DU6"/>
      <c r="DV6"/>
      <c r="DW6"/>
      <c r="DX6"/>
      <c r="DZ6" s="36" t="s">
        <v>133</v>
      </c>
      <c r="EA6" s="36">
        <v>5</v>
      </c>
      <c r="EB6" s="36" t="s">
        <v>262</v>
      </c>
      <c r="EC6" s="36" t="s">
        <v>264</v>
      </c>
      <c r="ED6" s="36">
        <v>26</v>
      </c>
      <c r="EE6" s="36" t="s">
        <v>300</v>
      </c>
      <c r="EF6" s="36" t="str">
        <f>Tabulacao!MC6</f>
        <v>Simão Dias</v>
      </c>
      <c r="EG6" s="36" t="s">
        <v>300</v>
      </c>
      <c r="EH6" s="36" t="str">
        <f>Tabulacao!MG6</f>
        <v>Simão Dias</v>
      </c>
      <c r="EI6" s="36" t="s">
        <v>300</v>
      </c>
      <c r="EJ6" s="36" t="str">
        <f>Tabulacao!MK6</f>
        <v>Simão Dias</v>
      </c>
      <c r="EK6" s="36" t="s">
        <v>134</v>
      </c>
      <c r="EL6" s="36" t="s">
        <v>134</v>
      </c>
      <c r="EM6" s="36" t="s">
        <v>134</v>
      </c>
      <c r="EN6" s="36" t="s">
        <v>134</v>
      </c>
      <c r="EO6" s="36" t="s">
        <v>134</v>
      </c>
      <c r="EP6" s="36" t="s">
        <v>134</v>
      </c>
      <c r="EQ6" s="36" t="s">
        <v>275</v>
      </c>
      <c r="ER6" s="36" t="str">
        <f>IF(OR(EQ6=CaractAmostra!$BD$9,EQ6=CaractAmostra!$BD$10,EQ6=CaractAmostra!$BD$11,EQ6=CaractAmostra!$BD$12,EQ6=CaractAmostra!$BD$13),Respostas_Formatadas!EQ6,"Outros")</f>
        <v>Com os pais</v>
      </c>
      <c r="ES6" s="36" t="s">
        <v>275</v>
      </c>
      <c r="ET6" s="36" t="str">
        <f>IF(OR(ES6=CaractAmostra!$BH$9,ES6=CaractAmostra!$BH$10,ES6=CaractAmostra!$BH$11,ES6=CaractAmostra!$BH$12),Respostas_Formatadas!ES6,"Outros")</f>
        <v>Com os pais</v>
      </c>
      <c r="EU6" s="36" t="s">
        <v>134</v>
      </c>
      <c r="EV6" s="36" t="s">
        <v>285</v>
      </c>
      <c r="EW6" s="36" t="s">
        <v>285</v>
      </c>
      <c r="FE6" s="47">
        <v>2016</v>
      </c>
      <c r="FF6" s="97">
        <v>8.2490000000000006</v>
      </c>
      <c r="FI6" s="47" t="str">
        <f t="shared" si="0"/>
        <v>Lagarto</v>
      </c>
      <c r="FJ6" s="47" t="str">
        <f t="shared" si="1"/>
        <v>Bacharelado</v>
      </c>
      <c r="FL6" s="4" t="s">
        <v>120</v>
      </c>
      <c r="FM6" s="264" t="s">
        <v>291</v>
      </c>
      <c r="FN6" s="264" t="s">
        <v>1087</v>
      </c>
    </row>
    <row r="7" spans="1:170" s="36" customFormat="1" ht="15.75" customHeight="1" x14ac:dyDescent="0.2">
      <c r="A7" s="38">
        <v>43405.662756990743</v>
      </c>
      <c r="C7" s="36" t="s">
        <v>121</v>
      </c>
      <c r="D7" s="47" t="s">
        <v>133</v>
      </c>
      <c r="E7" s="36" t="s">
        <v>138</v>
      </c>
      <c r="H7" s="36" t="s">
        <v>144</v>
      </c>
      <c r="M7" s="36" t="s">
        <v>146</v>
      </c>
      <c r="N7" s="36" t="s">
        <v>134</v>
      </c>
      <c r="O7" s="36" t="s">
        <v>134</v>
      </c>
      <c r="P7" s="36" t="s">
        <v>134</v>
      </c>
      <c r="Q7" s="36" t="s">
        <v>134</v>
      </c>
      <c r="R7" s="36" t="s">
        <v>151</v>
      </c>
      <c r="Y7" s="36" t="s">
        <v>134</v>
      </c>
      <c r="AI7" s="40"/>
      <c r="AQ7" s="40"/>
      <c r="BT7" s="36">
        <v>3</v>
      </c>
      <c r="BU7" s="36">
        <v>2</v>
      </c>
      <c r="BV7" s="36">
        <v>3</v>
      </c>
      <c r="BW7" s="36">
        <v>4</v>
      </c>
      <c r="BX7" s="36">
        <v>4</v>
      </c>
      <c r="BY7" s="36">
        <v>4</v>
      </c>
      <c r="BZ7" s="36">
        <v>3</v>
      </c>
      <c r="CA7" s="36">
        <v>5</v>
      </c>
      <c r="CB7" s="36">
        <v>3</v>
      </c>
      <c r="CC7" s="36">
        <v>4</v>
      </c>
      <c r="CD7" s="36">
        <v>3</v>
      </c>
      <c r="CE7" s="36">
        <v>3</v>
      </c>
      <c r="CF7" s="36">
        <v>2</v>
      </c>
      <c r="CG7" s="36">
        <v>3</v>
      </c>
      <c r="CH7" s="36" t="s">
        <v>229</v>
      </c>
      <c r="CI7" t="s">
        <v>1008</v>
      </c>
      <c r="CJ7"/>
      <c r="CK7" s="36" t="s">
        <v>235</v>
      </c>
      <c r="CL7"/>
      <c r="CM7"/>
      <c r="CN7" s="36" t="s">
        <v>242</v>
      </c>
      <c r="CO7" s="36" t="s">
        <v>134</v>
      </c>
      <c r="CP7" s="36">
        <v>3</v>
      </c>
      <c r="CQ7" s="36">
        <v>4</v>
      </c>
      <c r="CR7" s="36" t="s">
        <v>248</v>
      </c>
      <c r="CS7" s="36">
        <v>3</v>
      </c>
      <c r="CT7" s="36">
        <v>3</v>
      </c>
      <c r="CU7" s="36">
        <v>4</v>
      </c>
      <c r="CV7" s="36">
        <v>3</v>
      </c>
      <c r="CW7" s="36">
        <v>2</v>
      </c>
      <c r="CX7" s="36">
        <v>4</v>
      </c>
      <c r="CY7" s="36">
        <v>3</v>
      </c>
      <c r="CZ7" s="36">
        <v>5</v>
      </c>
      <c r="DA7" s="36">
        <v>2</v>
      </c>
      <c r="DB7" s="36">
        <v>2</v>
      </c>
      <c r="DC7" s="36">
        <v>3</v>
      </c>
      <c r="DD7" s="36">
        <v>3</v>
      </c>
      <c r="DE7" s="36">
        <v>3</v>
      </c>
      <c r="DF7" s="36">
        <v>4</v>
      </c>
      <c r="DG7" s="36">
        <v>4</v>
      </c>
      <c r="DH7" s="36">
        <v>2</v>
      </c>
      <c r="DI7" s="36" t="s">
        <v>133</v>
      </c>
      <c r="DJ7" s="36" t="s">
        <v>133</v>
      </c>
      <c r="DK7" s="36" t="s">
        <v>255</v>
      </c>
      <c r="DL7"/>
      <c r="DM7"/>
      <c r="DN7"/>
      <c r="DO7"/>
      <c r="DP7"/>
      <c r="DQ7" s="36">
        <v>5</v>
      </c>
      <c r="DR7" s="36" t="s">
        <v>133</v>
      </c>
      <c r="DS7" s="36" t="s">
        <v>259</v>
      </c>
      <c r="DT7"/>
      <c r="DU7"/>
      <c r="DV7"/>
      <c r="DW7"/>
      <c r="DX7"/>
      <c r="DY7" s="36">
        <v>5</v>
      </c>
      <c r="DZ7" s="36" t="s">
        <v>133</v>
      </c>
      <c r="EA7" s="36">
        <v>5</v>
      </c>
      <c r="EB7" s="36" t="s">
        <v>262</v>
      </c>
      <c r="EC7" s="36" t="s">
        <v>265</v>
      </c>
      <c r="ED7" s="36">
        <v>30</v>
      </c>
      <c r="EE7" s="36" t="s">
        <v>292</v>
      </c>
      <c r="EF7" s="36" t="str">
        <f>Tabulacao!MC7</f>
        <v>Aracaju</v>
      </c>
      <c r="EG7" s="36" t="s">
        <v>292</v>
      </c>
      <c r="EH7" s="36" t="str">
        <f>Tabulacao!MG7</f>
        <v>Aracaju</v>
      </c>
      <c r="EI7" s="36" t="s">
        <v>292</v>
      </c>
      <c r="EJ7" s="36" t="str">
        <f>Tabulacao!MK7</f>
        <v>Aracaju</v>
      </c>
      <c r="EK7" s="36" t="s">
        <v>134</v>
      </c>
      <c r="EL7" s="36" t="s">
        <v>134</v>
      </c>
      <c r="EM7" s="36" t="s">
        <v>134</v>
      </c>
      <c r="EN7" s="36" t="s">
        <v>270</v>
      </c>
      <c r="EO7" s="36" t="s">
        <v>134</v>
      </c>
      <c r="EP7" s="36" t="s">
        <v>134</v>
      </c>
      <c r="EQ7" s="36" t="s">
        <v>275</v>
      </c>
      <c r="ER7" s="36" t="str">
        <f>IF(OR(EQ7=CaractAmostra!$BD$9,EQ7=CaractAmostra!$BD$10,EQ7=CaractAmostra!$BD$11,EQ7=CaractAmostra!$BD$12,EQ7=CaractAmostra!$BD$13),Respostas_Formatadas!EQ7,"Outros")</f>
        <v>Com os pais</v>
      </c>
      <c r="ES7" s="36" t="s">
        <v>274</v>
      </c>
      <c r="ET7" s="36" t="str">
        <f>IF(OR(ES7=CaractAmostra!$BH$9,ES7=CaractAmostra!$BH$10,ES7=CaractAmostra!$BH$11,ES7=CaractAmostra!$BH$12),Respostas_Formatadas!ES7,"Outros")</f>
        <v>Com um(a) parceiro(a)</v>
      </c>
      <c r="EU7" s="36" t="s">
        <v>134</v>
      </c>
      <c r="EV7" s="36" t="s">
        <v>282</v>
      </c>
      <c r="EW7" s="36" t="s">
        <v>283</v>
      </c>
      <c r="FE7" s="47">
        <v>2013</v>
      </c>
      <c r="FF7" s="97">
        <v>7.4812000000000003</v>
      </c>
      <c r="FI7" s="47" t="str">
        <f t="shared" si="0"/>
        <v>Aracaju</v>
      </c>
      <c r="FJ7" s="47" t="str">
        <f t="shared" si="1"/>
        <v>Licenciatura</v>
      </c>
      <c r="FL7" s="4" t="s">
        <v>126</v>
      </c>
      <c r="FM7" s="264" t="s">
        <v>291</v>
      </c>
      <c r="FN7" s="264" t="s">
        <v>1089</v>
      </c>
    </row>
    <row r="8" spans="1:170" s="36" customFormat="1" ht="15.75" customHeight="1" x14ac:dyDescent="0.2">
      <c r="A8" s="38">
        <v>43405.664832372684</v>
      </c>
      <c r="C8" s="36" t="s">
        <v>124</v>
      </c>
      <c r="D8" s="47" t="s">
        <v>134</v>
      </c>
      <c r="M8" s="36" t="s">
        <v>146</v>
      </c>
      <c r="N8" s="36" t="s">
        <v>134</v>
      </c>
      <c r="O8" s="36" t="s">
        <v>134</v>
      </c>
      <c r="P8" s="36" t="s">
        <v>133</v>
      </c>
      <c r="Q8" s="36" t="s">
        <v>133</v>
      </c>
      <c r="R8" s="36" t="s">
        <v>151</v>
      </c>
      <c r="Y8" s="36" t="s">
        <v>166</v>
      </c>
      <c r="AC8" s="36" t="s">
        <v>186</v>
      </c>
      <c r="AD8" s="36" t="s">
        <v>301</v>
      </c>
      <c r="AE8" s="36">
        <v>2</v>
      </c>
      <c r="AF8" s="36" t="s">
        <v>187</v>
      </c>
      <c r="AG8" s="36" t="s">
        <v>187</v>
      </c>
      <c r="AH8" s="36" t="s">
        <v>134</v>
      </c>
      <c r="AI8" s="66">
        <v>5000</v>
      </c>
      <c r="AJ8" s="36">
        <v>5</v>
      </c>
      <c r="AK8" s="36">
        <v>5</v>
      </c>
      <c r="AL8" s="36" t="s">
        <v>133</v>
      </c>
      <c r="AP8" s="36" t="s">
        <v>301</v>
      </c>
      <c r="AQ8" s="66">
        <v>7000</v>
      </c>
      <c r="AR8" s="36">
        <v>5</v>
      </c>
      <c r="AS8" s="36">
        <v>5</v>
      </c>
      <c r="AT8" s="36">
        <v>5</v>
      </c>
      <c r="AU8" s="36">
        <v>5</v>
      </c>
      <c r="AV8" s="36">
        <v>5</v>
      </c>
      <c r="AW8" s="36" t="s">
        <v>192</v>
      </c>
      <c r="AX8" s="36" t="s">
        <v>207</v>
      </c>
      <c r="AY8" s="36" t="s">
        <v>210</v>
      </c>
      <c r="AZ8" s="36" t="s">
        <v>133</v>
      </c>
      <c r="BA8" s="36" t="s">
        <v>170</v>
      </c>
      <c r="BB8" s="36" t="s">
        <v>302</v>
      </c>
      <c r="BC8" s="36" t="s">
        <v>302</v>
      </c>
      <c r="BD8" s="36" t="s">
        <v>187</v>
      </c>
      <c r="BE8" s="36" t="s">
        <v>217</v>
      </c>
      <c r="BG8" s="36">
        <v>5</v>
      </c>
      <c r="BH8" s="36">
        <v>5</v>
      </c>
      <c r="BI8" s="36">
        <v>4</v>
      </c>
      <c r="BJ8" s="36">
        <v>4</v>
      </c>
      <c r="BK8" s="36">
        <v>5</v>
      </c>
      <c r="BL8" s="36">
        <v>5</v>
      </c>
      <c r="BM8" s="36">
        <v>4</v>
      </c>
      <c r="BN8" s="36">
        <v>5</v>
      </c>
      <c r="BO8" s="36">
        <v>5</v>
      </c>
      <c r="BP8" s="36">
        <v>4</v>
      </c>
      <c r="BQ8" s="36">
        <v>4</v>
      </c>
      <c r="BR8" s="36">
        <v>5</v>
      </c>
      <c r="BS8" s="36">
        <v>3</v>
      </c>
      <c r="BT8" s="36">
        <v>5</v>
      </c>
      <c r="BU8" s="36">
        <v>4</v>
      </c>
      <c r="BV8" s="36">
        <v>4</v>
      </c>
      <c r="BW8" s="36">
        <v>4</v>
      </c>
      <c r="BX8" s="36">
        <v>5</v>
      </c>
      <c r="BY8" s="36">
        <v>5</v>
      </c>
      <c r="BZ8" s="36">
        <v>4</v>
      </c>
      <c r="CA8" s="36">
        <v>5</v>
      </c>
      <c r="CB8" s="36">
        <v>4</v>
      </c>
      <c r="CC8" s="36">
        <v>4</v>
      </c>
      <c r="CD8" s="36">
        <v>4</v>
      </c>
      <c r="CE8" s="36">
        <v>5</v>
      </c>
      <c r="CF8" s="36">
        <v>3</v>
      </c>
      <c r="CG8" s="36">
        <v>5</v>
      </c>
      <c r="CH8" s="36" t="s">
        <v>222</v>
      </c>
      <c r="CI8" t="s">
        <v>1008</v>
      </c>
      <c r="CJ8"/>
      <c r="CK8" s="36" t="s">
        <v>234</v>
      </c>
      <c r="CL8"/>
      <c r="CM8"/>
      <c r="CN8" s="36" t="s">
        <v>241</v>
      </c>
      <c r="CO8" s="36" t="s">
        <v>134</v>
      </c>
      <c r="CP8" s="36">
        <v>1</v>
      </c>
      <c r="CQ8" s="36">
        <v>5</v>
      </c>
      <c r="CR8" s="36" t="s">
        <v>249</v>
      </c>
      <c r="CS8" s="36">
        <v>5</v>
      </c>
      <c r="CT8" s="36">
        <v>4</v>
      </c>
      <c r="CU8" s="36">
        <v>4</v>
      </c>
      <c r="CV8" s="36">
        <v>1</v>
      </c>
      <c r="CW8" s="36">
        <v>5</v>
      </c>
      <c r="CX8" s="36">
        <v>5</v>
      </c>
      <c r="CY8" s="36">
        <v>5</v>
      </c>
      <c r="CZ8" s="36">
        <v>5</v>
      </c>
      <c r="DA8" s="36">
        <v>5</v>
      </c>
      <c r="DB8" s="36">
        <v>4</v>
      </c>
      <c r="DC8" s="36">
        <v>5</v>
      </c>
      <c r="DD8" s="36">
        <v>5</v>
      </c>
      <c r="DE8" s="36">
        <v>5</v>
      </c>
      <c r="DF8" s="36">
        <v>5</v>
      </c>
      <c r="DG8" s="36">
        <v>5</v>
      </c>
      <c r="DH8" s="36">
        <v>4</v>
      </c>
      <c r="DI8" s="36" t="s">
        <v>250</v>
      </c>
      <c r="DJ8" s="36" t="s">
        <v>133</v>
      </c>
      <c r="DK8" s="36" t="s">
        <v>254</v>
      </c>
      <c r="DL8"/>
      <c r="DM8"/>
      <c r="DN8"/>
      <c r="DO8"/>
      <c r="DP8"/>
      <c r="DQ8" s="36">
        <v>5</v>
      </c>
      <c r="DR8" s="36" t="s">
        <v>134</v>
      </c>
      <c r="DT8"/>
      <c r="DU8"/>
      <c r="DV8"/>
      <c r="DW8"/>
      <c r="DX8"/>
      <c r="DZ8" s="36" t="s">
        <v>134</v>
      </c>
      <c r="EB8" s="36" t="s">
        <v>262</v>
      </c>
      <c r="EC8" s="36" t="s">
        <v>267</v>
      </c>
      <c r="ED8" s="36">
        <v>47</v>
      </c>
      <c r="EE8" s="36" t="s">
        <v>292</v>
      </c>
      <c r="EF8" s="36" t="str">
        <f>Tabulacao!MC8</f>
        <v>Aracaju</v>
      </c>
      <c r="EG8" s="36" t="s">
        <v>292</v>
      </c>
      <c r="EH8" s="36" t="str">
        <f>Tabulacao!MG8</f>
        <v>Aracaju</v>
      </c>
      <c r="EI8" s="36" t="s">
        <v>292</v>
      </c>
      <c r="EJ8" s="36" t="str">
        <f>Tabulacao!MK8</f>
        <v>Aracaju</v>
      </c>
      <c r="EK8" s="36" t="s">
        <v>134</v>
      </c>
      <c r="EL8" s="36" t="s">
        <v>134</v>
      </c>
      <c r="EM8" s="36" t="s">
        <v>134</v>
      </c>
      <c r="EN8" s="36" t="s">
        <v>134</v>
      </c>
      <c r="EO8" s="36" t="s">
        <v>134</v>
      </c>
      <c r="EP8" s="36" t="s">
        <v>134</v>
      </c>
      <c r="EQ8" s="36" t="s">
        <v>274</v>
      </c>
      <c r="ER8" s="36" t="str">
        <f>IF(OR(EQ8=CaractAmostra!$BD$9,EQ8=CaractAmostra!$BD$10,EQ8=CaractAmostra!$BD$11,EQ8=CaractAmostra!$BD$12,EQ8=CaractAmostra!$BD$13),Respostas_Formatadas!EQ8,"Outros")</f>
        <v>Com um(a) parceiro(a)</v>
      </c>
      <c r="ES8" s="36" t="s">
        <v>274</v>
      </c>
      <c r="ET8" s="36" t="str">
        <f>IF(OR(ES8=CaractAmostra!$BH$9,ES8=CaractAmostra!$BH$10,ES8=CaractAmostra!$BH$11,ES8=CaractAmostra!$BH$12),Respostas_Formatadas!ES8,"Outros")</f>
        <v>Com um(a) parceiro(a)</v>
      </c>
      <c r="EU8" s="36" t="s">
        <v>280</v>
      </c>
      <c r="EV8" s="36" t="s">
        <v>192</v>
      </c>
      <c r="EW8" s="36" t="s">
        <v>282</v>
      </c>
      <c r="FD8" s="36" t="s">
        <v>303</v>
      </c>
      <c r="FE8" s="47">
        <v>2016</v>
      </c>
      <c r="FF8" s="97">
        <v>6.6</v>
      </c>
      <c r="FI8" s="47" t="str">
        <f t="shared" si="0"/>
        <v>Aracaju</v>
      </c>
      <c r="FJ8" s="47" t="str">
        <f t="shared" si="1"/>
        <v>Tecnologia</v>
      </c>
      <c r="FL8" s="4" t="s">
        <v>127</v>
      </c>
      <c r="FM8" s="264" t="s">
        <v>322</v>
      </c>
      <c r="FN8" s="264" t="s">
        <v>1089</v>
      </c>
    </row>
    <row r="9" spans="1:170" s="36" customFormat="1" ht="15.75" customHeight="1" x14ac:dyDescent="0.2">
      <c r="A9" s="38">
        <v>43405.672796435189</v>
      </c>
      <c r="C9" s="36" t="s">
        <v>124</v>
      </c>
      <c r="D9" s="47" t="s">
        <v>133</v>
      </c>
      <c r="E9" s="36" t="s">
        <v>135</v>
      </c>
      <c r="H9" s="36" t="s">
        <v>142</v>
      </c>
      <c r="I9" s="36" t="s">
        <v>144</v>
      </c>
      <c r="M9" s="36" t="s">
        <v>149</v>
      </c>
      <c r="N9" s="36" t="s">
        <v>133</v>
      </c>
      <c r="O9" s="36" t="s">
        <v>133</v>
      </c>
      <c r="P9" s="36" t="s">
        <v>133</v>
      </c>
      <c r="Q9" s="36" t="s">
        <v>133</v>
      </c>
      <c r="R9" s="36" t="s">
        <v>151</v>
      </c>
      <c r="Y9" s="36" t="s">
        <v>134</v>
      </c>
      <c r="AI9" s="40"/>
      <c r="AQ9" s="40"/>
      <c r="BT9" s="36">
        <v>4</v>
      </c>
      <c r="BU9" s="36">
        <v>4</v>
      </c>
      <c r="BV9" s="36">
        <v>5</v>
      </c>
      <c r="BW9" s="36">
        <v>5</v>
      </c>
      <c r="BX9" s="36">
        <v>5</v>
      </c>
      <c r="BY9" s="36">
        <v>5</v>
      </c>
      <c r="BZ9" s="36">
        <v>5</v>
      </c>
      <c r="CA9" s="36">
        <v>4</v>
      </c>
      <c r="CB9" s="36">
        <v>5</v>
      </c>
      <c r="CC9" s="36">
        <v>4</v>
      </c>
      <c r="CD9" s="36">
        <v>5</v>
      </c>
      <c r="CE9" s="36">
        <v>5</v>
      </c>
      <c r="CF9" s="36">
        <v>2</v>
      </c>
      <c r="CG9" s="36">
        <v>2</v>
      </c>
      <c r="CH9" s="36" t="s">
        <v>222</v>
      </c>
      <c r="CI9" t="s">
        <v>225</v>
      </c>
      <c r="CJ9"/>
      <c r="CK9" s="36" t="s">
        <v>233</v>
      </c>
      <c r="CL9"/>
      <c r="CM9"/>
      <c r="CN9" s="36" t="s">
        <v>241</v>
      </c>
      <c r="CO9" s="36" t="s">
        <v>134</v>
      </c>
      <c r="CP9" s="36">
        <v>1</v>
      </c>
      <c r="CQ9" s="36">
        <v>5</v>
      </c>
      <c r="CR9" s="36" t="s">
        <v>249</v>
      </c>
      <c r="CS9" s="36">
        <v>2</v>
      </c>
      <c r="CT9" s="36">
        <v>3</v>
      </c>
      <c r="CU9" s="36">
        <v>2</v>
      </c>
      <c r="CV9" s="36">
        <v>1</v>
      </c>
      <c r="CW9" s="36">
        <v>2</v>
      </c>
      <c r="CX9" s="36">
        <v>5</v>
      </c>
      <c r="CY9" s="36">
        <v>4</v>
      </c>
      <c r="CZ9" s="36">
        <v>5</v>
      </c>
      <c r="DA9" s="36">
        <v>1</v>
      </c>
      <c r="DB9" s="36">
        <v>2</v>
      </c>
      <c r="DC9" s="36">
        <v>2</v>
      </c>
      <c r="DD9" s="36">
        <v>4</v>
      </c>
      <c r="DE9" s="36">
        <v>3</v>
      </c>
      <c r="DF9" s="36">
        <v>4</v>
      </c>
      <c r="DG9" s="36">
        <v>4</v>
      </c>
      <c r="DH9" s="36">
        <v>4</v>
      </c>
      <c r="DI9" s="36" t="s">
        <v>133</v>
      </c>
      <c r="DJ9" s="36" t="s">
        <v>134</v>
      </c>
      <c r="DL9"/>
      <c r="DM9"/>
      <c r="DN9"/>
      <c r="DO9"/>
      <c r="DP9"/>
      <c r="DR9" s="36" t="s">
        <v>133</v>
      </c>
      <c r="DS9" s="36" t="s">
        <v>259</v>
      </c>
      <c r="DT9"/>
      <c r="DU9"/>
      <c r="DV9" t="s">
        <v>260</v>
      </c>
      <c r="DW9"/>
      <c r="DX9"/>
      <c r="DY9" s="36">
        <v>4</v>
      </c>
      <c r="DZ9" s="36" t="s">
        <v>133</v>
      </c>
      <c r="EA9" s="36">
        <v>4</v>
      </c>
      <c r="EB9" s="36" t="s">
        <v>262</v>
      </c>
      <c r="EC9" s="36" t="s">
        <v>264</v>
      </c>
      <c r="ED9" s="36">
        <v>57</v>
      </c>
      <c r="EE9" s="36" t="s">
        <v>304</v>
      </c>
      <c r="EF9" s="36" t="str">
        <f>Tabulacao!MC9</f>
        <v>Aracaju</v>
      </c>
      <c r="EG9" s="36" t="s">
        <v>304</v>
      </c>
      <c r="EH9" s="36" t="str">
        <f>Tabulacao!MG9</f>
        <v>Aracaju</v>
      </c>
      <c r="EI9" s="36" t="s">
        <v>304</v>
      </c>
      <c r="EJ9" s="36" t="str">
        <f>Tabulacao!MK9</f>
        <v>Aracaju</v>
      </c>
      <c r="EK9" s="36" t="s">
        <v>134</v>
      </c>
      <c r="EL9" s="36" t="s">
        <v>134</v>
      </c>
      <c r="EM9" s="36" t="s">
        <v>134</v>
      </c>
      <c r="EN9" s="36" t="s">
        <v>134</v>
      </c>
      <c r="EO9" s="36" t="s">
        <v>134</v>
      </c>
      <c r="EP9" s="36" t="s">
        <v>134</v>
      </c>
      <c r="EQ9" s="36" t="s">
        <v>305</v>
      </c>
      <c r="ER9" s="36" t="str">
        <f>IF(OR(EQ9=CaractAmostra!$BD$9,EQ9=CaractAmostra!$BD$10,EQ9=CaractAmostra!$BD$11,EQ9=CaractAmostra!$BD$12,EQ9=CaractAmostra!$BD$13),Respostas_Formatadas!EQ9,"Outros")</f>
        <v>Outros</v>
      </c>
      <c r="ES9" s="36" t="s">
        <v>306</v>
      </c>
      <c r="ET9" s="36" t="str">
        <f>IF(OR(ES9=CaractAmostra!$BH$9,ES9=CaractAmostra!$BH$10,ES9=CaractAmostra!$BH$11,ES9=CaractAmostra!$BH$12),Respostas_Formatadas!ES9,"Outros")</f>
        <v>Outros</v>
      </c>
      <c r="EU9" s="36" t="s">
        <v>280</v>
      </c>
      <c r="EV9" s="36" t="s">
        <v>283</v>
      </c>
      <c r="EW9" s="36" t="s">
        <v>282</v>
      </c>
      <c r="FD9" s="36" t="s">
        <v>307</v>
      </c>
      <c r="FE9" s="47">
        <v>2016</v>
      </c>
      <c r="FF9" s="97">
        <v>8.0667000000000009</v>
      </c>
      <c r="FI9" s="47" t="str">
        <f t="shared" si="0"/>
        <v>Aracaju</v>
      </c>
      <c r="FJ9" s="47" t="str">
        <f t="shared" si="1"/>
        <v>Tecnologia</v>
      </c>
      <c r="FL9" s="265" t="s">
        <v>130</v>
      </c>
      <c r="FM9" s="264" t="s">
        <v>399</v>
      </c>
      <c r="FN9" s="264" t="s">
        <v>1089</v>
      </c>
    </row>
    <row r="10" spans="1:170" s="36" customFormat="1" ht="15.75" customHeight="1" x14ac:dyDescent="0.2">
      <c r="A10" s="38">
        <v>43405.673256273149</v>
      </c>
      <c r="C10" s="36" t="s">
        <v>124</v>
      </c>
      <c r="D10" s="47" t="s">
        <v>134</v>
      </c>
      <c r="M10" s="36" t="s">
        <v>148</v>
      </c>
      <c r="N10" s="36" t="s">
        <v>134</v>
      </c>
      <c r="O10" s="36" t="s">
        <v>133</v>
      </c>
      <c r="P10" s="36" t="s">
        <v>133</v>
      </c>
      <c r="Q10" s="36" t="s">
        <v>133</v>
      </c>
      <c r="R10" s="36" t="s">
        <v>151</v>
      </c>
      <c r="Y10" s="36" t="s">
        <v>165</v>
      </c>
      <c r="Z10" s="36" t="s">
        <v>169</v>
      </c>
      <c r="AA10" s="36" t="s">
        <v>171</v>
      </c>
      <c r="AB10" s="36" t="s">
        <v>179</v>
      </c>
      <c r="AD10" s="36" t="s">
        <v>308</v>
      </c>
      <c r="AE10" s="36">
        <v>1</v>
      </c>
      <c r="AF10" s="36" t="s">
        <v>188</v>
      </c>
      <c r="AG10" s="36" t="s">
        <v>188</v>
      </c>
      <c r="AH10" s="36" t="s">
        <v>134</v>
      </c>
      <c r="AI10" s="40">
        <v>1500</v>
      </c>
      <c r="AJ10" s="36">
        <v>2</v>
      </c>
      <c r="AK10" s="36">
        <v>2</v>
      </c>
      <c r="AL10" s="36" t="s">
        <v>134</v>
      </c>
      <c r="AM10" s="36" t="s">
        <v>169</v>
      </c>
      <c r="AN10" s="36">
        <v>2</v>
      </c>
      <c r="AO10" s="36" t="s">
        <v>133</v>
      </c>
      <c r="AP10" s="36" t="s">
        <v>309</v>
      </c>
      <c r="AQ10" s="40">
        <v>1200</v>
      </c>
      <c r="AR10" s="36">
        <v>1</v>
      </c>
      <c r="AS10" s="36">
        <v>3</v>
      </c>
      <c r="AT10" s="36">
        <v>1</v>
      </c>
      <c r="AU10" s="36">
        <v>3</v>
      </c>
      <c r="AV10" s="36">
        <v>1</v>
      </c>
      <c r="AW10" s="36" t="s">
        <v>193</v>
      </c>
      <c r="AX10" s="36" t="s">
        <v>205</v>
      </c>
      <c r="AY10" s="36" t="s">
        <v>209</v>
      </c>
      <c r="AZ10" s="36" t="s">
        <v>133</v>
      </c>
      <c r="BA10" s="36" t="s">
        <v>167</v>
      </c>
      <c r="BB10" s="36" t="s">
        <v>310</v>
      </c>
      <c r="BC10" s="36" t="s">
        <v>310</v>
      </c>
      <c r="BD10" s="36" t="s">
        <v>189</v>
      </c>
      <c r="BF10" s="36" t="s">
        <v>218</v>
      </c>
      <c r="BG10" s="36">
        <v>1</v>
      </c>
      <c r="BH10" s="36">
        <v>4</v>
      </c>
      <c r="BI10" s="36">
        <v>5</v>
      </c>
      <c r="BJ10" s="36">
        <v>5</v>
      </c>
      <c r="BK10" s="36">
        <v>5</v>
      </c>
      <c r="BL10" s="36">
        <v>2</v>
      </c>
      <c r="BM10" s="36">
        <v>5</v>
      </c>
      <c r="BN10" s="36">
        <v>5</v>
      </c>
      <c r="BO10" s="36">
        <v>4</v>
      </c>
      <c r="BP10" s="36">
        <v>4</v>
      </c>
      <c r="BQ10" s="36">
        <v>3</v>
      </c>
      <c r="BR10" s="36">
        <v>5</v>
      </c>
      <c r="BS10" s="36">
        <v>2</v>
      </c>
      <c r="BT10" s="36">
        <v>4</v>
      </c>
      <c r="BU10" s="36">
        <v>3</v>
      </c>
      <c r="BV10" s="36">
        <v>4</v>
      </c>
      <c r="BW10" s="36">
        <v>4</v>
      </c>
      <c r="BX10" s="36">
        <v>5</v>
      </c>
      <c r="BY10" s="36">
        <v>4</v>
      </c>
      <c r="BZ10" s="36">
        <v>5</v>
      </c>
      <c r="CA10" s="36">
        <v>4</v>
      </c>
      <c r="CB10" s="36">
        <v>4</v>
      </c>
      <c r="CC10" s="36">
        <v>4</v>
      </c>
      <c r="CD10" s="36">
        <v>4</v>
      </c>
      <c r="CE10" s="36">
        <v>4</v>
      </c>
      <c r="CF10" s="36">
        <v>1</v>
      </c>
      <c r="CG10" s="36">
        <v>2</v>
      </c>
      <c r="CH10" s="36" t="s">
        <v>222</v>
      </c>
      <c r="CI10" t="s">
        <v>227</v>
      </c>
      <c r="CJ10"/>
      <c r="CK10" s="36" t="s">
        <v>235</v>
      </c>
      <c r="CL10" t="s">
        <v>239</v>
      </c>
      <c r="CM10" t="s">
        <v>240</v>
      </c>
      <c r="CN10" s="36" t="s">
        <v>241</v>
      </c>
      <c r="CO10" s="36" t="s">
        <v>133</v>
      </c>
      <c r="CP10" s="36">
        <v>2</v>
      </c>
      <c r="CQ10" s="36">
        <v>5</v>
      </c>
      <c r="CR10" s="36" t="s">
        <v>249</v>
      </c>
      <c r="CS10" s="36">
        <v>2</v>
      </c>
      <c r="CT10" s="36">
        <v>1</v>
      </c>
      <c r="CU10" s="36">
        <v>3</v>
      </c>
      <c r="CV10" s="36">
        <v>2</v>
      </c>
      <c r="CW10" s="36">
        <v>3</v>
      </c>
      <c r="CX10" s="36">
        <v>4</v>
      </c>
      <c r="CY10" s="36">
        <v>5</v>
      </c>
      <c r="CZ10" s="36">
        <v>3</v>
      </c>
      <c r="DA10" s="36">
        <v>2</v>
      </c>
      <c r="DB10" s="36">
        <v>3</v>
      </c>
      <c r="DC10" s="36">
        <v>4</v>
      </c>
      <c r="DD10" s="36">
        <v>4</v>
      </c>
      <c r="DE10" s="36">
        <v>2</v>
      </c>
      <c r="DF10" s="36">
        <v>4</v>
      </c>
      <c r="DG10" s="36">
        <v>5</v>
      </c>
      <c r="DH10" s="36">
        <v>3</v>
      </c>
      <c r="DI10" s="36" t="s">
        <v>250</v>
      </c>
      <c r="DJ10" s="36" t="s">
        <v>133</v>
      </c>
      <c r="DK10" s="36" t="s">
        <v>254</v>
      </c>
      <c r="DL10" t="s">
        <v>255</v>
      </c>
      <c r="DM10"/>
      <c r="DN10"/>
      <c r="DO10" t="s">
        <v>257</v>
      </c>
      <c r="DP10"/>
      <c r="DQ10" s="36">
        <v>4</v>
      </c>
      <c r="DR10" s="36" t="s">
        <v>133</v>
      </c>
      <c r="DS10" s="36" t="s">
        <v>260</v>
      </c>
      <c r="DT10" t="s">
        <v>261</v>
      </c>
      <c r="DU10"/>
      <c r="DV10"/>
      <c r="DW10"/>
      <c r="DX10"/>
      <c r="DY10" s="36">
        <v>4</v>
      </c>
      <c r="DZ10" s="36" t="s">
        <v>133</v>
      </c>
      <c r="EA10" s="36">
        <v>5</v>
      </c>
      <c r="EB10" s="36" t="s">
        <v>263</v>
      </c>
      <c r="EC10" s="36" t="s">
        <v>267</v>
      </c>
      <c r="ED10" s="36">
        <v>32</v>
      </c>
      <c r="EE10" s="36" t="s">
        <v>310</v>
      </c>
      <c r="EF10" s="36" t="str">
        <f>Tabulacao!MC10</f>
        <v>Feira de Santana - BA</v>
      </c>
      <c r="EG10" s="36" t="s">
        <v>292</v>
      </c>
      <c r="EH10" s="36" t="str">
        <f>Tabulacao!MG10</f>
        <v>Aracaju</v>
      </c>
      <c r="EI10" s="36" t="s">
        <v>310</v>
      </c>
      <c r="EJ10" s="36" t="str">
        <f>Tabulacao!MK10</f>
        <v>Feira de Santana - BA</v>
      </c>
      <c r="EK10" s="36" t="s">
        <v>134</v>
      </c>
      <c r="EL10" s="36" t="s">
        <v>134</v>
      </c>
      <c r="EM10" s="36" t="s">
        <v>134</v>
      </c>
      <c r="EN10" s="36" t="s">
        <v>134</v>
      </c>
      <c r="EO10" s="36" t="s">
        <v>134</v>
      </c>
      <c r="EP10" s="36" t="s">
        <v>134</v>
      </c>
      <c r="EQ10" s="36" t="s">
        <v>272</v>
      </c>
      <c r="ER10" s="36" t="str">
        <f>IF(OR(EQ10=CaractAmostra!$BD$9,EQ10=CaractAmostra!$BD$10,EQ10=CaractAmostra!$BD$11,EQ10=CaractAmostra!$BD$12,EQ10=CaractAmostra!$BD$13),Respostas_Formatadas!EQ10,"Outros")</f>
        <v>Morava sozinho</v>
      </c>
      <c r="ES10" s="36" t="s">
        <v>274</v>
      </c>
      <c r="ET10" s="36" t="str">
        <f>IF(OR(ES10=CaractAmostra!$BH$9,ES10=CaractAmostra!$BH$10,ES10=CaractAmostra!$BH$11,ES10=CaractAmostra!$BH$12),Respostas_Formatadas!ES10,"Outros")</f>
        <v>Com um(a) parceiro(a)</v>
      </c>
      <c r="EU10" s="36" t="s">
        <v>279</v>
      </c>
      <c r="EV10" s="36" t="s">
        <v>282</v>
      </c>
      <c r="EW10" s="36" t="s">
        <v>284</v>
      </c>
      <c r="FA10" s="39"/>
      <c r="FE10" s="47">
        <v>2014</v>
      </c>
      <c r="FF10" s="97">
        <v>7.2215999999999996</v>
      </c>
      <c r="FI10" s="47" t="str">
        <f t="shared" si="0"/>
        <v>Aracaju</v>
      </c>
      <c r="FJ10" s="47" t="str">
        <f t="shared" si="1"/>
        <v>Tecnologia</v>
      </c>
      <c r="FL10" s="4" t="s">
        <v>124</v>
      </c>
      <c r="FM10" s="264" t="s">
        <v>292</v>
      </c>
      <c r="FN10" s="264" t="s">
        <v>1089</v>
      </c>
    </row>
    <row r="11" spans="1:170" s="36" customFormat="1" ht="15.75" customHeight="1" x14ac:dyDescent="0.2">
      <c r="A11" s="38">
        <v>43405.678188622682</v>
      </c>
      <c r="C11" s="36" t="s">
        <v>130</v>
      </c>
      <c r="D11" s="47" t="s">
        <v>133</v>
      </c>
      <c r="E11" s="36" t="s">
        <v>135</v>
      </c>
      <c r="F11" s="36" t="s">
        <v>137</v>
      </c>
      <c r="H11" s="36" t="s">
        <v>141</v>
      </c>
      <c r="I11" s="36" t="s">
        <v>142</v>
      </c>
      <c r="J11" s="36" t="s">
        <v>143</v>
      </c>
      <c r="K11" s="36" t="s">
        <v>144</v>
      </c>
      <c r="M11" s="36" t="s">
        <v>148</v>
      </c>
      <c r="N11" s="36" t="s">
        <v>133</v>
      </c>
      <c r="O11" s="36" t="s">
        <v>133</v>
      </c>
      <c r="P11" s="36" t="s">
        <v>133</v>
      </c>
      <c r="Q11" s="36" t="s">
        <v>133</v>
      </c>
      <c r="R11" s="36" t="s">
        <v>152</v>
      </c>
      <c r="S11" s="36" t="s">
        <v>311</v>
      </c>
      <c r="T11" s="36" t="s">
        <v>155</v>
      </c>
      <c r="U11" s="36" t="s">
        <v>159</v>
      </c>
      <c r="V11" s="36">
        <v>2</v>
      </c>
      <c r="W11" s="36">
        <v>2</v>
      </c>
      <c r="X11" s="36">
        <v>3</v>
      </c>
      <c r="Y11" s="36" t="s">
        <v>165</v>
      </c>
      <c r="Z11" s="36" t="s">
        <v>167</v>
      </c>
      <c r="AA11" s="36" t="s">
        <v>171</v>
      </c>
      <c r="AB11" s="36" t="s">
        <v>177</v>
      </c>
      <c r="AD11" s="36" t="s">
        <v>312</v>
      </c>
      <c r="AE11" s="36">
        <v>2</v>
      </c>
      <c r="AF11" s="36" t="s">
        <v>190</v>
      </c>
      <c r="AG11" s="36" t="s">
        <v>190</v>
      </c>
      <c r="AH11" s="36" t="s">
        <v>133</v>
      </c>
      <c r="AI11" s="40"/>
      <c r="AJ11" s="36">
        <v>2</v>
      </c>
      <c r="AK11" s="36">
        <v>5</v>
      </c>
      <c r="AL11" s="36" t="s">
        <v>134</v>
      </c>
      <c r="AM11" s="36" t="s">
        <v>169</v>
      </c>
      <c r="AN11" s="36">
        <v>3</v>
      </c>
      <c r="AO11" s="36" t="s">
        <v>133</v>
      </c>
      <c r="AP11" s="36" t="s">
        <v>313</v>
      </c>
      <c r="AQ11" s="40">
        <v>2000</v>
      </c>
      <c r="AR11" s="36">
        <v>2</v>
      </c>
      <c r="AS11" s="36">
        <v>2</v>
      </c>
      <c r="AT11" s="36">
        <v>5</v>
      </c>
      <c r="AU11" s="36">
        <v>2</v>
      </c>
      <c r="AV11" s="36">
        <v>3</v>
      </c>
      <c r="AW11" s="36" t="s">
        <v>314</v>
      </c>
      <c r="AX11" s="36" t="s">
        <v>204</v>
      </c>
      <c r="AY11" s="36" t="s">
        <v>210</v>
      </c>
      <c r="AZ11" s="36" t="s">
        <v>133</v>
      </c>
      <c r="BA11" s="36" t="s">
        <v>212</v>
      </c>
      <c r="BB11" s="36" t="s">
        <v>315</v>
      </c>
      <c r="BC11" s="36" t="s">
        <v>1320</v>
      </c>
      <c r="BD11" s="36" t="s">
        <v>188</v>
      </c>
      <c r="BF11" s="36" t="s">
        <v>220</v>
      </c>
      <c r="BG11" s="36">
        <v>3</v>
      </c>
      <c r="BH11" s="36">
        <v>4</v>
      </c>
      <c r="BI11" s="36">
        <v>4</v>
      </c>
      <c r="BJ11" s="36">
        <v>4</v>
      </c>
      <c r="BK11" s="36">
        <v>5</v>
      </c>
      <c r="BL11" s="36">
        <v>5</v>
      </c>
      <c r="BM11" s="36">
        <v>5</v>
      </c>
      <c r="BN11" s="36">
        <v>5</v>
      </c>
      <c r="BO11" s="36">
        <v>5</v>
      </c>
      <c r="BP11" s="36">
        <v>5</v>
      </c>
      <c r="BQ11" s="36">
        <v>5</v>
      </c>
      <c r="BR11" s="36">
        <v>5</v>
      </c>
      <c r="BS11" s="36">
        <v>3</v>
      </c>
      <c r="BT11" s="36">
        <v>3</v>
      </c>
      <c r="BU11" s="36">
        <v>3</v>
      </c>
      <c r="BV11" s="36">
        <v>3</v>
      </c>
      <c r="BW11" s="36">
        <v>3</v>
      </c>
      <c r="BX11" s="36">
        <v>4</v>
      </c>
      <c r="BY11" s="36">
        <v>3</v>
      </c>
      <c r="BZ11" s="36">
        <v>3</v>
      </c>
      <c r="CA11" s="36">
        <v>3</v>
      </c>
      <c r="CB11" s="36">
        <v>3</v>
      </c>
      <c r="CC11" s="36">
        <v>4</v>
      </c>
      <c r="CD11" s="36">
        <v>3</v>
      </c>
      <c r="CE11" s="36">
        <v>5</v>
      </c>
      <c r="CF11" s="36">
        <v>4</v>
      </c>
      <c r="CG11" s="36">
        <v>1</v>
      </c>
      <c r="CH11" s="36" t="s">
        <v>222</v>
      </c>
      <c r="CI11" t="s">
        <v>225</v>
      </c>
      <c r="CJ11" t="s">
        <v>226</v>
      </c>
      <c r="CK11" s="36" t="s">
        <v>233</v>
      </c>
      <c r="CL11" t="s">
        <v>235</v>
      </c>
      <c r="CM11"/>
      <c r="CN11" s="36" t="s">
        <v>241</v>
      </c>
      <c r="CO11" s="36" t="s">
        <v>134</v>
      </c>
      <c r="CP11" s="36">
        <v>3</v>
      </c>
      <c r="CQ11" s="36">
        <v>3</v>
      </c>
      <c r="CR11" s="36" t="s">
        <v>249</v>
      </c>
      <c r="CS11" s="36">
        <v>3</v>
      </c>
      <c r="CT11" s="36">
        <v>1</v>
      </c>
      <c r="CU11" s="36">
        <v>2</v>
      </c>
      <c r="CV11" s="36">
        <v>1</v>
      </c>
      <c r="CW11" s="36">
        <v>1</v>
      </c>
      <c r="CX11" s="36">
        <v>2</v>
      </c>
      <c r="CY11" s="36">
        <v>3</v>
      </c>
      <c r="CZ11" s="36">
        <v>3</v>
      </c>
      <c r="DA11" s="36">
        <v>5</v>
      </c>
      <c r="DB11" s="36">
        <v>3</v>
      </c>
      <c r="DC11" s="36">
        <v>2</v>
      </c>
      <c r="DD11" s="36">
        <v>1</v>
      </c>
      <c r="DE11" s="36">
        <v>1</v>
      </c>
      <c r="DF11" s="36">
        <v>1</v>
      </c>
      <c r="DG11" s="36">
        <v>1</v>
      </c>
      <c r="DH11" s="36">
        <v>2</v>
      </c>
      <c r="DI11" s="36" t="s">
        <v>250</v>
      </c>
      <c r="DJ11" s="36" t="s">
        <v>133</v>
      </c>
      <c r="DK11" s="36" t="s">
        <v>254</v>
      </c>
      <c r="DL11" t="s">
        <v>255</v>
      </c>
      <c r="DM11"/>
      <c r="DN11"/>
      <c r="DO11" t="s">
        <v>256</v>
      </c>
      <c r="DP11" t="s">
        <v>257</v>
      </c>
      <c r="DQ11" s="36">
        <v>5</v>
      </c>
      <c r="DR11" s="36" t="s">
        <v>133</v>
      </c>
      <c r="DS11" s="36" t="s">
        <v>258</v>
      </c>
      <c r="DT11" t="s">
        <v>259</v>
      </c>
      <c r="DU11"/>
      <c r="DV11"/>
      <c r="DW11" t="s">
        <v>260</v>
      </c>
      <c r="DX11" t="s">
        <v>261</v>
      </c>
      <c r="DY11" s="36">
        <v>5</v>
      </c>
      <c r="DZ11" s="36" t="s">
        <v>133</v>
      </c>
      <c r="EA11" s="36">
        <v>5</v>
      </c>
      <c r="EB11" s="36" t="s">
        <v>262</v>
      </c>
      <c r="EC11" s="36" t="s">
        <v>264</v>
      </c>
      <c r="ED11" s="36">
        <v>34</v>
      </c>
      <c r="EE11" s="36" t="s">
        <v>316</v>
      </c>
      <c r="EF11" s="36" t="str">
        <f>Tabulacao!MC11</f>
        <v>Irecê - BA</v>
      </c>
      <c r="EG11" s="36" t="s">
        <v>292</v>
      </c>
      <c r="EH11" s="36" t="str">
        <f>Tabulacao!MG11</f>
        <v>Aracaju</v>
      </c>
      <c r="EI11" s="36" t="s">
        <v>316</v>
      </c>
      <c r="EJ11" s="36" t="str">
        <f>Tabulacao!MK11</f>
        <v>Irecê - BA</v>
      </c>
      <c r="EK11" s="36" t="s">
        <v>134</v>
      </c>
      <c r="EL11" s="36" t="s">
        <v>134</v>
      </c>
      <c r="EM11" s="36" t="s">
        <v>134</v>
      </c>
      <c r="EN11" s="36" t="s">
        <v>270</v>
      </c>
      <c r="EO11" s="36" t="s">
        <v>270</v>
      </c>
      <c r="EP11" s="36" t="s">
        <v>270</v>
      </c>
      <c r="EQ11" s="36" t="s">
        <v>273</v>
      </c>
      <c r="ER11" s="36" t="str">
        <f>IF(OR(EQ11=CaractAmostra!$BD$9,EQ11=CaractAmostra!$BD$10,EQ11=CaractAmostra!$BD$11,EQ11=CaractAmostra!$BD$12,EQ11=CaractAmostra!$BD$13),Respostas_Formatadas!EQ11,"Outros")</f>
        <v>Dividia residência com outras pessoas</v>
      </c>
      <c r="ES11" s="36" t="s">
        <v>277</v>
      </c>
      <c r="ET11" s="36" t="str">
        <f>IF(OR(ES11=CaractAmostra!$BH$9,ES11=CaractAmostra!$BH$10,ES11=CaractAmostra!$BH$11,ES11=CaractAmostra!$BH$12),Respostas_Formatadas!ES11,"Outros")</f>
        <v>Sozinho</v>
      </c>
      <c r="EU11" s="36" t="s">
        <v>134</v>
      </c>
      <c r="EV11" s="36" t="s">
        <v>282</v>
      </c>
      <c r="EW11" s="36" t="s">
        <v>282</v>
      </c>
      <c r="FE11" s="47">
        <v>2016</v>
      </c>
      <c r="FF11" s="97">
        <v>7.3333000000000004</v>
      </c>
      <c r="FI11" s="47" t="str">
        <f t="shared" si="0"/>
        <v>São Cristóvão</v>
      </c>
      <c r="FJ11" s="47" t="str">
        <f t="shared" si="1"/>
        <v>Tecnologia</v>
      </c>
      <c r="FL11" s="4" t="s">
        <v>119</v>
      </c>
      <c r="FM11" s="264" t="s">
        <v>292</v>
      </c>
      <c r="FN11" s="264" t="s">
        <v>1087</v>
      </c>
    </row>
    <row r="12" spans="1:170" s="36" customFormat="1" ht="15.75" customHeight="1" x14ac:dyDescent="0.2">
      <c r="A12" s="38">
        <v>43405.678893414355</v>
      </c>
      <c r="C12" s="36" t="s">
        <v>125</v>
      </c>
      <c r="D12" s="47" t="s">
        <v>133</v>
      </c>
      <c r="E12" s="36" t="s">
        <v>135</v>
      </c>
      <c r="H12" s="36" t="s">
        <v>142</v>
      </c>
      <c r="M12" s="36" t="s">
        <v>147</v>
      </c>
      <c r="N12" s="36" t="s">
        <v>134</v>
      </c>
      <c r="O12" s="36" t="s">
        <v>134</v>
      </c>
      <c r="P12" s="36" t="s">
        <v>133</v>
      </c>
      <c r="Q12" s="36" t="s">
        <v>134</v>
      </c>
      <c r="R12" s="36" t="s">
        <v>153</v>
      </c>
      <c r="S12" s="36" t="s">
        <v>936</v>
      </c>
      <c r="T12" s="36" t="s">
        <v>154</v>
      </c>
      <c r="U12" s="36" t="s">
        <v>159</v>
      </c>
      <c r="V12" s="36">
        <v>5</v>
      </c>
      <c r="W12" s="36">
        <v>5</v>
      </c>
      <c r="X12" s="36">
        <v>4</v>
      </c>
      <c r="Y12" s="36" t="s">
        <v>165</v>
      </c>
      <c r="Z12" s="36" t="s">
        <v>167</v>
      </c>
      <c r="AA12" s="36" t="s">
        <v>173</v>
      </c>
      <c r="AB12" s="36" t="s">
        <v>175</v>
      </c>
      <c r="AD12" s="36" t="s">
        <v>317</v>
      </c>
      <c r="AE12" s="36">
        <v>5</v>
      </c>
      <c r="AF12" s="36" t="s">
        <v>318</v>
      </c>
      <c r="AG12" s="36" t="s">
        <v>189</v>
      </c>
      <c r="AH12" s="36" t="s">
        <v>134</v>
      </c>
      <c r="AI12" s="40">
        <v>1300</v>
      </c>
      <c r="AJ12" s="36">
        <v>1</v>
      </c>
      <c r="AK12" s="36">
        <v>5</v>
      </c>
      <c r="AL12" s="36" t="s">
        <v>134</v>
      </c>
      <c r="AM12" s="36" t="s">
        <v>170</v>
      </c>
      <c r="AN12" s="36">
        <v>3</v>
      </c>
      <c r="AO12" s="36" t="s">
        <v>133</v>
      </c>
      <c r="AP12" s="36" t="s">
        <v>319</v>
      </c>
      <c r="AQ12" s="40">
        <v>1300</v>
      </c>
      <c r="AR12" s="36">
        <v>3</v>
      </c>
      <c r="AS12" s="36">
        <v>1</v>
      </c>
      <c r="AT12" s="36">
        <v>5</v>
      </c>
      <c r="AU12" s="36">
        <v>3</v>
      </c>
      <c r="AV12" s="36">
        <v>5</v>
      </c>
      <c r="AW12" s="36" t="s">
        <v>194</v>
      </c>
      <c r="AX12" s="36" t="s">
        <v>206</v>
      </c>
      <c r="AY12" s="36" t="s">
        <v>210</v>
      </c>
      <c r="AZ12" s="36" t="s">
        <v>134</v>
      </c>
      <c r="BA12" s="36" t="s">
        <v>213</v>
      </c>
      <c r="BB12" s="36" t="s">
        <v>304</v>
      </c>
      <c r="BC12" s="36" t="s">
        <v>292</v>
      </c>
      <c r="BD12" s="36" t="s">
        <v>189</v>
      </c>
      <c r="BF12" s="36" t="s">
        <v>219</v>
      </c>
      <c r="BG12" s="36">
        <v>4</v>
      </c>
      <c r="BH12" s="36">
        <v>4</v>
      </c>
      <c r="BI12" s="36">
        <v>4</v>
      </c>
      <c r="BJ12" s="36">
        <v>5</v>
      </c>
      <c r="BK12" s="36">
        <v>5</v>
      </c>
      <c r="BL12" s="36">
        <v>5</v>
      </c>
      <c r="BM12" s="36">
        <v>5</v>
      </c>
      <c r="BN12" s="36">
        <v>4</v>
      </c>
      <c r="BO12" s="36">
        <v>4</v>
      </c>
      <c r="BP12" s="36">
        <v>4</v>
      </c>
      <c r="BQ12" s="36">
        <v>4</v>
      </c>
      <c r="BR12" s="36">
        <v>4</v>
      </c>
      <c r="BS12" s="36">
        <v>4</v>
      </c>
      <c r="BT12" s="36">
        <v>3</v>
      </c>
      <c r="BU12" s="36">
        <v>3</v>
      </c>
      <c r="BV12" s="36">
        <v>4</v>
      </c>
      <c r="BW12" s="36">
        <v>5</v>
      </c>
      <c r="BX12" s="36">
        <v>5</v>
      </c>
      <c r="BY12" s="36">
        <v>5</v>
      </c>
      <c r="BZ12" s="36">
        <v>5</v>
      </c>
      <c r="CA12" s="36">
        <v>5</v>
      </c>
      <c r="CB12" s="36">
        <v>5</v>
      </c>
      <c r="CC12" s="36">
        <v>4</v>
      </c>
      <c r="CD12" s="36">
        <v>4</v>
      </c>
      <c r="CE12" s="36">
        <v>4</v>
      </c>
      <c r="CF12" s="36">
        <v>4</v>
      </c>
      <c r="CG12" s="36">
        <v>4</v>
      </c>
      <c r="CH12" s="36" t="s">
        <v>222</v>
      </c>
      <c r="CI12"/>
      <c r="CJ12"/>
      <c r="CK12" s="36" t="s">
        <v>233</v>
      </c>
      <c r="CL12" t="s">
        <v>236</v>
      </c>
      <c r="CM12" t="s">
        <v>239</v>
      </c>
      <c r="CN12" s="36" t="s">
        <v>242</v>
      </c>
      <c r="CO12" s="36" t="s">
        <v>134</v>
      </c>
      <c r="CP12" s="36">
        <v>4</v>
      </c>
      <c r="CQ12" s="36">
        <v>5</v>
      </c>
      <c r="CR12" s="36" t="s">
        <v>249</v>
      </c>
      <c r="CS12" s="36">
        <v>4</v>
      </c>
      <c r="CT12" s="36">
        <v>4</v>
      </c>
      <c r="CU12" s="36">
        <v>2</v>
      </c>
      <c r="CV12" s="36">
        <v>1</v>
      </c>
      <c r="CW12" s="36">
        <v>5</v>
      </c>
      <c r="CX12" s="36">
        <v>5</v>
      </c>
      <c r="CY12" s="36">
        <v>5</v>
      </c>
      <c r="CZ12" s="36">
        <v>4</v>
      </c>
      <c r="DA12" s="36">
        <v>1</v>
      </c>
      <c r="DB12" s="36">
        <v>3</v>
      </c>
      <c r="DC12" s="36">
        <v>1</v>
      </c>
      <c r="DD12" s="36">
        <v>1</v>
      </c>
      <c r="DE12" s="36">
        <v>1</v>
      </c>
      <c r="DF12" s="36">
        <v>1</v>
      </c>
      <c r="DG12" s="36">
        <v>1</v>
      </c>
      <c r="DH12" s="36">
        <v>1</v>
      </c>
      <c r="DI12" s="36" t="s">
        <v>251</v>
      </c>
      <c r="DJ12" s="36" t="s">
        <v>134</v>
      </c>
      <c r="DL12"/>
      <c r="DM12"/>
      <c r="DN12"/>
      <c r="DO12"/>
      <c r="DP12"/>
      <c r="DR12" s="36" t="s">
        <v>134</v>
      </c>
      <c r="DT12"/>
      <c r="DU12"/>
      <c r="DV12"/>
      <c r="DW12"/>
      <c r="DX12"/>
      <c r="DZ12" s="36" t="s">
        <v>134</v>
      </c>
      <c r="EB12" s="36" t="s">
        <v>262</v>
      </c>
      <c r="EC12" s="36" t="s">
        <v>264</v>
      </c>
      <c r="ED12" s="36">
        <v>33</v>
      </c>
      <c r="EE12" s="36" t="s">
        <v>304</v>
      </c>
      <c r="EF12" s="36" t="str">
        <f>Tabulacao!MC12</f>
        <v>Aracaju</v>
      </c>
      <c r="EG12" s="36" t="s">
        <v>304</v>
      </c>
      <c r="EH12" s="36" t="str">
        <f>Tabulacao!MG12</f>
        <v>Aracaju</v>
      </c>
      <c r="EI12" s="36" t="s">
        <v>304</v>
      </c>
      <c r="EJ12" s="36" t="str">
        <f>Tabulacao!MK12</f>
        <v>Aracaju</v>
      </c>
      <c r="EK12" s="36" t="s">
        <v>134</v>
      </c>
      <c r="EL12" s="36" t="s">
        <v>134</v>
      </c>
      <c r="EM12" s="36" t="s">
        <v>134</v>
      </c>
      <c r="EN12" s="36" t="s">
        <v>134</v>
      </c>
      <c r="EO12" s="36" t="s">
        <v>134</v>
      </c>
      <c r="EP12" s="36" t="s">
        <v>134</v>
      </c>
      <c r="EQ12" s="36" t="s">
        <v>320</v>
      </c>
      <c r="ER12" s="36" t="str">
        <f>IF(OR(EQ12=CaractAmostra!$BD$9,EQ12=CaractAmostra!$BD$10,EQ12=CaractAmostra!$BD$11,EQ12=CaractAmostra!$BD$12,EQ12=CaractAmostra!$BD$13),Respostas_Formatadas!EQ12,"Outros")</f>
        <v>Outros</v>
      </c>
      <c r="ES12" s="36" t="s">
        <v>274</v>
      </c>
      <c r="ET12" s="36" t="str">
        <f>IF(OR(ES12=CaractAmostra!$BH$9,ES12=CaractAmostra!$BH$10,ES12=CaractAmostra!$BH$11,ES12=CaractAmostra!$BH$12),Respostas_Formatadas!ES12,"Outros")</f>
        <v>Com um(a) parceiro(a)</v>
      </c>
      <c r="EU12" s="36" t="s">
        <v>134</v>
      </c>
      <c r="EV12" s="36" t="s">
        <v>282</v>
      </c>
      <c r="EW12" s="36" t="s">
        <v>282</v>
      </c>
      <c r="FD12" s="36" t="s">
        <v>321</v>
      </c>
      <c r="FE12" s="47">
        <v>2013</v>
      </c>
      <c r="FF12" s="97">
        <v>7.6540999999999997</v>
      </c>
      <c r="FI12" s="47" t="str">
        <f t="shared" si="0"/>
        <v>Aracaju</v>
      </c>
      <c r="FJ12" s="47" t="str">
        <f t="shared" si="1"/>
        <v>Tecnologia</v>
      </c>
      <c r="FL12" s="3" t="s">
        <v>121</v>
      </c>
      <c r="FM12" s="264" t="s">
        <v>292</v>
      </c>
      <c r="FN12" s="264" t="s">
        <v>1088</v>
      </c>
    </row>
    <row r="13" spans="1:170" s="36" customFormat="1" ht="15.75" customHeight="1" x14ac:dyDescent="0.2">
      <c r="A13" s="38">
        <v>43405.679172627315</v>
      </c>
      <c r="C13" s="36" t="s">
        <v>127</v>
      </c>
      <c r="D13" s="47" t="s">
        <v>134</v>
      </c>
      <c r="M13" s="36" t="s">
        <v>148</v>
      </c>
      <c r="N13" s="36" t="s">
        <v>134</v>
      </c>
      <c r="O13" s="36" t="s">
        <v>134</v>
      </c>
      <c r="P13" s="36" t="s">
        <v>134</v>
      </c>
      <c r="Q13" s="36" t="s">
        <v>134</v>
      </c>
      <c r="R13" s="36" t="s">
        <v>153</v>
      </c>
      <c r="S13" s="36" t="s">
        <v>941</v>
      </c>
      <c r="T13" s="36" t="s">
        <v>154</v>
      </c>
      <c r="U13" s="36" t="s">
        <v>159</v>
      </c>
      <c r="V13" s="36">
        <v>4</v>
      </c>
      <c r="W13" s="36">
        <v>2</v>
      </c>
      <c r="X13" s="36">
        <v>4</v>
      </c>
      <c r="Y13" s="36" t="s">
        <v>134</v>
      </c>
      <c r="AI13" s="40"/>
      <c r="AQ13" s="40"/>
      <c r="BT13" s="36">
        <v>4</v>
      </c>
      <c r="BU13" s="36">
        <v>4</v>
      </c>
      <c r="BV13" s="36">
        <v>4</v>
      </c>
      <c r="BW13" s="36">
        <v>5</v>
      </c>
      <c r="BX13" s="36">
        <v>5</v>
      </c>
      <c r="BY13" s="36">
        <v>5</v>
      </c>
      <c r="BZ13" s="36">
        <v>4</v>
      </c>
      <c r="CA13" s="36">
        <v>4</v>
      </c>
      <c r="CB13" s="36">
        <v>4</v>
      </c>
      <c r="CC13" s="36">
        <v>4</v>
      </c>
      <c r="CD13" s="36">
        <v>4</v>
      </c>
      <c r="CE13" s="36">
        <v>3</v>
      </c>
      <c r="CF13" s="36">
        <v>2</v>
      </c>
      <c r="CG13" s="36">
        <v>3</v>
      </c>
      <c r="CH13" s="36" t="s">
        <v>222</v>
      </c>
      <c r="CI13" t="s">
        <v>226</v>
      </c>
      <c r="CJ13" t="s">
        <v>229</v>
      </c>
      <c r="CK13" s="36" t="s">
        <v>233</v>
      </c>
      <c r="CL13" t="s">
        <v>234</v>
      </c>
      <c r="CM13" t="s">
        <v>240</v>
      </c>
      <c r="CN13" s="36" t="s">
        <v>242</v>
      </c>
      <c r="CO13" s="36" t="s">
        <v>133</v>
      </c>
      <c r="CP13" s="36">
        <v>1</v>
      </c>
      <c r="CQ13" s="36">
        <v>5</v>
      </c>
      <c r="CR13" s="36" t="s">
        <v>248</v>
      </c>
      <c r="CS13" s="36">
        <v>4</v>
      </c>
      <c r="CT13" s="36">
        <v>4</v>
      </c>
      <c r="CU13" s="36">
        <v>2</v>
      </c>
      <c r="CV13" s="36">
        <v>1</v>
      </c>
      <c r="CW13" s="36">
        <v>4</v>
      </c>
      <c r="CX13" s="36">
        <v>4</v>
      </c>
      <c r="CY13" s="36">
        <v>3</v>
      </c>
      <c r="CZ13" s="36">
        <v>4</v>
      </c>
      <c r="DA13" s="36">
        <v>4</v>
      </c>
      <c r="DB13" s="36">
        <v>3</v>
      </c>
      <c r="DC13" s="36">
        <v>3</v>
      </c>
      <c r="DD13" s="36">
        <v>5</v>
      </c>
      <c r="DE13" s="36">
        <v>5</v>
      </c>
      <c r="DF13" s="36">
        <v>5</v>
      </c>
      <c r="DG13" s="36">
        <v>5</v>
      </c>
      <c r="DH13" s="36">
        <v>5</v>
      </c>
      <c r="DI13" s="36" t="s">
        <v>133</v>
      </c>
      <c r="DJ13" s="36" t="s">
        <v>133</v>
      </c>
      <c r="DK13" s="36" t="s">
        <v>254</v>
      </c>
      <c r="DL13"/>
      <c r="DM13"/>
      <c r="DN13"/>
      <c r="DO13"/>
      <c r="DP13"/>
      <c r="DQ13" s="36">
        <v>4</v>
      </c>
      <c r="DR13" s="36" t="s">
        <v>134</v>
      </c>
      <c r="DT13"/>
      <c r="DU13"/>
      <c r="DV13"/>
      <c r="DW13"/>
      <c r="DX13"/>
      <c r="DZ13" s="36" t="s">
        <v>134</v>
      </c>
      <c r="EB13" s="36" t="s">
        <v>262</v>
      </c>
      <c r="EC13" s="36" t="s">
        <v>265</v>
      </c>
      <c r="ED13" s="36">
        <v>25</v>
      </c>
      <c r="EE13" s="36" t="s">
        <v>322</v>
      </c>
      <c r="EF13" s="36" t="str">
        <f>Tabulacao!MC13</f>
        <v>Itabaiana</v>
      </c>
      <c r="EG13" s="36" t="s">
        <v>322</v>
      </c>
      <c r="EH13" s="36" t="str">
        <f>Tabulacao!MG13</f>
        <v>Itabaiana</v>
      </c>
      <c r="EI13" s="36" t="s">
        <v>322</v>
      </c>
      <c r="EJ13" s="36" t="str">
        <f>Tabulacao!MK13</f>
        <v>Itabaiana</v>
      </c>
      <c r="EK13" s="36" t="s">
        <v>134</v>
      </c>
      <c r="EL13" s="36" t="s">
        <v>134</v>
      </c>
      <c r="EM13" s="36" t="s">
        <v>134</v>
      </c>
      <c r="EN13" s="36" t="s">
        <v>134</v>
      </c>
      <c r="EO13" s="36" t="s">
        <v>134</v>
      </c>
      <c r="EP13" s="36" t="s">
        <v>134</v>
      </c>
      <c r="EQ13" s="36" t="s">
        <v>275</v>
      </c>
      <c r="ER13" s="36" t="str">
        <f>IF(OR(EQ13=CaractAmostra!$BD$9,EQ13=CaractAmostra!$BD$10,EQ13=CaractAmostra!$BD$11,EQ13=CaractAmostra!$BD$12,EQ13=CaractAmostra!$BD$13),Respostas_Formatadas!EQ13,"Outros")</f>
        <v>Com os pais</v>
      </c>
      <c r="ES13" s="36" t="s">
        <v>275</v>
      </c>
      <c r="ET13" s="36" t="str">
        <f>IF(OR(ES13=CaractAmostra!$BH$9,ES13=CaractAmostra!$BH$10,ES13=CaractAmostra!$BH$11,ES13=CaractAmostra!$BH$12),Respostas_Formatadas!ES13,"Outros")</f>
        <v>Com os pais</v>
      </c>
      <c r="EU13" s="36" t="s">
        <v>134</v>
      </c>
      <c r="EV13" s="36" t="s">
        <v>283</v>
      </c>
      <c r="EW13" s="36" t="s">
        <v>282</v>
      </c>
      <c r="FE13" s="115" t="s">
        <v>1246</v>
      </c>
      <c r="FF13" s="97">
        <v>7.9749999999999996</v>
      </c>
      <c r="FI13" s="47" t="str">
        <f t="shared" si="0"/>
        <v>Itabaiana</v>
      </c>
      <c r="FJ13" s="47" t="str">
        <f t="shared" si="1"/>
        <v>Tecnologia</v>
      </c>
      <c r="FL13" s="3" t="s">
        <v>122</v>
      </c>
      <c r="FM13" s="264" t="s">
        <v>292</v>
      </c>
      <c r="FN13" s="264" t="s">
        <v>1088</v>
      </c>
    </row>
    <row r="14" spans="1:170" s="36" customFormat="1" ht="15.75" customHeight="1" x14ac:dyDescent="0.2">
      <c r="A14" s="38">
        <v>43405.680383530096</v>
      </c>
      <c r="C14" s="36" t="s">
        <v>119</v>
      </c>
      <c r="D14" s="47" t="s">
        <v>134</v>
      </c>
      <c r="M14" s="36" t="s">
        <v>148</v>
      </c>
      <c r="N14" s="36" t="s">
        <v>134</v>
      </c>
      <c r="O14" s="36" t="s">
        <v>133</v>
      </c>
      <c r="P14" s="36" t="s">
        <v>133</v>
      </c>
      <c r="Q14" s="36" t="s">
        <v>133</v>
      </c>
      <c r="R14" s="36" t="s">
        <v>151</v>
      </c>
      <c r="Y14" s="36" t="s">
        <v>165</v>
      </c>
      <c r="Z14" s="36" t="s">
        <v>169</v>
      </c>
      <c r="AA14" s="36" t="s">
        <v>172</v>
      </c>
      <c r="AB14" s="36" t="s">
        <v>184</v>
      </c>
      <c r="AD14" s="36" t="s">
        <v>323</v>
      </c>
      <c r="AE14" s="36">
        <v>1</v>
      </c>
      <c r="AF14" s="36" t="s">
        <v>190</v>
      </c>
      <c r="AG14" s="36" t="s">
        <v>190</v>
      </c>
      <c r="AH14" s="36" t="s">
        <v>134</v>
      </c>
      <c r="AI14" s="40">
        <v>1800</v>
      </c>
      <c r="AJ14" s="36">
        <v>2</v>
      </c>
      <c r="AK14" s="36">
        <v>1</v>
      </c>
      <c r="AL14" s="36" t="s">
        <v>133</v>
      </c>
      <c r="AP14" s="36" t="s">
        <v>324</v>
      </c>
      <c r="AQ14" s="40">
        <v>1800</v>
      </c>
      <c r="AR14" s="36">
        <v>3</v>
      </c>
      <c r="AS14" s="36">
        <v>3</v>
      </c>
      <c r="AT14" s="36">
        <v>1</v>
      </c>
      <c r="AU14" s="36">
        <v>2</v>
      </c>
      <c r="AV14" s="36">
        <v>1</v>
      </c>
      <c r="AW14" s="36" t="s">
        <v>193</v>
      </c>
      <c r="AX14" s="36" t="s">
        <v>203</v>
      </c>
      <c r="AY14" s="36" t="s">
        <v>209</v>
      </c>
      <c r="AZ14" s="36" t="s">
        <v>134</v>
      </c>
      <c r="BA14" s="36" t="s">
        <v>212</v>
      </c>
      <c r="BB14" s="36" t="s">
        <v>292</v>
      </c>
      <c r="BC14" s="36" t="s">
        <v>292</v>
      </c>
      <c r="BD14" s="36" t="s">
        <v>190</v>
      </c>
      <c r="BG14" s="36">
        <v>1</v>
      </c>
      <c r="BH14" s="36">
        <v>2</v>
      </c>
      <c r="BI14" s="36">
        <v>3</v>
      </c>
      <c r="BJ14" s="36">
        <v>4</v>
      </c>
      <c r="BK14" s="36">
        <v>2</v>
      </c>
      <c r="BL14" s="36">
        <v>3</v>
      </c>
      <c r="BM14" s="36">
        <v>2</v>
      </c>
      <c r="BN14" s="36">
        <v>3</v>
      </c>
      <c r="BO14" s="36">
        <v>2</v>
      </c>
      <c r="BP14" s="36">
        <v>2</v>
      </c>
      <c r="BQ14" s="36">
        <v>1</v>
      </c>
      <c r="BR14" s="36">
        <v>1</v>
      </c>
      <c r="BS14" s="36">
        <v>4</v>
      </c>
      <c r="BT14" s="36">
        <v>1</v>
      </c>
      <c r="BU14" s="36">
        <v>2</v>
      </c>
      <c r="BV14" s="36">
        <v>3</v>
      </c>
      <c r="BW14" s="36">
        <v>3</v>
      </c>
      <c r="BX14" s="36">
        <v>3</v>
      </c>
      <c r="BY14" s="36">
        <v>4</v>
      </c>
      <c r="BZ14" s="36">
        <v>4</v>
      </c>
      <c r="CA14" s="36">
        <v>4</v>
      </c>
      <c r="CB14" s="36">
        <v>4</v>
      </c>
      <c r="CC14" s="36">
        <v>3</v>
      </c>
      <c r="CD14" s="36">
        <v>4</v>
      </c>
      <c r="CE14" s="36">
        <v>2</v>
      </c>
      <c r="CF14" s="36">
        <v>3</v>
      </c>
      <c r="CG14" s="36">
        <v>1</v>
      </c>
      <c r="CH14" s="36" t="s">
        <v>222</v>
      </c>
      <c r="CI14" t="s">
        <v>225</v>
      </c>
      <c r="CJ14" t="s">
        <v>229</v>
      </c>
      <c r="CK14" s="36" t="s">
        <v>233</v>
      </c>
      <c r="CL14"/>
      <c r="CM14"/>
      <c r="CN14" s="36" t="s">
        <v>242</v>
      </c>
      <c r="CO14" s="36" t="s">
        <v>134</v>
      </c>
      <c r="CP14" s="36">
        <v>3</v>
      </c>
      <c r="CQ14" s="36">
        <v>4</v>
      </c>
      <c r="CR14" s="36" t="s">
        <v>248</v>
      </c>
      <c r="CS14" s="36">
        <v>4</v>
      </c>
      <c r="CT14" s="36">
        <v>2</v>
      </c>
      <c r="CU14" s="36">
        <v>5</v>
      </c>
      <c r="CV14" s="36">
        <v>4</v>
      </c>
      <c r="CW14" s="36">
        <v>4</v>
      </c>
      <c r="CX14" s="36">
        <v>4</v>
      </c>
      <c r="CY14" s="36">
        <v>5</v>
      </c>
      <c r="CZ14" s="36">
        <v>4</v>
      </c>
      <c r="DA14" s="36">
        <v>2</v>
      </c>
      <c r="DB14" s="36">
        <v>5</v>
      </c>
      <c r="DC14" s="36">
        <v>4</v>
      </c>
      <c r="DD14" s="36">
        <v>5</v>
      </c>
      <c r="DE14" s="36">
        <v>4</v>
      </c>
      <c r="DF14" s="36">
        <v>5</v>
      </c>
      <c r="DG14" s="36">
        <v>4</v>
      </c>
      <c r="DH14" s="36">
        <v>4</v>
      </c>
      <c r="DI14" s="36" t="s">
        <v>133</v>
      </c>
      <c r="DJ14" s="36" t="s">
        <v>133</v>
      </c>
      <c r="DK14" s="36" t="s">
        <v>255</v>
      </c>
      <c r="DL14"/>
      <c r="DM14"/>
      <c r="DN14"/>
      <c r="DO14"/>
      <c r="DP14"/>
      <c r="DQ14" s="36">
        <v>4</v>
      </c>
      <c r="DR14" s="36" t="s">
        <v>134</v>
      </c>
      <c r="DT14"/>
      <c r="DU14"/>
      <c r="DV14"/>
      <c r="DW14"/>
      <c r="DX14"/>
      <c r="DZ14" s="36" t="s">
        <v>134</v>
      </c>
      <c r="EB14" s="36" t="s">
        <v>262</v>
      </c>
      <c r="EC14" s="36" t="s">
        <v>264</v>
      </c>
      <c r="ED14" s="36">
        <v>28</v>
      </c>
      <c r="EE14" s="36" t="s">
        <v>325</v>
      </c>
      <c r="EF14" s="36" t="str">
        <f>Tabulacao!MC14</f>
        <v>Estância</v>
      </c>
      <c r="EG14" s="36" t="s">
        <v>292</v>
      </c>
      <c r="EH14" s="36" t="str">
        <f>Tabulacao!MG14</f>
        <v>Aracaju</v>
      </c>
      <c r="EI14" s="36" t="s">
        <v>292</v>
      </c>
      <c r="EJ14" s="36" t="str">
        <f>Tabulacao!MK14</f>
        <v>Aracaju</v>
      </c>
      <c r="EK14" s="36" t="s">
        <v>134</v>
      </c>
      <c r="EL14" s="36" t="s">
        <v>134</v>
      </c>
      <c r="EM14" s="36" t="s">
        <v>134</v>
      </c>
      <c r="EN14" s="36" t="s">
        <v>134</v>
      </c>
      <c r="EO14" s="36" t="s">
        <v>134</v>
      </c>
      <c r="EP14" s="36" t="s">
        <v>134</v>
      </c>
      <c r="EQ14" s="36" t="s">
        <v>272</v>
      </c>
      <c r="ER14" s="36" t="str">
        <f>IF(OR(EQ14=CaractAmostra!$BD$9,EQ14=CaractAmostra!$BD$10,EQ14=CaractAmostra!$BD$11,EQ14=CaractAmostra!$BD$12,EQ14=CaractAmostra!$BD$13),Respostas_Formatadas!EQ14,"Outros")</f>
        <v>Morava sozinho</v>
      </c>
      <c r="ES14" s="36" t="s">
        <v>277</v>
      </c>
      <c r="ET14" s="36" t="str">
        <f>IF(OR(ES14=CaractAmostra!$BH$9,ES14=CaractAmostra!$BH$10,ES14=CaractAmostra!$BH$11,ES14=CaractAmostra!$BH$12),Respostas_Formatadas!ES14,"Outros")</f>
        <v>Sozinho</v>
      </c>
      <c r="EU14" s="36" t="s">
        <v>134</v>
      </c>
      <c r="EV14" s="36" t="s">
        <v>285</v>
      </c>
      <c r="EW14" s="36" t="s">
        <v>287</v>
      </c>
      <c r="FE14" s="47">
        <v>2017</v>
      </c>
      <c r="FF14" s="97">
        <v>7.7733999999999996</v>
      </c>
      <c r="FI14" s="47" t="str">
        <f t="shared" si="0"/>
        <v>Aracaju</v>
      </c>
      <c r="FJ14" s="47" t="str">
        <f t="shared" si="1"/>
        <v>Bacharelado</v>
      </c>
      <c r="FL14" s="3" t="s">
        <v>128</v>
      </c>
      <c r="FM14" s="264" t="s">
        <v>328</v>
      </c>
      <c r="FN14" s="264" t="s">
        <v>1089</v>
      </c>
    </row>
    <row r="15" spans="1:170" s="36" customFormat="1" ht="15.75" customHeight="1" x14ac:dyDescent="0.2">
      <c r="A15" s="38">
        <v>43405.681099560185</v>
      </c>
      <c r="C15" s="36" t="s">
        <v>130</v>
      </c>
      <c r="D15" s="47" t="s">
        <v>134</v>
      </c>
      <c r="M15" s="36" t="s">
        <v>146</v>
      </c>
      <c r="N15" s="36" t="s">
        <v>134</v>
      </c>
      <c r="O15" s="36" t="s">
        <v>133</v>
      </c>
      <c r="P15" s="36" t="s">
        <v>133</v>
      </c>
      <c r="Q15" s="36" t="s">
        <v>133</v>
      </c>
      <c r="R15" s="36" t="s">
        <v>151</v>
      </c>
      <c r="Y15" s="36" t="s">
        <v>165</v>
      </c>
      <c r="Z15" s="36" t="s">
        <v>170</v>
      </c>
      <c r="AA15" s="36" t="s">
        <v>173</v>
      </c>
      <c r="AB15" s="36" t="s">
        <v>177</v>
      </c>
      <c r="AE15" s="36">
        <v>1</v>
      </c>
      <c r="AF15" s="36" t="s">
        <v>187</v>
      </c>
      <c r="AG15" s="36" t="s">
        <v>187</v>
      </c>
      <c r="AH15" s="36" t="s">
        <v>134</v>
      </c>
      <c r="AI15" s="40">
        <v>1500</v>
      </c>
      <c r="AJ15" s="36">
        <v>3</v>
      </c>
      <c r="AK15" s="36">
        <v>3</v>
      </c>
      <c r="AL15" s="36" t="s">
        <v>133</v>
      </c>
      <c r="AP15" s="36" t="s">
        <v>326</v>
      </c>
      <c r="AQ15" s="40">
        <v>1500</v>
      </c>
      <c r="AR15" s="36">
        <v>4</v>
      </c>
      <c r="AS15" s="36">
        <v>3</v>
      </c>
      <c r="AT15" s="36">
        <v>3</v>
      </c>
      <c r="AU15" s="36">
        <v>4</v>
      </c>
      <c r="AV15" s="36">
        <v>3</v>
      </c>
      <c r="AW15" s="36" t="s">
        <v>193</v>
      </c>
      <c r="AX15" s="36" t="s">
        <v>206</v>
      </c>
      <c r="AY15" s="36" t="s">
        <v>210</v>
      </c>
      <c r="AZ15" s="36" t="s">
        <v>133</v>
      </c>
      <c r="BA15" s="36" t="s">
        <v>212</v>
      </c>
      <c r="BB15" s="36" t="s">
        <v>327</v>
      </c>
      <c r="BC15" s="36" t="s">
        <v>325</v>
      </c>
      <c r="BD15" s="36" t="s">
        <v>187</v>
      </c>
      <c r="BE15" s="36" t="s">
        <v>217</v>
      </c>
      <c r="BG15" s="36">
        <v>5</v>
      </c>
      <c r="BH15" s="36">
        <v>3</v>
      </c>
      <c r="BI15" s="36">
        <v>4</v>
      </c>
      <c r="BJ15" s="36">
        <v>3</v>
      </c>
      <c r="BK15" s="36">
        <v>4</v>
      </c>
      <c r="BL15" s="36">
        <v>5</v>
      </c>
      <c r="BM15" s="36">
        <v>5</v>
      </c>
      <c r="BN15" s="36">
        <v>5</v>
      </c>
      <c r="BO15" s="36">
        <v>4</v>
      </c>
      <c r="BP15" s="36">
        <v>4</v>
      </c>
      <c r="BQ15" s="36">
        <v>4</v>
      </c>
      <c r="BR15" s="36">
        <v>5</v>
      </c>
      <c r="BS15" s="36">
        <v>1</v>
      </c>
      <c r="BT15" s="36">
        <v>4</v>
      </c>
      <c r="BU15" s="36">
        <v>4</v>
      </c>
      <c r="BV15" s="36">
        <v>4</v>
      </c>
      <c r="BW15" s="36">
        <v>3</v>
      </c>
      <c r="BX15" s="36">
        <v>5</v>
      </c>
      <c r="BY15" s="36">
        <v>5</v>
      </c>
      <c r="BZ15" s="36">
        <v>5</v>
      </c>
      <c r="CA15" s="36">
        <v>5</v>
      </c>
      <c r="CB15" s="36">
        <v>4</v>
      </c>
      <c r="CC15" s="36">
        <v>4</v>
      </c>
      <c r="CD15" s="36">
        <v>4</v>
      </c>
      <c r="CE15" s="36">
        <v>5</v>
      </c>
      <c r="CF15" s="36">
        <v>1</v>
      </c>
      <c r="CG15" s="36">
        <v>5</v>
      </c>
      <c r="CH15" s="36" t="s">
        <v>222</v>
      </c>
      <c r="CI15" t="s">
        <v>225</v>
      </c>
      <c r="CJ15" t="s">
        <v>229</v>
      </c>
      <c r="CK15" s="36" t="s">
        <v>234</v>
      </c>
      <c r="CL15" t="s">
        <v>239</v>
      </c>
      <c r="CM15" t="s">
        <v>240</v>
      </c>
      <c r="CN15" s="36" t="s">
        <v>241</v>
      </c>
      <c r="CO15" s="36" t="s">
        <v>133</v>
      </c>
      <c r="CP15" s="36">
        <v>2</v>
      </c>
      <c r="CQ15" s="36">
        <v>4</v>
      </c>
      <c r="CR15" s="36" t="s">
        <v>248</v>
      </c>
      <c r="CS15" s="36">
        <v>4</v>
      </c>
      <c r="CT15" s="36">
        <v>2</v>
      </c>
      <c r="CU15" s="36">
        <v>4</v>
      </c>
      <c r="CV15" s="36">
        <v>3</v>
      </c>
      <c r="CW15" s="36">
        <v>4</v>
      </c>
      <c r="CX15" s="36">
        <v>4</v>
      </c>
      <c r="CY15" s="36">
        <v>4</v>
      </c>
      <c r="CZ15" s="36">
        <v>4</v>
      </c>
      <c r="DA15" s="36">
        <v>3</v>
      </c>
      <c r="DB15" s="36">
        <v>3</v>
      </c>
      <c r="DC15" s="36">
        <v>3</v>
      </c>
      <c r="DD15" s="36">
        <v>2</v>
      </c>
      <c r="DE15" s="36">
        <v>2</v>
      </c>
      <c r="DF15" s="36">
        <v>3</v>
      </c>
      <c r="DG15" s="36">
        <v>3</v>
      </c>
      <c r="DH15" s="36">
        <v>3</v>
      </c>
      <c r="DI15" s="36" t="s">
        <v>252</v>
      </c>
      <c r="DJ15" s="36" t="s">
        <v>133</v>
      </c>
      <c r="DK15" s="36" t="s">
        <v>255</v>
      </c>
      <c r="DL15"/>
      <c r="DM15"/>
      <c r="DN15" t="s">
        <v>257</v>
      </c>
      <c r="DO15"/>
      <c r="DP15"/>
      <c r="DQ15" s="36">
        <v>3</v>
      </c>
      <c r="DR15" s="36" t="s">
        <v>133</v>
      </c>
      <c r="DS15" s="36" t="s">
        <v>260</v>
      </c>
      <c r="DT15" t="s">
        <v>261</v>
      </c>
      <c r="DU15"/>
      <c r="DV15"/>
      <c r="DW15"/>
      <c r="DX15"/>
      <c r="DY15" s="36">
        <v>4</v>
      </c>
      <c r="DZ15" s="36" t="s">
        <v>133</v>
      </c>
      <c r="EA15" s="36">
        <v>5</v>
      </c>
      <c r="EB15" s="36" t="s">
        <v>263</v>
      </c>
      <c r="EC15" s="36" t="s">
        <v>267</v>
      </c>
      <c r="ED15" s="36">
        <v>25</v>
      </c>
      <c r="EE15" s="36" t="s">
        <v>325</v>
      </c>
      <c r="EF15" s="36" t="str">
        <f>Tabulacao!MC15</f>
        <v>Estância</v>
      </c>
      <c r="EG15" s="36" t="s">
        <v>325</v>
      </c>
      <c r="EH15" s="36" t="str">
        <f>Tabulacao!MG15</f>
        <v>Estância</v>
      </c>
      <c r="EI15" s="36" t="s">
        <v>325</v>
      </c>
      <c r="EJ15" s="36" t="str">
        <f>Tabulacao!MK15</f>
        <v>Estância</v>
      </c>
      <c r="EK15" s="36" t="s">
        <v>134</v>
      </c>
      <c r="EL15" s="36" t="s">
        <v>134</v>
      </c>
      <c r="EM15" s="36" t="s">
        <v>134</v>
      </c>
      <c r="EN15" s="36" t="s">
        <v>134</v>
      </c>
      <c r="EO15" s="36" t="s">
        <v>134</v>
      </c>
      <c r="EP15" s="36" t="s">
        <v>134</v>
      </c>
      <c r="EQ15" s="36" t="s">
        <v>275</v>
      </c>
      <c r="ER15" s="36" t="str">
        <f>IF(OR(EQ15=CaractAmostra!$BD$9,EQ15=CaractAmostra!$BD$10,EQ15=CaractAmostra!$BD$11,EQ15=CaractAmostra!$BD$12,EQ15=CaractAmostra!$BD$13),Respostas_Formatadas!EQ15,"Outros")</f>
        <v>Com os pais</v>
      </c>
      <c r="ES15" s="36" t="s">
        <v>274</v>
      </c>
      <c r="ET15" s="36" t="str">
        <f>IF(OR(ES15=CaractAmostra!$BH$9,ES15=CaractAmostra!$BH$10,ES15=CaractAmostra!$BH$11,ES15=CaractAmostra!$BH$12),Respostas_Formatadas!ES15,"Outros")</f>
        <v>Com um(a) parceiro(a)</v>
      </c>
      <c r="EU15" s="36" t="s">
        <v>134</v>
      </c>
      <c r="EV15" s="36" t="s">
        <v>285</v>
      </c>
      <c r="EW15" s="36" t="s">
        <v>285</v>
      </c>
      <c r="FE15" s="47">
        <v>2015</v>
      </c>
      <c r="FF15" s="97">
        <v>7.3472</v>
      </c>
      <c r="FI15" s="47" t="str">
        <f t="shared" si="0"/>
        <v>São Cristóvão</v>
      </c>
      <c r="FJ15" s="47" t="str">
        <f t="shared" si="1"/>
        <v>Tecnologia</v>
      </c>
      <c r="FL15" s="3" t="s">
        <v>125</v>
      </c>
      <c r="FM15" s="264" t="s">
        <v>292</v>
      </c>
      <c r="FN15" s="264" t="s">
        <v>1089</v>
      </c>
    </row>
    <row r="16" spans="1:170" s="36" customFormat="1" ht="15.75" customHeight="1" x14ac:dyDescent="0.2">
      <c r="A16" s="38">
        <v>43405.684662013889</v>
      </c>
      <c r="C16" s="36" t="s">
        <v>128</v>
      </c>
      <c r="D16" s="47" t="s">
        <v>134</v>
      </c>
      <c r="M16" s="36" t="s">
        <v>146</v>
      </c>
      <c r="N16" s="36" t="s">
        <v>134</v>
      </c>
      <c r="O16" s="36" t="s">
        <v>134</v>
      </c>
      <c r="P16" s="36" t="s">
        <v>134</v>
      </c>
      <c r="Q16" s="36" t="s">
        <v>134</v>
      </c>
      <c r="R16" s="36" t="s">
        <v>153</v>
      </c>
      <c r="S16" s="36" t="s">
        <v>937</v>
      </c>
      <c r="T16" s="36" t="s">
        <v>154</v>
      </c>
      <c r="U16" s="36" t="s">
        <v>157</v>
      </c>
      <c r="V16" s="36">
        <v>3</v>
      </c>
      <c r="W16" s="36">
        <v>3</v>
      </c>
      <c r="X16" s="36">
        <v>3</v>
      </c>
      <c r="Y16" s="36" t="s">
        <v>134</v>
      </c>
      <c r="AI16" s="40"/>
      <c r="AQ16" s="40"/>
      <c r="BT16" s="36">
        <v>3</v>
      </c>
      <c r="BU16" s="36">
        <v>3</v>
      </c>
      <c r="BV16" s="36">
        <v>3</v>
      </c>
      <c r="BW16" s="36">
        <v>4</v>
      </c>
      <c r="BX16" s="36">
        <v>4</v>
      </c>
      <c r="BY16" s="36">
        <v>5</v>
      </c>
      <c r="BZ16" s="36">
        <v>5</v>
      </c>
      <c r="CA16" s="36">
        <v>5</v>
      </c>
      <c r="CB16" s="36">
        <v>5</v>
      </c>
      <c r="CC16" s="36">
        <v>5</v>
      </c>
      <c r="CD16" s="36">
        <v>5</v>
      </c>
      <c r="CE16" s="36">
        <v>5</v>
      </c>
      <c r="CF16" s="36">
        <v>3</v>
      </c>
      <c r="CG16" s="36">
        <v>2</v>
      </c>
      <c r="CH16" s="36" t="s">
        <v>222</v>
      </c>
      <c r="CI16"/>
      <c r="CJ16"/>
      <c r="CK16" s="36" t="s">
        <v>239</v>
      </c>
      <c r="CL16"/>
      <c r="CM16"/>
      <c r="CN16" s="36" t="s">
        <v>242</v>
      </c>
      <c r="CO16" s="36" t="s">
        <v>134</v>
      </c>
      <c r="CP16" s="36">
        <v>5</v>
      </c>
      <c r="CQ16" s="36">
        <v>5</v>
      </c>
      <c r="CR16" s="36" t="s">
        <v>248</v>
      </c>
      <c r="CS16" s="36">
        <v>5</v>
      </c>
      <c r="CT16" s="36">
        <v>5</v>
      </c>
      <c r="CU16" s="36">
        <v>5</v>
      </c>
      <c r="CV16" s="36">
        <v>1</v>
      </c>
      <c r="CW16" s="36">
        <v>5</v>
      </c>
      <c r="CX16" s="36">
        <v>5</v>
      </c>
      <c r="CY16" s="36">
        <v>5</v>
      </c>
      <c r="CZ16" s="36">
        <v>3</v>
      </c>
      <c r="DA16" s="36">
        <v>2</v>
      </c>
      <c r="DB16" s="36">
        <v>5</v>
      </c>
      <c r="DC16" s="36">
        <v>3</v>
      </c>
      <c r="DD16" s="36">
        <v>4</v>
      </c>
      <c r="DE16" s="36">
        <v>3</v>
      </c>
      <c r="DF16" s="36">
        <v>4</v>
      </c>
      <c r="DG16" s="36">
        <v>4</v>
      </c>
      <c r="DH16" s="36">
        <v>5</v>
      </c>
      <c r="DI16" s="36" t="s">
        <v>250</v>
      </c>
      <c r="DJ16" s="36" t="s">
        <v>134</v>
      </c>
      <c r="DL16"/>
      <c r="DM16"/>
      <c r="DN16"/>
      <c r="DO16"/>
      <c r="DP16"/>
      <c r="DR16" s="36" t="s">
        <v>134</v>
      </c>
      <c r="DT16"/>
      <c r="DU16"/>
      <c r="DV16"/>
      <c r="DW16"/>
      <c r="DX16"/>
      <c r="DZ16" s="36" t="s">
        <v>133</v>
      </c>
      <c r="EA16" s="36">
        <v>4</v>
      </c>
      <c r="EB16" s="36" t="s">
        <v>262</v>
      </c>
      <c r="EC16" s="36" t="s">
        <v>267</v>
      </c>
      <c r="ED16" s="36">
        <v>34</v>
      </c>
      <c r="EE16" s="36" t="s">
        <v>328</v>
      </c>
      <c r="EF16" s="36" t="str">
        <f>Tabulacao!MC16</f>
        <v>Nossa Senhora da Glória</v>
      </c>
      <c r="EG16" s="36" t="s">
        <v>328</v>
      </c>
      <c r="EH16" s="36" t="str">
        <f>Tabulacao!MG16</f>
        <v>Nossa Senhora da Glória</v>
      </c>
      <c r="EI16" s="36" t="s">
        <v>328</v>
      </c>
      <c r="EJ16" s="36" t="str">
        <f>Tabulacao!MK16</f>
        <v>Nossa Senhora da Glória</v>
      </c>
      <c r="EK16" s="36" t="s">
        <v>134</v>
      </c>
      <c r="EL16" s="36" t="s">
        <v>134</v>
      </c>
      <c r="EM16" s="36" t="s">
        <v>134</v>
      </c>
      <c r="EN16" s="36" t="s">
        <v>134</v>
      </c>
      <c r="EO16" s="36" t="s">
        <v>134</v>
      </c>
      <c r="EP16" s="36" t="s">
        <v>134</v>
      </c>
      <c r="EQ16" s="36" t="s">
        <v>275</v>
      </c>
      <c r="ER16" s="36" t="str">
        <f>IF(OR(EQ16=CaractAmostra!$BD$9,EQ16=CaractAmostra!$BD$10,EQ16=CaractAmostra!$BD$11,EQ16=CaractAmostra!$BD$12,EQ16=CaractAmostra!$BD$13),Respostas_Formatadas!EQ16,"Outros")</f>
        <v>Com os pais</v>
      </c>
      <c r="ES16" s="36" t="s">
        <v>274</v>
      </c>
      <c r="ET16" s="36" t="str">
        <f>IF(OR(ES16=CaractAmostra!$BH$9,ES16=CaractAmostra!$BH$10,ES16=CaractAmostra!$BH$11,ES16=CaractAmostra!$BH$12),Respostas_Formatadas!ES16,"Outros")</f>
        <v>Com um(a) parceiro(a)</v>
      </c>
      <c r="EU16" s="36" t="s">
        <v>134</v>
      </c>
      <c r="EV16" s="36" t="s">
        <v>192</v>
      </c>
      <c r="EW16" s="36" t="s">
        <v>287</v>
      </c>
      <c r="FE16" s="47">
        <v>2016</v>
      </c>
      <c r="FF16" s="97">
        <v>7.0042999999999997</v>
      </c>
      <c r="FI16" s="47" t="str">
        <f t="shared" si="0"/>
        <v>Nossa Senhora da Glória</v>
      </c>
      <c r="FJ16" s="47" t="str">
        <f t="shared" si="1"/>
        <v>Tecnologia</v>
      </c>
      <c r="FL16" s="3" t="s">
        <v>129</v>
      </c>
      <c r="FM16" s="264" t="s">
        <v>399</v>
      </c>
      <c r="FN16" s="264" t="s">
        <v>1089</v>
      </c>
    </row>
    <row r="17" spans="1:166" s="36" customFormat="1" ht="15.75" customHeight="1" x14ac:dyDescent="0.2">
      <c r="A17" s="38">
        <v>43405.687614837967</v>
      </c>
      <c r="C17" s="36" t="s">
        <v>119</v>
      </c>
      <c r="D17" s="47" t="s">
        <v>133</v>
      </c>
      <c r="E17" s="36" t="s">
        <v>135</v>
      </c>
      <c r="H17" s="36" t="s">
        <v>144</v>
      </c>
      <c r="M17" s="36" t="s">
        <v>146</v>
      </c>
      <c r="N17" s="36" t="s">
        <v>134</v>
      </c>
      <c r="O17" s="36" t="s">
        <v>133</v>
      </c>
      <c r="P17" s="36" t="s">
        <v>133</v>
      </c>
      <c r="Q17" s="36" t="s">
        <v>133</v>
      </c>
      <c r="R17" s="36" t="s">
        <v>151</v>
      </c>
      <c r="Y17" s="36" t="s">
        <v>134</v>
      </c>
      <c r="AI17" s="40"/>
      <c r="AQ17" s="40"/>
      <c r="BT17" s="36">
        <v>3</v>
      </c>
      <c r="BU17" s="36">
        <v>3</v>
      </c>
      <c r="BV17" s="36">
        <v>3</v>
      </c>
      <c r="BW17" s="36">
        <v>4</v>
      </c>
      <c r="BX17" s="36">
        <v>4</v>
      </c>
      <c r="BY17" s="36">
        <v>2</v>
      </c>
      <c r="BZ17" s="36">
        <v>2</v>
      </c>
      <c r="CA17" s="36">
        <v>4</v>
      </c>
      <c r="CB17" s="36">
        <v>4</v>
      </c>
      <c r="CC17" s="36">
        <v>4</v>
      </c>
      <c r="CD17" s="36">
        <v>1</v>
      </c>
      <c r="CE17" s="36">
        <v>2</v>
      </c>
      <c r="CF17" s="36">
        <v>1</v>
      </c>
      <c r="CG17" s="36">
        <v>3</v>
      </c>
      <c r="CH17" s="36" t="s">
        <v>222</v>
      </c>
      <c r="CI17" t="s">
        <v>225</v>
      </c>
      <c r="CJ17" t="s">
        <v>226</v>
      </c>
      <c r="CK17" s="36" t="s">
        <v>234</v>
      </c>
      <c r="CL17" t="s">
        <v>240</v>
      </c>
      <c r="CM17"/>
      <c r="CN17" s="36" t="s">
        <v>246</v>
      </c>
      <c r="CO17" s="36" t="s">
        <v>134</v>
      </c>
      <c r="CP17" s="36">
        <v>4</v>
      </c>
      <c r="CQ17" s="36">
        <v>3</v>
      </c>
      <c r="CR17" s="36" t="s">
        <v>248</v>
      </c>
      <c r="CS17" s="36">
        <v>1</v>
      </c>
      <c r="CT17" s="36">
        <v>1</v>
      </c>
      <c r="CU17" s="36">
        <v>2</v>
      </c>
      <c r="CV17" s="36">
        <v>1</v>
      </c>
      <c r="CW17" s="36">
        <v>2</v>
      </c>
      <c r="CX17" s="36">
        <v>4</v>
      </c>
      <c r="CY17" s="36">
        <v>4</v>
      </c>
      <c r="CZ17" s="36">
        <v>4</v>
      </c>
      <c r="DA17" s="36">
        <v>3</v>
      </c>
      <c r="DB17" s="36">
        <v>2</v>
      </c>
      <c r="DC17" s="36">
        <v>2</v>
      </c>
      <c r="DD17" s="36">
        <v>4</v>
      </c>
      <c r="DE17" s="36">
        <v>5</v>
      </c>
      <c r="DF17" s="36">
        <v>5</v>
      </c>
      <c r="DG17" s="36">
        <v>4</v>
      </c>
      <c r="DH17" s="36">
        <v>3</v>
      </c>
      <c r="DI17" s="36" t="s">
        <v>133</v>
      </c>
      <c r="DJ17" s="36" t="s">
        <v>133</v>
      </c>
      <c r="DK17" s="36" t="s">
        <v>255</v>
      </c>
      <c r="DL17"/>
      <c r="DM17"/>
      <c r="DN17" t="s">
        <v>1039</v>
      </c>
      <c r="DO17"/>
      <c r="DP17"/>
      <c r="DQ17" s="36">
        <v>3</v>
      </c>
      <c r="DR17" s="36" t="s">
        <v>133</v>
      </c>
      <c r="DS17" s="36" t="s">
        <v>259</v>
      </c>
      <c r="DT17"/>
      <c r="DU17"/>
      <c r="DV17"/>
      <c r="DW17"/>
      <c r="DX17"/>
      <c r="DY17" s="36">
        <v>4</v>
      </c>
      <c r="DZ17" s="36" t="s">
        <v>134</v>
      </c>
      <c r="EB17" s="36" t="s">
        <v>262</v>
      </c>
      <c r="EC17" s="36" t="s">
        <v>267</v>
      </c>
      <c r="ED17" s="36">
        <v>31</v>
      </c>
      <c r="EE17" s="36" t="s">
        <v>304</v>
      </c>
      <c r="EF17" s="36" t="str">
        <f>Tabulacao!MC17</f>
        <v>Aracaju</v>
      </c>
      <c r="EG17" s="36" t="s">
        <v>304</v>
      </c>
      <c r="EH17" s="36" t="str">
        <f>Tabulacao!MG17</f>
        <v>Aracaju</v>
      </c>
      <c r="EI17" s="36" t="s">
        <v>329</v>
      </c>
      <c r="EJ17" s="36" t="str">
        <f>Tabulacao!MK17</f>
        <v>Estância</v>
      </c>
      <c r="EK17" s="36" t="s">
        <v>134</v>
      </c>
      <c r="EL17" s="36" t="s">
        <v>134</v>
      </c>
      <c r="EM17" s="36" t="s">
        <v>134</v>
      </c>
      <c r="EN17" s="36" t="s">
        <v>134</v>
      </c>
      <c r="EO17" s="36" t="s">
        <v>134</v>
      </c>
      <c r="EP17" s="36" t="s">
        <v>134</v>
      </c>
      <c r="EQ17" s="36" t="s">
        <v>272</v>
      </c>
      <c r="ER17" s="36" t="str">
        <f>IF(OR(EQ17=CaractAmostra!$BD$9,EQ17=CaractAmostra!$BD$10,EQ17=CaractAmostra!$BD$11,EQ17=CaractAmostra!$BD$12,EQ17=CaractAmostra!$BD$13),Respostas_Formatadas!EQ17,"Outros")</f>
        <v>Morava sozinho</v>
      </c>
      <c r="ES17" s="36" t="s">
        <v>275</v>
      </c>
      <c r="ET17" s="36" t="str">
        <f>IF(OR(ES17=CaractAmostra!$BH$9,ES17=CaractAmostra!$BH$10,ES17=CaractAmostra!$BH$11,ES17=CaractAmostra!$BH$12),Respostas_Formatadas!ES17,"Outros")</f>
        <v>Com os pais</v>
      </c>
      <c r="EU17" s="36" t="s">
        <v>134</v>
      </c>
      <c r="EV17" s="36" t="s">
        <v>285</v>
      </c>
      <c r="EW17" s="36" t="s">
        <v>285</v>
      </c>
      <c r="FE17" s="47">
        <v>2016</v>
      </c>
      <c r="FF17" s="97">
        <v>7.3948999999999998</v>
      </c>
      <c r="FI17" s="47" t="str">
        <f t="shared" si="0"/>
        <v>Aracaju</v>
      </c>
      <c r="FJ17" s="47" t="str">
        <f t="shared" si="1"/>
        <v>Bacharelado</v>
      </c>
    </row>
    <row r="18" spans="1:166" s="36" customFormat="1" ht="15.75" customHeight="1" x14ac:dyDescent="0.2">
      <c r="A18" s="38">
        <v>43405.695908773152</v>
      </c>
      <c r="C18" s="36" t="s">
        <v>125</v>
      </c>
      <c r="D18" s="47" t="s">
        <v>134</v>
      </c>
      <c r="M18" s="36" t="s">
        <v>146</v>
      </c>
      <c r="N18" s="36" t="s">
        <v>134</v>
      </c>
      <c r="O18" s="36" t="s">
        <v>133</v>
      </c>
      <c r="P18" s="36" t="s">
        <v>134</v>
      </c>
      <c r="Q18" s="36" t="s">
        <v>133</v>
      </c>
      <c r="R18" s="36" t="s">
        <v>151</v>
      </c>
      <c r="Y18" s="36" t="s">
        <v>165</v>
      </c>
      <c r="Z18" s="36" t="s">
        <v>167</v>
      </c>
      <c r="AA18" s="36" t="s">
        <v>172</v>
      </c>
      <c r="AB18" s="36" t="s">
        <v>180</v>
      </c>
      <c r="AD18" s="36" t="s">
        <v>330</v>
      </c>
      <c r="AE18" s="36">
        <v>1</v>
      </c>
      <c r="AF18" s="36" t="s">
        <v>190</v>
      </c>
      <c r="AG18" s="36" t="s">
        <v>190</v>
      </c>
      <c r="AH18" s="36" t="s">
        <v>134</v>
      </c>
      <c r="AI18" s="40">
        <v>730</v>
      </c>
      <c r="AJ18" s="36">
        <v>2</v>
      </c>
      <c r="AK18" s="36">
        <v>3</v>
      </c>
      <c r="AL18" s="36" t="s">
        <v>133</v>
      </c>
      <c r="AP18" s="36" t="s">
        <v>331</v>
      </c>
      <c r="AQ18" s="40">
        <v>1422</v>
      </c>
      <c r="AR18" s="36">
        <v>3</v>
      </c>
      <c r="AS18" s="36">
        <v>2</v>
      </c>
      <c r="AT18" s="36">
        <v>3</v>
      </c>
      <c r="AU18" s="36">
        <v>4</v>
      </c>
      <c r="AV18" s="36">
        <v>4</v>
      </c>
      <c r="AW18" s="36" t="s">
        <v>193</v>
      </c>
      <c r="AX18" s="36" t="s">
        <v>206</v>
      </c>
      <c r="AY18" s="36" t="s">
        <v>210</v>
      </c>
      <c r="AZ18" s="36" t="s">
        <v>133</v>
      </c>
      <c r="BA18" s="36" t="s">
        <v>170</v>
      </c>
      <c r="BB18" s="36" t="s">
        <v>332</v>
      </c>
      <c r="BC18" s="36" t="s">
        <v>292</v>
      </c>
      <c r="BD18" s="36" t="s">
        <v>190</v>
      </c>
      <c r="BG18" s="36">
        <v>3</v>
      </c>
      <c r="BH18" s="36">
        <v>4</v>
      </c>
      <c r="BI18" s="36">
        <v>3</v>
      </c>
      <c r="BJ18" s="36">
        <v>3</v>
      </c>
      <c r="BK18" s="36">
        <v>3</v>
      </c>
      <c r="BL18" s="36">
        <v>3</v>
      </c>
      <c r="BM18" s="36">
        <v>3</v>
      </c>
      <c r="BN18" s="36">
        <v>5</v>
      </c>
      <c r="BO18" s="36">
        <v>4</v>
      </c>
      <c r="BP18" s="36">
        <v>3</v>
      </c>
      <c r="BQ18" s="36">
        <v>3</v>
      </c>
      <c r="BR18" s="36">
        <v>3</v>
      </c>
      <c r="BS18" s="36">
        <v>1</v>
      </c>
      <c r="BT18" s="36">
        <v>3</v>
      </c>
      <c r="BU18" s="36">
        <v>4</v>
      </c>
      <c r="BV18" s="36">
        <v>3</v>
      </c>
      <c r="BW18" s="36">
        <v>3</v>
      </c>
      <c r="BX18" s="36">
        <v>3</v>
      </c>
      <c r="BY18" s="36">
        <v>3</v>
      </c>
      <c r="BZ18" s="36">
        <v>4</v>
      </c>
      <c r="CA18" s="36">
        <v>5</v>
      </c>
      <c r="CB18" s="36">
        <v>4</v>
      </c>
      <c r="CC18" s="36">
        <v>3</v>
      </c>
      <c r="CD18" s="36">
        <v>3</v>
      </c>
      <c r="CE18" s="36">
        <v>3</v>
      </c>
      <c r="CF18" s="36">
        <v>1</v>
      </c>
      <c r="CG18" s="36">
        <v>4</v>
      </c>
      <c r="CH18" s="36" t="s">
        <v>222</v>
      </c>
      <c r="CI18" t="s">
        <v>227</v>
      </c>
      <c r="CJ18" t="s">
        <v>230</v>
      </c>
      <c r="CK18" s="36" t="s">
        <v>233</v>
      </c>
      <c r="CL18" t="s">
        <v>239</v>
      </c>
      <c r="CM18"/>
      <c r="CN18" s="36" t="s">
        <v>242</v>
      </c>
      <c r="CO18" s="36" t="s">
        <v>134</v>
      </c>
      <c r="CP18" s="36">
        <v>3</v>
      </c>
      <c r="CQ18" s="36">
        <v>4</v>
      </c>
      <c r="CR18" s="36" t="s">
        <v>248</v>
      </c>
      <c r="CS18" s="36">
        <v>3</v>
      </c>
      <c r="CT18" s="36">
        <v>2</v>
      </c>
      <c r="CU18" s="36">
        <v>2</v>
      </c>
      <c r="CV18" s="36">
        <v>3</v>
      </c>
      <c r="CW18" s="36">
        <v>3</v>
      </c>
      <c r="CX18" s="36">
        <v>3</v>
      </c>
      <c r="CY18" s="36">
        <v>3</v>
      </c>
      <c r="CZ18" s="36">
        <v>3</v>
      </c>
      <c r="DA18" s="36">
        <v>3</v>
      </c>
      <c r="DB18" s="36">
        <v>2</v>
      </c>
      <c r="DC18" s="36">
        <v>3</v>
      </c>
      <c r="DD18" s="36">
        <v>4</v>
      </c>
      <c r="DE18" s="36">
        <v>4</v>
      </c>
      <c r="DF18" s="36">
        <v>4</v>
      </c>
      <c r="DG18" s="36">
        <v>4</v>
      </c>
      <c r="DH18" s="36">
        <v>4</v>
      </c>
      <c r="DI18" s="36" t="s">
        <v>250</v>
      </c>
      <c r="DJ18" s="36" t="s">
        <v>134</v>
      </c>
      <c r="DL18"/>
      <c r="DM18"/>
      <c r="DN18"/>
      <c r="DO18"/>
      <c r="DP18"/>
      <c r="DR18" s="36" t="s">
        <v>134</v>
      </c>
      <c r="DT18"/>
      <c r="DU18"/>
      <c r="DV18"/>
      <c r="DW18"/>
      <c r="DX18"/>
      <c r="DZ18" s="36" t="s">
        <v>133</v>
      </c>
      <c r="EA18" s="36">
        <v>4</v>
      </c>
      <c r="EB18" s="36" t="s">
        <v>263</v>
      </c>
      <c r="EC18" s="36" t="s">
        <v>264</v>
      </c>
      <c r="ED18" s="36">
        <v>35</v>
      </c>
      <c r="EE18" s="36" t="s">
        <v>304</v>
      </c>
      <c r="EF18" s="36" t="str">
        <f>Tabulacao!MC18</f>
        <v>Aracaju</v>
      </c>
      <c r="EG18" s="36" t="s">
        <v>304</v>
      </c>
      <c r="EH18" s="36" t="str">
        <f>Tabulacao!MG18</f>
        <v>Aracaju</v>
      </c>
      <c r="EI18" s="36" t="s">
        <v>304</v>
      </c>
      <c r="EJ18" s="36" t="str">
        <f>Tabulacao!MK18</f>
        <v>Aracaju</v>
      </c>
      <c r="EK18" s="36" t="s">
        <v>134</v>
      </c>
      <c r="EL18" s="36" t="s">
        <v>134</v>
      </c>
      <c r="EM18" s="36" t="s">
        <v>134</v>
      </c>
      <c r="EN18" s="36" t="s">
        <v>134</v>
      </c>
      <c r="EO18" s="36" t="s">
        <v>134</v>
      </c>
      <c r="EP18" s="36" t="s">
        <v>134</v>
      </c>
      <c r="EQ18" s="36" t="s">
        <v>275</v>
      </c>
      <c r="ER18" s="36" t="str">
        <f>IF(OR(EQ18=CaractAmostra!$BD$9,EQ18=CaractAmostra!$BD$10,EQ18=CaractAmostra!$BD$11,EQ18=CaractAmostra!$BD$12,EQ18=CaractAmostra!$BD$13),Respostas_Formatadas!EQ18,"Outros")</f>
        <v>Com os pais</v>
      </c>
      <c r="ES18" s="36" t="s">
        <v>274</v>
      </c>
      <c r="ET18" s="36" t="str">
        <f>IF(OR(ES18=CaractAmostra!$BH$9,ES18=CaractAmostra!$BH$10,ES18=CaractAmostra!$BH$11,ES18=CaractAmostra!$BH$12),Respostas_Formatadas!ES18,"Outros")</f>
        <v>Com um(a) parceiro(a)</v>
      </c>
      <c r="EU18" s="36" t="s">
        <v>279</v>
      </c>
      <c r="EV18" s="36" t="s">
        <v>285</v>
      </c>
      <c r="EW18" s="36" t="s">
        <v>285</v>
      </c>
      <c r="FD18" s="36" t="s">
        <v>333</v>
      </c>
      <c r="FE18" s="47">
        <v>2013</v>
      </c>
      <c r="FF18" s="97">
        <v>7.7648999999999999</v>
      </c>
      <c r="FI18" s="47" t="str">
        <f t="shared" si="0"/>
        <v>Aracaju</v>
      </c>
      <c r="FJ18" s="47" t="str">
        <f t="shared" si="1"/>
        <v>Tecnologia</v>
      </c>
    </row>
    <row r="19" spans="1:166" s="36" customFormat="1" ht="15.75" customHeight="1" x14ac:dyDescent="0.2">
      <c r="A19" s="38">
        <v>43405.697155196758</v>
      </c>
      <c r="C19" s="36" t="s">
        <v>124</v>
      </c>
      <c r="D19" s="47" t="s">
        <v>134</v>
      </c>
      <c r="M19" s="36" t="s">
        <v>146</v>
      </c>
      <c r="N19" s="36" t="s">
        <v>134</v>
      </c>
      <c r="O19" s="36" t="s">
        <v>134</v>
      </c>
      <c r="P19" s="36" t="s">
        <v>134</v>
      </c>
      <c r="Q19" s="36" t="s">
        <v>134</v>
      </c>
      <c r="R19" s="36" t="s">
        <v>151</v>
      </c>
      <c r="Y19" s="36" t="s">
        <v>165</v>
      </c>
      <c r="Z19" s="36" t="s">
        <v>167</v>
      </c>
      <c r="AA19" s="36" t="s">
        <v>173</v>
      </c>
      <c r="AB19" s="36" t="s">
        <v>181</v>
      </c>
      <c r="AD19" s="36" t="s">
        <v>334</v>
      </c>
      <c r="AE19" s="36">
        <v>1</v>
      </c>
      <c r="AF19" s="36" t="s">
        <v>188</v>
      </c>
      <c r="AG19" s="36" t="s">
        <v>188</v>
      </c>
      <c r="AH19" s="36" t="s">
        <v>134</v>
      </c>
      <c r="AI19" s="40">
        <v>965</v>
      </c>
      <c r="AJ19" s="36">
        <v>1</v>
      </c>
      <c r="AK19" s="36">
        <v>2</v>
      </c>
      <c r="AL19" s="36" t="s">
        <v>133</v>
      </c>
      <c r="AP19" s="36" t="s">
        <v>335</v>
      </c>
      <c r="AQ19" s="40">
        <v>987</v>
      </c>
      <c r="AR19" s="36">
        <v>1</v>
      </c>
      <c r="AS19" s="36">
        <v>1</v>
      </c>
      <c r="AT19" s="36">
        <v>2</v>
      </c>
      <c r="AU19" s="36">
        <v>2</v>
      </c>
      <c r="AV19" s="36">
        <v>1</v>
      </c>
      <c r="AW19" s="36" t="s">
        <v>193</v>
      </c>
      <c r="AX19" s="36" t="s">
        <v>204</v>
      </c>
      <c r="AY19" s="36" t="s">
        <v>210</v>
      </c>
      <c r="AZ19" s="36" t="s">
        <v>134</v>
      </c>
      <c r="BA19" s="36" t="s">
        <v>170</v>
      </c>
      <c r="BB19" s="36" t="s">
        <v>336</v>
      </c>
      <c r="BC19" s="36" t="s">
        <v>292</v>
      </c>
      <c r="BD19" s="36" t="s">
        <v>188</v>
      </c>
      <c r="BF19" s="36" t="s">
        <v>218</v>
      </c>
      <c r="BG19" s="36">
        <v>3</v>
      </c>
      <c r="BH19" s="36">
        <v>2</v>
      </c>
      <c r="BI19" s="36">
        <v>3</v>
      </c>
      <c r="BJ19" s="36">
        <v>1</v>
      </c>
      <c r="BK19" s="36">
        <v>4</v>
      </c>
      <c r="BL19" s="36">
        <v>4</v>
      </c>
      <c r="BM19" s="36">
        <v>3</v>
      </c>
      <c r="BN19" s="36">
        <v>1</v>
      </c>
      <c r="BO19" s="36">
        <v>2</v>
      </c>
      <c r="BP19" s="36">
        <v>1</v>
      </c>
      <c r="BQ19" s="36">
        <v>1</v>
      </c>
      <c r="BR19" s="36">
        <v>2</v>
      </c>
      <c r="BS19" s="36">
        <v>1</v>
      </c>
      <c r="BT19" s="36">
        <v>2</v>
      </c>
      <c r="BU19" s="36">
        <v>2</v>
      </c>
      <c r="BV19" s="36">
        <v>2</v>
      </c>
      <c r="BW19" s="36">
        <v>2</v>
      </c>
      <c r="BX19" s="36">
        <v>2</v>
      </c>
      <c r="BY19" s="36">
        <v>2</v>
      </c>
      <c r="BZ19" s="36">
        <v>2</v>
      </c>
      <c r="CA19" s="36">
        <v>2</v>
      </c>
      <c r="CB19" s="36">
        <v>2</v>
      </c>
      <c r="CC19" s="36">
        <v>1</v>
      </c>
      <c r="CD19" s="36">
        <v>1</v>
      </c>
      <c r="CE19" s="36">
        <v>3</v>
      </c>
      <c r="CF19" s="36">
        <v>4</v>
      </c>
      <c r="CG19" s="36">
        <v>4</v>
      </c>
      <c r="CH19" s="36" t="s">
        <v>229</v>
      </c>
      <c r="CI19"/>
      <c r="CJ19"/>
      <c r="CK19" s="36" t="s">
        <v>225</v>
      </c>
      <c r="CL19"/>
      <c r="CM19"/>
      <c r="CN19" s="36" t="s">
        <v>242</v>
      </c>
      <c r="CO19" s="36" t="s">
        <v>134</v>
      </c>
      <c r="CP19" s="36">
        <v>2</v>
      </c>
      <c r="CQ19" s="36">
        <v>5</v>
      </c>
      <c r="CR19" s="36" t="s">
        <v>248</v>
      </c>
      <c r="CS19" s="36">
        <v>3</v>
      </c>
      <c r="CT19" s="36">
        <v>3</v>
      </c>
      <c r="CU19" s="36">
        <v>3</v>
      </c>
      <c r="CV19" s="36">
        <v>3</v>
      </c>
      <c r="CW19" s="36">
        <v>3</v>
      </c>
      <c r="CX19" s="36">
        <v>4</v>
      </c>
      <c r="CY19" s="36">
        <v>5</v>
      </c>
      <c r="CZ19" s="36">
        <v>5</v>
      </c>
      <c r="DA19" s="36">
        <v>5</v>
      </c>
      <c r="DB19" s="36">
        <v>5</v>
      </c>
      <c r="DC19" s="36">
        <v>1</v>
      </c>
      <c r="DD19" s="36">
        <v>3</v>
      </c>
      <c r="DE19" s="36">
        <v>1</v>
      </c>
      <c r="DF19" s="36">
        <v>2</v>
      </c>
      <c r="DG19" s="36">
        <v>2</v>
      </c>
      <c r="DH19" s="36">
        <v>2</v>
      </c>
      <c r="DI19" s="36" t="s">
        <v>250</v>
      </c>
      <c r="DJ19" s="36" t="s">
        <v>133</v>
      </c>
      <c r="DK19" s="36" t="s">
        <v>255</v>
      </c>
      <c r="DL19"/>
      <c r="DM19"/>
      <c r="DN19"/>
      <c r="DO19"/>
      <c r="DP19"/>
      <c r="DQ19" s="36">
        <v>1</v>
      </c>
      <c r="DR19" s="36" t="s">
        <v>134</v>
      </c>
      <c r="DT19"/>
      <c r="DU19"/>
      <c r="DV19"/>
      <c r="DW19"/>
      <c r="DX19"/>
      <c r="DZ19" s="36" t="s">
        <v>134</v>
      </c>
      <c r="EB19" s="36" t="s">
        <v>263</v>
      </c>
      <c r="EC19" s="36" t="s">
        <v>264</v>
      </c>
      <c r="ED19" s="36">
        <v>25</v>
      </c>
      <c r="EE19" s="36" t="s">
        <v>337</v>
      </c>
      <c r="EF19" s="36" t="str">
        <f>Tabulacao!MC19</f>
        <v>Cedro de São João</v>
      </c>
      <c r="EG19" s="36" t="s">
        <v>292</v>
      </c>
      <c r="EH19" s="36" t="str">
        <f>Tabulacao!MG19</f>
        <v>Aracaju</v>
      </c>
      <c r="EI19" s="36" t="s">
        <v>292</v>
      </c>
      <c r="EJ19" s="36" t="str">
        <f>Tabulacao!MK19</f>
        <v>Aracaju</v>
      </c>
      <c r="EK19" s="36" t="s">
        <v>134</v>
      </c>
      <c r="EL19" s="36" t="s">
        <v>134</v>
      </c>
      <c r="EM19" s="36" t="s">
        <v>134</v>
      </c>
      <c r="EN19" s="36" t="s">
        <v>134</v>
      </c>
      <c r="EO19" s="36" t="s">
        <v>134</v>
      </c>
      <c r="EP19" s="36" t="s">
        <v>134</v>
      </c>
      <c r="EQ19" s="36" t="s">
        <v>338</v>
      </c>
      <c r="ER19" s="36" t="str">
        <f>IF(OR(EQ19=CaractAmostra!$BD$9,EQ19=CaractAmostra!$BD$10,EQ19=CaractAmostra!$BD$11,EQ19=CaractAmostra!$BD$12,EQ19=CaractAmostra!$BD$13),Respostas_Formatadas!EQ19,"Outros")</f>
        <v>Outros</v>
      </c>
      <c r="ES19" s="36" t="s">
        <v>277</v>
      </c>
      <c r="ET19" s="36" t="str">
        <f>IF(OR(ES19=CaractAmostra!$BH$9,ES19=CaractAmostra!$BH$10,ES19=CaractAmostra!$BH$11,ES19=CaractAmostra!$BH$12),Respostas_Formatadas!ES19,"Outros")</f>
        <v>Sozinho</v>
      </c>
      <c r="EU19" s="36" t="s">
        <v>134</v>
      </c>
      <c r="EV19" s="36" t="s">
        <v>287</v>
      </c>
      <c r="EW19" s="36" t="s">
        <v>285</v>
      </c>
      <c r="FE19" s="47">
        <v>2015</v>
      </c>
      <c r="FF19" s="97">
        <v>8.4293999999999993</v>
      </c>
      <c r="FI19" s="47" t="str">
        <f t="shared" si="0"/>
        <v>Aracaju</v>
      </c>
      <c r="FJ19" s="47" t="str">
        <f t="shared" si="1"/>
        <v>Tecnologia</v>
      </c>
    </row>
    <row r="20" spans="1:166" s="36" customFormat="1" ht="15.75" customHeight="1" x14ac:dyDescent="0.2">
      <c r="A20" s="38">
        <v>43405.698717870371</v>
      </c>
      <c r="C20" s="36" t="s">
        <v>120</v>
      </c>
      <c r="D20" s="47" t="s">
        <v>133</v>
      </c>
      <c r="E20" s="36" t="s">
        <v>138</v>
      </c>
      <c r="H20" s="36" t="s">
        <v>339</v>
      </c>
      <c r="M20" s="36" t="s">
        <v>147</v>
      </c>
      <c r="N20" s="36" t="s">
        <v>133</v>
      </c>
      <c r="O20" s="36" t="s">
        <v>133</v>
      </c>
      <c r="P20" s="36" t="s">
        <v>134</v>
      </c>
      <c r="Q20" s="36" t="s">
        <v>134</v>
      </c>
      <c r="R20" s="36" t="s">
        <v>151</v>
      </c>
      <c r="Y20" s="36" t="s">
        <v>165</v>
      </c>
      <c r="Z20" s="36" t="s">
        <v>169</v>
      </c>
      <c r="AA20" s="36" t="s">
        <v>174</v>
      </c>
      <c r="AB20" s="36" t="s">
        <v>175</v>
      </c>
      <c r="AD20" s="36" t="s">
        <v>298</v>
      </c>
      <c r="AE20" s="36">
        <v>5</v>
      </c>
      <c r="AF20" s="36" t="s">
        <v>190</v>
      </c>
      <c r="AG20" s="36" t="s">
        <v>190</v>
      </c>
      <c r="AH20" s="36" t="s">
        <v>134</v>
      </c>
      <c r="AI20" s="40">
        <v>2500</v>
      </c>
      <c r="AJ20" s="36">
        <v>5</v>
      </c>
      <c r="AK20" s="36">
        <v>1</v>
      </c>
      <c r="AL20" s="36" t="s">
        <v>134</v>
      </c>
      <c r="AM20" s="36" t="s">
        <v>168</v>
      </c>
      <c r="AN20" s="36">
        <v>2</v>
      </c>
      <c r="AO20" s="36" t="s">
        <v>133</v>
      </c>
      <c r="AP20" s="36" t="s">
        <v>340</v>
      </c>
      <c r="AQ20" s="40">
        <v>1979</v>
      </c>
      <c r="AR20" s="36">
        <v>3</v>
      </c>
      <c r="AS20" s="36">
        <v>5</v>
      </c>
      <c r="AT20" s="36">
        <v>1</v>
      </c>
      <c r="AU20" s="36">
        <v>4</v>
      </c>
      <c r="AV20" s="36">
        <v>4</v>
      </c>
      <c r="AW20" s="36" t="s">
        <v>192</v>
      </c>
      <c r="AX20" s="36" t="s">
        <v>205</v>
      </c>
      <c r="AY20" s="36" t="s">
        <v>210</v>
      </c>
      <c r="AZ20" s="36" t="s">
        <v>134</v>
      </c>
      <c r="BA20" s="36" t="s">
        <v>167</v>
      </c>
      <c r="BB20" s="36" t="s">
        <v>292</v>
      </c>
      <c r="BC20" s="36" t="s">
        <v>292</v>
      </c>
      <c r="BD20" s="36" t="s">
        <v>190</v>
      </c>
      <c r="BG20" s="36">
        <v>5</v>
      </c>
      <c r="BH20" s="36">
        <v>3</v>
      </c>
      <c r="BI20" s="36">
        <v>4</v>
      </c>
      <c r="BJ20" s="36">
        <v>1</v>
      </c>
      <c r="BK20" s="36">
        <v>2</v>
      </c>
      <c r="BL20" s="36">
        <v>4</v>
      </c>
      <c r="BM20" s="36">
        <v>2</v>
      </c>
      <c r="BN20" s="36">
        <v>5</v>
      </c>
      <c r="BO20" s="36">
        <v>3</v>
      </c>
      <c r="BP20" s="36">
        <v>4</v>
      </c>
      <c r="BQ20" s="36">
        <v>1</v>
      </c>
      <c r="BR20" s="36">
        <v>1</v>
      </c>
      <c r="BS20" s="36">
        <v>1</v>
      </c>
      <c r="BT20" s="36">
        <v>5</v>
      </c>
      <c r="BU20" s="36">
        <v>4</v>
      </c>
      <c r="BV20" s="36">
        <v>4</v>
      </c>
      <c r="BW20" s="36">
        <v>1</v>
      </c>
      <c r="BX20" s="36">
        <v>3</v>
      </c>
      <c r="BY20" s="36">
        <v>4</v>
      </c>
      <c r="BZ20" s="36">
        <v>3</v>
      </c>
      <c r="CA20" s="36">
        <v>5</v>
      </c>
      <c r="CB20" s="36">
        <v>3</v>
      </c>
      <c r="CC20" s="36">
        <v>4</v>
      </c>
      <c r="CD20" s="36">
        <v>3</v>
      </c>
      <c r="CE20" s="36">
        <v>3</v>
      </c>
      <c r="CF20" s="36">
        <v>1</v>
      </c>
      <c r="CG20" s="36">
        <v>5</v>
      </c>
      <c r="CH20" s="36" t="s">
        <v>1018</v>
      </c>
      <c r="CI20"/>
      <c r="CJ20"/>
      <c r="CK20" s="36" t="s">
        <v>239</v>
      </c>
      <c r="CL20"/>
      <c r="CM20"/>
      <c r="CN20" s="36" t="s">
        <v>242</v>
      </c>
      <c r="CO20" s="36" t="s">
        <v>134</v>
      </c>
      <c r="CP20" s="36">
        <v>3</v>
      </c>
      <c r="CQ20" s="36">
        <v>5</v>
      </c>
      <c r="CR20" s="36" t="s">
        <v>249</v>
      </c>
      <c r="CS20" s="36">
        <v>1</v>
      </c>
      <c r="CT20" s="36">
        <v>2</v>
      </c>
      <c r="CU20" s="36">
        <v>2</v>
      </c>
      <c r="CV20" s="36">
        <v>3</v>
      </c>
      <c r="CW20" s="36">
        <v>4</v>
      </c>
      <c r="CX20" s="36">
        <v>2</v>
      </c>
      <c r="CY20" s="36">
        <v>3</v>
      </c>
      <c r="CZ20" s="36">
        <v>5</v>
      </c>
      <c r="DA20" s="36">
        <v>2</v>
      </c>
      <c r="DB20" s="36">
        <v>1</v>
      </c>
      <c r="DC20" s="36">
        <v>2</v>
      </c>
      <c r="DD20" s="36">
        <v>5</v>
      </c>
      <c r="DE20" s="36">
        <v>5</v>
      </c>
      <c r="DF20" s="36">
        <v>4</v>
      </c>
      <c r="DG20" s="36">
        <v>5</v>
      </c>
      <c r="DH20" s="36">
        <v>4</v>
      </c>
      <c r="DI20" s="36" t="s">
        <v>133</v>
      </c>
      <c r="DJ20" s="36" t="s">
        <v>133</v>
      </c>
      <c r="DK20" s="36" t="s">
        <v>254</v>
      </c>
      <c r="DL20" t="s">
        <v>255</v>
      </c>
      <c r="DM20"/>
      <c r="DN20"/>
      <c r="DO20" t="s">
        <v>256</v>
      </c>
      <c r="DP20" t="s">
        <v>257</v>
      </c>
      <c r="DQ20" s="36">
        <v>1</v>
      </c>
      <c r="DR20" s="36" t="s">
        <v>134</v>
      </c>
      <c r="DT20"/>
      <c r="DU20"/>
      <c r="DV20"/>
      <c r="DW20"/>
      <c r="DX20"/>
      <c r="DZ20" s="36" t="s">
        <v>134</v>
      </c>
      <c r="EB20" s="36" t="s">
        <v>263</v>
      </c>
      <c r="EC20" s="36" t="s">
        <v>267</v>
      </c>
      <c r="ED20" s="36">
        <v>27</v>
      </c>
      <c r="EE20" s="36" t="s">
        <v>341</v>
      </c>
      <c r="EF20" s="36" t="str">
        <f>Tabulacao!MC20</f>
        <v>Salgado</v>
      </c>
      <c r="EG20" s="36" t="s">
        <v>341</v>
      </c>
      <c r="EH20" s="36" t="str">
        <f>Tabulacao!MG20</f>
        <v>Salgado</v>
      </c>
      <c r="EI20" s="36" t="s">
        <v>342</v>
      </c>
      <c r="EJ20" s="36" t="str">
        <f>Tabulacao!MK20</f>
        <v>São Cristóvão</v>
      </c>
      <c r="EK20" s="36" t="s">
        <v>134</v>
      </c>
      <c r="EL20" s="36" t="s">
        <v>134</v>
      </c>
      <c r="EM20" s="36" t="s">
        <v>134</v>
      </c>
      <c r="EN20" s="36" t="s">
        <v>134</v>
      </c>
      <c r="EO20" s="36" t="s">
        <v>134</v>
      </c>
      <c r="EP20" s="36" t="s">
        <v>134</v>
      </c>
      <c r="EQ20" s="36" t="s">
        <v>275</v>
      </c>
      <c r="ER20" s="36" t="str">
        <f>IF(OR(EQ20=CaractAmostra!$BD$9,EQ20=CaractAmostra!$BD$10,EQ20=CaractAmostra!$BD$11,EQ20=CaractAmostra!$BD$12,EQ20=CaractAmostra!$BD$13),Respostas_Formatadas!EQ20,"Outros")</f>
        <v>Com os pais</v>
      </c>
      <c r="ES20" s="36" t="s">
        <v>278</v>
      </c>
      <c r="ET20" s="36" t="str">
        <f>IF(OR(ES20=CaractAmostra!$BH$9,ES20=CaractAmostra!$BH$10,ES20=CaractAmostra!$BH$11,ES20=CaractAmostra!$BH$12),Respostas_Formatadas!ES20,"Outros")</f>
        <v>Divido residência com outras pessoas</v>
      </c>
      <c r="EU20" s="36" t="s">
        <v>134</v>
      </c>
      <c r="EV20" s="36" t="s">
        <v>282</v>
      </c>
      <c r="EW20" s="36" t="s">
        <v>282</v>
      </c>
      <c r="FE20" s="47">
        <v>2016</v>
      </c>
      <c r="FF20" s="97">
        <v>8.8530999999999995</v>
      </c>
      <c r="FI20" s="47" t="str">
        <f t="shared" si="0"/>
        <v>Lagarto</v>
      </c>
      <c r="FJ20" s="47" t="str">
        <f t="shared" si="1"/>
        <v>Bacharelado</v>
      </c>
    </row>
    <row r="21" spans="1:166" s="36" customFormat="1" ht="15.75" customHeight="1" x14ac:dyDescent="0.2">
      <c r="A21" s="38">
        <v>43405.702317800926</v>
      </c>
      <c r="C21" s="36" t="s">
        <v>123</v>
      </c>
      <c r="D21" s="47" t="s">
        <v>133</v>
      </c>
      <c r="E21" s="36" t="s">
        <v>138</v>
      </c>
      <c r="H21" s="36" t="s">
        <v>142</v>
      </c>
      <c r="M21" s="36" t="s">
        <v>146</v>
      </c>
      <c r="N21" s="36" t="s">
        <v>134</v>
      </c>
      <c r="O21" s="36" t="s">
        <v>133</v>
      </c>
      <c r="P21" s="36" t="s">
        <v>133</v>
      </c>
      <c r="Q21" s="36" t="s">
        <v>134</v>
      </c>
      <c r="R21" s="36" t="s">
        <v>151</v>
      </c>
      <c r="Y21" s="36" t="s">
        <v>134</v>
      </c>
      <c r="AI21" s="40"/>
      <c r="AQ21" s="40"/>
      <c r="BT21" s="36">
        <v>4</v>
      </c>
      <c r="BU21" s="36">
        <v>3</v>
      </c>
      <c r="BV21" s="36">
        <v>3</v>
      </c>
      <c r="BW21" s="36">
        <v>3</v>
      </c>
      <c r="BX21" s="36">
        <v>4</v>
      </c>
      <c r="BY21" s="36">
        <v>5</v>
      </c>
      <c r="BZ21" s="36">
        <v>4</v>
      </c>
      <c r="CA21" s="36">
        <v>5</v>
      </c>
      <c r="CB21" s="36">
        <v>3</v>
      </c>
      <c r="CC21" s="36">
        <v>4</v>
      </c>
      <c r="CD21" s="36">
        <v>4</v>
      </c>
      <c r="CE21" s="36">
        <v>3</v>
      </c>
      <c r="CF21" s="36">
        <v>2</v>
      </c>
      <c r="CG21" s="36">
        <v>2</v>
      </c>
      <c r="CH21" s="36" t="s">
        <v>343</v>
      </c>
      <c r="CI21"/>
      <c r="CJ21"/>
      <c r="CK21" s="36" t="s">
        <v>343</v>
      </c>
      <c r="CL21"/>
      <c r="CM21"/>
      <c r="CN21" s="36" t="s">
        <v>242</v>
      </c>
      <c r="CO21" s="36" t="s">
        <v>133</v>
      </c>
      <c r="CP21" s="36">
        <v>1</v>
      </c>
      <c r="CQ21" s="36">
        <v>5</v>
      </c>
      <c r="CR21" s="36" t="s">
        <v>248</v>
      </c>
      <c r="CS21" s="36">
        <v>4</v>
      </c>
      <c r="CT21" s="36">
        <v>4</v>
      </c>
      <c r="CU21" s="36">
        <v>4</v>
      </c>
      <c r="CV21" s="36">
        <v>5</v>
      </c>
      <c r="CW21" s="36">
        <v>4</v>
      </c>
      <c r="CX21" s="36">
        <v>4</v>
      </c>
      <c r="CY21" s="36">
        <v>4</v>
      </c>
      <c r="CZ21" s="36">
        <v>2</v>
      </c>
      <c r="DA21" s="36">
        <v>4</v>
      </c>
      <c r="DB21" s="36">
        <v>3</v>
      </c>
      <c r="DC21" s="36">
        <v>1</v>
      </c>
      <c r="DD21" s="36">
        <v>4</v>
      </c>
      <c r="DE21" s="36">
        <v>5</v>
      </c>
      <c r="DF21" s="36">
        <v>4</v>
      </c>
      <c r="DG21" s="36">
        <v>5</v>
      </c>
      <c r="DH21" s="36">
        <v>3</v>
      </c>
      <c r="DI21" s="36" t="s">
        <v>133</v>
      </c>
      <c r="DJ21" s="36" t="s">
        <v>133</v>
      </c>
      <c r="DK21" s="36" t="s">
        <v>255</v>
      </c>
      <c r="DL21"/>
      <c r="DM21"/>
      <c r="DN21"/>
      <c r="DO21"/>
      <c r="DP21"/>
      <c r="DQ21" s="36">
        <v>4</v>
      </c>
      <c r="DR21" s="36" t="s">
        <v>133</v>
      </c>
      <c r="DS21" s="36" t="s">
        <v>260</v>
      </c>
      <c r="DT21"/>
      <c r="DU21"/>
      <c r="DV21"/>
      <c r="DW21"/>
      <c r="DX21"/>
      <c r="DY21" s="36">
        <v>4</v>
      </c>
      <c r="DZ21" s="36" t="s">
        <v>133</v>
      </c>
      <c r="EA21" s="36">
        <v>5</v>
      </c>
      <c r="EB21" s="36" t="s">
        <v>262</v>
      </c>
      <c r="EC21" s="36" t="s">
        <v>267</v>
      </c>
      <c r="ED21" s="36">
        <v>28</v>
      </c>
      <c r="EE21" s="36" t="s">
        <v>344</v>
      </c>
      <c r="EF21" s="36" t="str">
        <f>Tabulacao!MC21</f>
        <v>Riachão do Dantas</v>
      </c>
      <c r="EG21" s="36" t="s">
        <v>344</v>
      </c>
      <c r="EH21" s="36" t="str">
        <f>Tabulacao!MG21</f>
        <v>Riachão do Dantas</v>
      </c>
      <c r="EI21" s="36" t="s">
        <v>342</v>
      </c>
      <c r="EJ21" s="36" t="str">
        <f>Tabulacao!MK21</f>
        <v>São Cristóvão</v>
      </c>
      <c r="EK21" s="36" t="s">
        <v>134</v>
      </c>
      <c r="EL21" s="36" t="s">
        <v>134</v>
      </c>
      <c r="EM21" s="36" t="s">
        <v>134</v>
      </c>
      <c r="EN21" s="36" t="s">
        <v>134</v>
      </c>
      <c r="EO21" s="36" t="s">
        <v>134</v>
      </c>
      <c r="EP21" s="36" t="s">
        <v>134</v>
      </c>
      <c r="EQ21" s="36" t="s">
        <v>345</v>
      </c>
      <c r="ER21" s="36" t="str">
        <f>IF(OR(EQ21=CaractAmostra!$BD$9,EQ21=CaractAmostra!$BD$10,EQ21=CaractAmostra!$BD$11,EQ21=CaractAmostra!$BD$12,EQ21=CaractAmostra!$BD$13),Respostas_Formatadas!EQ21,"Outros")</f>
        <v>Outros</v>
      </c>
      <c r="ES21" s="36" t="s">
        <v>278</v>
      </c>
      <c r="ET21" s="36" t="str">
        <f>IF(OR(ES21=CaractAmostra!$BH$9,ES21=CaractAmostra!$BH$10,ES21=CaractAmostra!$BH$11,ES21=CaractAmostra!$BH$12),Respostas_Formatadas!ES21,"Outros")</f>
        <v>Divido residência com outras pessoas</v>
      </c>
      <c r="EU21" s="36" t="s">
        <v>134</v>
      </c>
      <c r="EV21" s="36" t="s">
        <v>192</v>
      </c>
      <c r="EW21" s="36" t="s">
        <v>282</v>
      </c>
      <c r="FD21" s="36" t="s">
        <v>346</v>
      </c>
      <c r="FE21" s="47">
        <v>2017</v>
      </c>
      <c r="FF21" s="97">
        <v>8.0961999999999996</v>
      </c>
      <c r="FI21" s="47" t="str">
        <f t="shared" si="0"/>
        <v>Lagarto</v>
      </c>
      <c r="FJ21" s="47" t="str">
        <f t="shared" si="1"/>
        <v>Licenciatura</v>
      </c>
    </row>
    <row r="22" spans="1:166" s="36" customFormat="1" ht="15.75" customHeight="1" x14ac:dyDescent="0.2">
      <c r="A22" s="38">
        <v>43405.702534178243</v>
      </c>
      <c r="C22" s="36" t="s">
        <v>127</v>
      </c>
      <c r="D22" s="47" t="s">
        <v>134</v>
      </c>
      <c r="M22" s="36" t="s">
        <v>146</v>
      </c>
      <c r="N22" s="36" t="s">
        <v>134</v>
      </c>
      <c r="O22" s="36" t="s">
        <v>133</v>
      </c>
      <c r="P22" s="36" t="s">
        <v>133</v>
      </c>
      <c r="Q22" s="36" t="s">
        <v>134</v>
      </c>
      <c r="R22" s="36" t="s">
        <v>153</v>
      </c>
      <c r="S22" s="36" t="s">
        <v>937</v>
      </c>
      <c r="T22" s="36" t="s">
        <v>154</v>
      </c>
      <c r="U22" s="36" t="s">
        <v>156</v>
      </c>
      <c r="V22" s="36">
        <v>2</v>
      </c>
      <c r="W22" s="36">
        <v>2</v>
      </c>
      <c r="X22" s="36">
        <v>4</v>
      </c>
      <c r="Y22" s="36" t="s">
        <v>134</v>
      </c>
      <c r="AI22" s="40"/>
      <c r="AQ22" s="40"/>
      <c r="BT22" s="36">
        <v>2</v>
      </c>
      <c r="BU22" s="36">
        <v>4</v>
      </c>
      <c r="BV22" s="36">
        <v>5</v>
      </c>
      <c r="BW22" s="36">
        <v>4</v>
      </c>
      <c r="BX22" s="36">
        <v>5</v>
      </c>
      <c r="BY22" s="36">
        <v>5</v>
      </c>
      <c r="BZ22" s="36">
        <v>4</v>
      </c>
      <c r="CA22" s="36">
        <v>4</v>
      </c>
      <c r="CB22" s="36">
        <v>4</v>
      </c>
      <c r="CC22" s="36">
        <v>4</v>
      </c>
      <c r="CD22" s="36">
        <v>4</v>
      </c>
      <c r="CE22" s="36">
        <v>4</v>
      </c>
      <c r="CF22" s="36">
        <v>2</v>
      </c>
      <c r="CG22" s="36">
        <v>2</v>
      </c>
      <c r="CH22" s="36" t="s">
        <v>222</v>
      </c>
      <c r="CI22" t="s">
        <v>224</v>
      </c>
      <c r="CJ22" t="s">
        <v>229</v>
      </c>
      <c r="CK22" s="36" t="s">
        <v>235</v>
      </c>
      <c r="CL22"/>
      <c r="CM22"/>
      <c r="CN22" s="36" t="s">
        <v>243</v>
      </c>
      <c r="CO22" s="36" t="s">
        <v>134</v>
      </c>
      <c r="CP22" s="36">
        <v>1</v>
      </c>
      <c r="CQ22" s="36">
        <v>4</v>
      </c>
      <c r="CR22" s="36" t="s">
        <v>249</v>
      </c>
      <c r="CS22" s="36">
        <v>3</v>
      </c>
      <c r="CT22" s="36">
        <v>2</v>
      </c>
      <c r="CU22" s="36">
        <v>1</v>
      </c>
      <c r="CV22" s="36">
        <v>1</v>
      </c>
      <c r="CW22" s="36">
        <v>2</v>
      </c>
      <c r="CX22" s="36">
        <v>3</v>
      </c>
      <c r="CY22" s="36">
        <v>4</v>
      </c>
      <c r="CZ22" s="36">
        <v>5</v>
      </c>
      <c r="DA22" s="36">
        <v>3</v>
      </c>
      <c r="DB22" s="36">
        <v>3</v>
      </c>
      <c r="DC22" s="36">
        <v>3</v>
      </c>
      <c r="DD22" s="36">
        <v>4</v>
      </c>
      <c r="DE22" s="36">
        <v>4</v>
      </c>
      <c r="DF22" s="36">
        <v>4</v>
      </c>
      <c r="DG22" s="36">
        <v>4</v>
      </c>
      <c r="DH22" s="36">
        <v>3</v>
      </c>
      <c r="DI22" s="36" t="s">
        <v>250</v>
      </c>
      <c r="DJ22" s="36" t="s">
        <v>134</v>
      </c>
      <c r="DL22"/>
      <c r="DM22"/>
      <c r="DN22"/>
      <c r="DO22"/>
      <c r="DP22"/>
      <c r="DR22" s="36" t="s">
        <v>133</v>
      </c>
      <c r="DS22" s="36" t="s">
        <v>258</v>
      </c>
      <c r="DT22" t="s">
        <v>259</v>
      </c>
      <c r="DU22"/>
      <c r="DV22"/>
      <c r="DW22" t="s">
        <v>260</v>
      </c>
      <c r="DX22"/>
      <c r="DY22" s="36">
        <v>3</v>
      </c>
      <c r="DZ22" s="36" t="s">
        <v>133</v>
      </c>
      <c r="EA22" s="36">
        <v>5</v>
      </c>
      <c r="EB22" s="36" t="s">
        <v>263</v>
      </c>
      <c r="EC22" s="36" t="s">
        <v>264</v>
      </c>
      <c r="ED22" s="36">
        <v>23</v>
      </c>
      <c r="EE22" s="36" t="s">
        <v>347</v>
      </c>
      <c r="EF22" s="36" t="str">
        <f>Tabulacao!MC22</f>
        <v>Nossa Senhora do Socorro</v>
      </c>
      <c r="EG22" s="36" t="s">
        <v>348</v>
      </c>
      <c r="EH22" s="36" t="str">
        <f>Tabulacao!MG22</f>
        <v>Moita Bonita</v>
      </c>
      <c r="EI22" s="36" t="s">
        <v>347</v>
      </c>
      <c r="EJ22" s="36" t="str">
        <f>Tabulacao!MK22</f>
        <v>Nossa Senhora do Socorro</v>
      </c>
      <c r="EK22" s="36" t="s">
        <v>134</v>
      </c>
      <c r="EL22" s="36" t="s">
        <v>134</v>
      </c>
      <c r="EM22" s="36" t="s">
        <v>134</v>
      </c>
      <c r="EN22" s="36" t="s">
        <v>134</v>
      </c>
      <c r="EO22" s="36" t="s">
        <v>134</v>
      </c>
      <c r="EP22" s="36" t="s">
        <v>134</v>
      </c>
      <c r="EQ22" s="36" t="s">
        <v>349</v>
      </c>
      <c r="ER22" s="36" t="str">
        <f>IF(OR(EQ22=CaractAmostra!$BD$9,EQ22=CaractAmostra!$BD$10,EQ22=CaractAmostra!$BD$11,EQ22=CaractAmostra!$BD$12,EQ22=CaractAmostra!$BD$13),Respostas_Formatadas!EQ22,"Outros")</f>
        <v>Outros</v>
      </c>
      <c r="ES22" s="36" t="s">
        <v>275</v>
      </c>
      <c r="ET22" s="36" t="str">
        <f>IF(OR(ES22=CaractAmostra!$BH$9,ES22=CaractAmostra!$BH$10,ES22=CaractAmostra!$BH$11,ES22=CaractAmostra!$BH$12),Respostas_Formatadas!ES22,"Outros")</f>
        <v>Com os pais</v>
      </c>
      <c r="EU22" s="36" t="s">
        <v>134</v>
      </c>
      <c r="EV22" s="36" t="s">
        <v>282</v>
      </c>
      <c r="EW22" s="36" t="s">
        <v>284</v>
      </c>
      <c r="FE22" s="47">
        <v>2016</v>
      </c>
      <c r="FF22" s="97">
        <v>8.3969000000000005</v>
      </c>
      <c r="FI22" s="47" t="str">
        <f t="shared" si="0"/>
        <v>Itabaiana</v>
      </c>
      <c r="FJ22" s="47" t="str">
        <f t="shared" si="1"/>
        <v>Tecnologia</v>
      </c>
    </row>
    <row r="23" spans="1:166" s="36" customFormat="1" ht="15.75" customHeight="1" x14ac:dyDescent="0.2">
      <c r="A23" s="38">
        <v>43405.706092152774</v>
      </c>
      <c r="C23" s="36" t="s">
        <v>120</v>
      </c>
      <c r="D23" s="47" t="s">
        <v>134</v>
      </c>
      <c r="M23" s="36" t="s">
        <v>147</v>
      </c>
      <c r="N23" s="36" t="s">
        <v>133</v>
      </c>
      <c r="O23" s="36" t="s">
        <v>133</v>
      </c>
      <c r="P23" s="36" t="s">
        <v>134</v>
      </c>
      <c r="Q23" s="36" t="s">
        <v>134</v>
      </c>
      <c r="R23" s="36" t="s">
        <v>151</v>
      </c>
      <c r="Y23" s="36" t="s">
        <v>165</v>
      </c>
      <c r="Z23" s="36" t="s">
        <v>167</v>
      </c>
      <c r="AA23" s="36" t="s">
        <v>174</v>
      </c>
      <c r="AB23" s="36" t="s">
        <v>184</v>
      </c>
      <c r="AD23" s="36" t="s">
        <v>350</v>
      </c>
      <c r="AE23" s="36">
        <v>5</v>
      </c>
      <c r="AF23" s="36" t="s">
        <v>190</v>
      </c>
      <c r="AG23" s="36" t="s">
        <v>190</v>
      </c>
      <c r="AH23" s="36" t="s">
        <v>134</v>
      </c>
      <c r="AI23" s="40"/>
      <c r="AJ23" s="36">
        <v>5</v>
      </c>
      <c r="AK23" s="36">
        <v>5</v>
      </c>
      <c r="AL23" s="36" t="s">
        <v>134</v>
      </c>
      <c r="AM23" s="36" t="s">
        <v>169</v>
      </c>
      <c r="AN23" s="36">
        <v>2</v>
      </c>
      <c r="AO23" s="36" t="s">
        <v>191</v>
      </c>
      <c r="AP23" s="36" t="s">
        <v>351</v>
      </c>
      <c r="AQ23" s="40">
        <v>7000</v>
      </c>
      <c r="AR23" s="36">
        <v>4</v>
      </c>
      <c r="AS23" s="36">
        <v>5</v>
      </c>
      <c r="AT23" s="36">
        <v>5</v>
      </c>
      <c r="AU23" s="36">
        <v>4</v>
      </c>
      <c r="AV23" s="36">
        <v>5</v>
      </c>
      <c r="AW23" s="36" t="s">
        <v>192</v>
      </c>
      <c r="AX23" s="36" t="s">
        <v>207</v>
      </c>
      <c r="AY23" s="36" t="s">
        <v>208</v>
      </c>
      <c r="AZ23" s="36" t="s">
        <v>133</v>
      </c>
      <c r="BA23" s="36" t="s">
        <v>213</v>
      </c>
      <c r="BB23" s="36" t="s">
        <v>291</v>
      </c>
      <c r="BC23" s="36" t="s">
        <v>291</v>
      </c>
      <c r="BD23" s="36" t="s">
        <v>190</v>
      </c>
      <c r="BG23" s="36">
        <v>5</v>
      </c>
      <c r="BH23" s="36">
        <v>4</v>
      </c>
      <c r="BI23" s="36">
        <v>5</v>
      </c>
      <c r="BJ23" s="36">
        <v>5</v>
      </c>
      <c r="BK23" s="36">
        <v>5</v>
      </c>
      <c r="BL23" s="36">
        <v>5</v>
      </c>
      <c r="BM23" s="36">
        <v>5</v>
      </c>
      <c r="BN23" s="36">
        <v>5</v>
      </c>
      <c r="BO23" s="36">
        <v>5</v>
      </c>
      <c r="BP23" s="36">
        <v>5</v>
      </c>
      <c r="BQ23" s="36">
        <v>4</v>
      </c>
      <c r="BR23" s="36">
        <v>2</v>
      </c>
      <c r="BS23" s="36">
        <v>1</v>
      </c>
      <c r="BT23" s="36">
        <v>5</v>
      </c>
      <c r="BU23" s="36">
        <v>3</v>
      </c>
      <c r="BV23" s="36">
        <v>4</v>
      </c>
      <c r="BW23" s="36">
        <v>4</v>
      </c>
      <c r="BX23" s="36">
        <v>3</v>
      </c>
      <c r="BY23" s="36">
        <v>5</v>
      </c>
      <c r="BZ23" s="36">
        <v>4</v>
      </c>
      <c r="CA23" s="36">
        <v>5</v>
      </c>
      <c r="CB23" s="36">
        <v>5</v>
      </c>
      <c r="CC23" s="36">
        <v>5</v>
      </c>
      <c r="CD23" s="36">
        <v>4</v>
      </c>
      <c r="CE23" s="36">
        <v>3</v>
      </c>
      <c r="CF23" s="36">
        <v>1</v>
      </c>
      <c r="CG23" s="36">
        <v>5</v>
      </c>
      <c r="CH23" s="36" t="s">
        <v>224</v>
      </c>
      <c r="CI23" t="s">
        <v>225</v>
      </c>
      <c r="CJ23"/>
      <c r="CK23" s="36" t="s">
        <v>232</v>
      </c>
      <c r="CL23" t="s">
        <v>233</v>
      </c>
      <c r="CM23" t="s">
        <v>239</v>
      </c>
      <c r="CN23" s="36" t="s">
        <v>242</v>
      </c>
      <c r="CO23" s="36" t="s">
        <v>134</v>
      </c>
      <c r="CP23" s="36">
        <v>2</v>
      </c>
      <c r="CQ23" s="36">
        <v>5</v>
      </c>
      <c r="CR23" s="36" t="s">
        <v>249</v>
      </c>
      <c r="CS23" s="36">
        <v>2</v>
      </c>
      <c r="CT23" s="36">
        <v>3</v>
      </c>
      <c r="CU23" s="36">
        <v>3</v>
      </c>
      <c r="CV23" s="36">
        <v>2</v>
      </c>
      <c r="CW23" s="36">
        <v>4</v>
      </c>
      <c r="CX23" s="36">
        <v>3</v>
      </c>
      <c r="CY23" s="36">
        <v>3</v>
      </c>
      <c r="CZ23" s="36">
        <v>4</v>
      </c>
      <c r="DA23" s="36">
        <v>4</v>
      </c>
      <c r="DB23" s="36">
        <v>1</v>
      </c>
      <c r="DC23" s="36">
        <v>3</v>
      </c>
      <c r="DD23" s="36">
        <v>5</v>
      </c>
      <c r="DE23" s="36">
        <v>5</v>
      </c>
      <c r="DF23" s="36">
        <v>5</v>
      </c>
      <c r="DG23" s="36">
        <v>5</v>
      </c>
      <c r="DH23" s="36">
        <v>5</v>
      </c>
      <c r="DI23" s="36" t="s">
        <v>133</v>
      </c>
      <c r="DJ23" s="36" t="s">
        <v>133</v>
      </c>
      <c r="DK23" s="36" t="s">
        <v>255</v>
      </c>
      <c r="DL23"/>
      <c r="DM23"/>
      <c r="DN23"/>
      <c r="DO23"/>
      <c r="DP23"/>
      <c r="DQ23" s="36">
        <v>3</v>
      </c>
      <c r="DR23" s="36" t="s">
        <v>133</v>
      </c>
      <c r="DS23" s="36" t="s">
        <v>259</v>
      </c>
      <c r="DT23"/>
      <c r="DU23"/>
      <c r="DV23"/>
      <c r="DW23"/>
      <c r="DX23"/>
      <c r="DY23" s="36">
        <v>3</v>
      </c>
      <c r="DZ23" s="36" t="s">
        <v>134</v>
      </c>
      <c r="EB23" s="36" t="s">
        <v>262</v>
      </c>
      <c r="EC23" s="36" t="s">
        <v>267</v>
      </c>
      <c r="ED23" s="36">
        <v>28</v>
      </c>
      <c r="EE23" s="36" t="s">
        <v>291</v>
      </c>
      <c r="EF23" s="36" t="str">
        <f>Tabulacao!MC23</f>
        <v>Lagarto</v>
      </c>
      <c r="EG23" s="36" t="s">
        <v>291</v>
      </c>
      <c r="EH23" s="36" t="str">
        <f>Tabulacao!MG23</f>
        <v>Lagarto</v>
      </c>
      <c r="EI23" s="36" t="s">
        <v>291</v>
      </c>
      <c r="EJ23" s="36" t="str">
        <f>Tabulacao!MK23</f>
        <v>Lagarto</v>
      </c>
      <c r="EK23" s="36" t="s">
        <v>134</v>
      </c>
      <c r="EL23" s="36" t="s">
        <v>134</v>
      </c>
      <c r="EM23" s="36" t="s">
        <v>134</v>
      </c>
      <c r="EN23" s="36" t="s">
        <v>134</v>
      </c>
      <c r="EO23" s="36" t="s">
        <v>134</v>
      </c>
      <c r="EP23" s="36" t="s">
        <v>134</v>
      </c>
      <c r="EQ23" s="36" t="s">
        <v>274</v>
      </c>
      <c r="ER23" s="36" t="str">
        <f>IF(OR(EQ23=CaractAmostra!$BD$9,EQ23=CaractAmostra!$BD$10,EQ23=CaractAmostra!$BD$11,EQ23=CaractAmostra!$BD$12,EQ23=CaractAmostra!$BD$13),Respostas_Formatadas!EQ23,"Outros")</f>
        <v>Com um(a) parceiro(a)</v>
      </c>
      <c r="ES23" s="36" t="s">
        <v>275</v>
      </c>
      <c r="ET23" s="36" t="str">
        <f>IF(OR(ES23=CaractAmostra!$BH$9,ES23=CaractAmostra!$BH$10,ES23=CaractAmostra!$BH$11,ES23=CaractAmostra!$BH$12),Respostas_Formatadas!ES23,"Outros")</f>
        <v>Com os pais</v>
      </c>
      <c r="EU23" s="36" t="s">
        <v>134</v>
      </c>
      <c r="EV23" s="36" t="s">
        <v>283</v>
      </c>
      <c r="EW23" s="36" t="s">
        <v>285</v>
      </c>
      <c r="FE23" s="47">
        <v>2016</v>
      </c>
      <c r="FF23" s="97">
        <v>8.3163</v>
      </c>
      <c r="FI23" s="47" t="str">
        <f t="shared" si="0"/>
        <v>Lagarto</v>
      </c>
      <c r="FJ23" s="47" t="str">
        <f t="shared" si="1"/>
        <v>Bacharelado</v>
      </c>
    </row>
    <row r="24" spans="1:166" s="36" customFormat="1" ht="15.75" customHeight="1" x14ac:dyDescent="0.2">
      <c r="A24" s="38">
        <v>43405.709130509262</v>
      </c>
      <c r="C24" s="36" t="s">
        <v>128</v>
      </c>
      <c r="D24" s="47" t="s">
        <v>134</v>
      </c>
      <c r="M24" s="36" t="s">
        <v>146</v>
      </c>
      <c r="N24" s="36" t="s">
        <v>134</v>
      </c>
      <c r="O24" s="36" t="s">
        <v>134</v>
      </c>
      <c r="P24" s="36" t="s">
        <v>133</v>
      </c>
      <c r="Q24" s="36" t="s">
        <v>133</v>
      </c>
      <c r="R24" s="36" t="s">
        <v>151</v>
      </c>
      <c r="Y24" s="36" t="s">
        <v>165</v>
      </c>
      <c r="Z24" s="36" t="s">
        <v>167</v>
      </c>
      <c r="AA24" s="36" t="s">
        <v>171</v>
      </c>
      <c r="AB24" s="36" t="s">
        <v>184</v>
      </c>
      <c r="AD24" s="36" t="s">
        <v>352</v>
      </c>
      <c r="AE24" s="36">
        <v>1</v>
      </c>
      <c r="AF24" s="36" t="s">
        <v>190</v>
      </c>
      <c r="AG24" s="36" t="s">
        <v>190</v>
      </c>
      <c r="AH24" s="36" t="s">
        <v>134</v>
      </c>
      <c r="AI24" s="40">
        <v>1200</v>
      </c>
      <c r="AJ24" s="36">
        <v>1</v>
      </c>
      <c r="AK24" s="36">
        <v>1</v>
      </c>
      <c r="AL24" s="36" t="s">
        <v>133</v>
      </c>
      <c r="AP24" s="36" t="s">
        <v>352</v>
      </c>
      <c r="AQ24" s="40">
        <v>1300</v>
      </c>
      <c r="AR24" s="36">
        <v>2</v>
      </c>
      <c r="AS24" s="36">
        <v>1</v>
      </c>
      <c r="AT24" s="36">
        <v>1</v>
      </c>
      <c r="AU24" s="36">
        <v>4</v>
      </c>
      <c r="AV24" s="36">
        <v>2</v>
      </c>
      <c r="AW24" s="36" t="s">
        <v>200</v>
      </c>
      <c r="AX24" s="36" t="s">
        <v>204</v>
      </c>
      <c r="AY24" s="36" t="s">
        <v>208</v>
      </c>
      <c r="AZ24" s="36" t="s">
        <v>134</v>
      </c>
      <c r="BA24" s="36" t="s">
        <v>170</v>
      </c>
      <c r="BB24" s="36" t="s">
        <v>353</v>
      </c>
      <c r="BC24" s="36" t="s">
        <v>353</v>
      </c>
      <c r="BD24" s="36" t="s">
        <v>190</v>
      </c>
      <c r="BG24" s="36">
        <v>2</v>
      </c>
      <c r="BH24" s="36">
        <v>2</v>
      </c>
      <c r="BI24" s="36">
        <v>4</v>
      </c>
      <c r="BJ24" s="36">
        <v>2</v>
      </c>
      <c r="BK24" s="36">
        <v>2</v>
      </c>
      <c r="BL24" s="36">
        <v>5</v>
      </c>
      <c r="BM24" s="36">
        <v>4</v>
      </c>
      <c r="BN24" s="36">
        <v>2</v>
      </c>
      <c r="BO24" s="36">
        <v>4</v>
      </c>
      <c r="BP24" s="36">
        <v>4</v>
      </c>
      <c r="BQ24" s="36">
        <v>2</v>
      </c>
      <c r="BR24" s="36">
        <v>2</v>
      </c>
      <c r="BS24" s="36">
        <v>2</v>
      </c>
      <c r="BT24" s="36">
        <v>4</v>
      </c>
      <c r="BU24" s="36">
        <v>3</v>
      </c>
      <c r="BV24" s="36">
        <v>3</v>
      </c>
      <c r="BW24" s="36">
        <v>3</v>
      </c>
      <c r="BX24" s="36">
        <v>3</v>
      </c>
      <c r="BY24" s="36">
        <v>5</v>
      </c>
      <c r="BZ24" s="36">
        <v>5</v>
      </c>
      <c r="CA24" s="36">
        <v>5</v>
      </c>
      <c r="CB24" s="36">
        <v>5</v>
      </c>
      <c r="CC24" s="36">
        <v>5</v>
      </c>
      <c r="CD24" s="36">
        <v>5</v>
      </c>
      <c r="CE24" s="36">
        <v>5</v>
      </c>
      <c r="CF24" s="36">
        <v>3</v>
      </c>
      <c r="CG24" s="36">
        <v>4</v>
      </c>
      <c r="CH24" s="36" t="s">
        <v>222</v>
      </c>
      <c r="CI24"/>
      <c r="CJ24"/>
      <c r="CK24" s="36" t="s">
        <v>235</v>
      </c>
      <c r="CL24"/>
      <c r="CM24"/>
      <c r="CN24" s="36" t="s">
        <v>242</v>
      </c>
      <c r="CO24" s="36" t="s">
        <v>134</v>
      </c>
      <c r="CP24" s="36">
        <v>5</v>
      </c>
      <c r="CQ24" s="36">
        <v>5</v>
      </c>
      <c r="CR24" s="36" t="s">
        <v>249</v>
      </c>
      <c r="CS24" s="36">
        <v>4</v>
      </c>
      <c r="CT24" s="36">
        <v>4</v>
      </c>
      <c r="CU24" s="36">
        <v>3</v>
      </c>
      <c r="CV24" s="36">
        <v>1</v>
      </c>
      <c r="CW24" s="36">
        <v>5</v>
      </c>
      <c r="CX24" s="36">
        <v>4</v>
      </c>
      <c r="CY24" s="36">
        <v>5</v>
      </c>
      <c r="CZ24" s="36">
        <v>5</v>
      </c>
      <c r="DA24" s="36">
        <v>4</v>
      </c>
      <c r="DB24" s="36">
        <v>4</v>
      </c>
      <c r="DC24" s="36">
        <v>4</v>
      </c>
      <c r="DD24" s="36">
        <v>2</v>
      </c>
      <c r="DE24" s="36">
        <v>1</v>
      </c>
      <c r="DF24" s="36">
        <v>1</v>
      </c>
      <c r="DG24" s="36">
        <v>5</v>
      </c>
      <c r="DH24" s="36">
        <v>5</v>
      </c>
      <c r="DI24" s="36" t="s">
        <v>250</v>
      </c>
      <c r="DJ24" s="36" t="s">
        <v>133</v>
      </c>
      <c r="DK24" s="36" t="s">
        <v>255</v>
      </c>
      <c r="DL24"/>
      <c r="DM24"/>
      <c r="DN24"/>
      <c r="DO24"/>
      <c r="DP24"/>
      <c r="DQ24" s="36">
        <v>5</v>
      </c>
      <c r="DR24" s="36" t="s">
        <v>134</v>
      </c>
      <c r="DT24"/>
      <c r="DU24"/>
      <c r="DV24"/>
      <c r="DW24"/>
      <c r="DX24"/>
      <c r="DZ24" s="36" t="s">
        <v>133</v>
      </c>
      <c r="EA24" s="36">
        <v>5</v>
      </c>
      <c r="EB24" s="36" t="s">
        <v>262</v>
      </c>
      <c r="EC24" s="36" t="s">
        <v>267</v>
      </c>
      <c r="ED24" s="36">
        <v>33</v>
      </c>
      <c r="EE24" s="36" t="s">
        <v>354</v>
      </c>
      <c r="EF24" s="36" t="str">
        <f>Tabulacao!MC24</f>
        <v>Porto da Folha</v>
      </c>
      <c r="EG24" s="36" t="s">
        <v>355</v>
      </c>
      <c r="EH24" s="36" t="str">
        <f>Tabulacao!MG24</f>
        <v>Nossa Senhora da Glória</v>
      </c>
      <c r="EI24" s="36" t="s">
        <v>353</v>
      </c>
      <c r="EJ24" s="36" t="str">
        <f>Tabulacao!MK24</f>
        <v>Poço Redondo</v>
      </c>
      <c r="EK24" s="36" t="s">
        <v>134</v>
      </c>
      <c r="EL24" s="36" t="s">
        <v>134</v>
      </c>
      <c r="EM24" s="36" t="s">
        <v>134</v>
      </c>
      <c r="EN24" s="36" t="s">
        <v>134</v>
      </c>
      <c r="EO24" s="36" t="s">
        <v>134</v>
      </c>
      <c r="EP24" s="36" t="s">
        <v>134</v>
      </c>
      <c r="EQ24" s="36" t="s">
        <v>273</v>
      </c>
      <c r="ER24" s="36" t="str">
        <f>IF(OR(EQ24=CaractAmostra!$BD$9,EQ24=CaractAmostra!$BD$10,EQ24=CaractAmostra!$BD$11,EQ24=CaractAmostra!$BD$12,EQ24=CaractAmostra!$BD$13),Respostas_Formatadas!EQ24,"Outros")</f>
        <v>Dividia residência com outras pessoas</v>
      </c>
      <c r="ES24" s="36" t="s">
        <v>274</v>
      </c>
      <c r="ET24" s="36" t="str">
        <f>IF(OR(ES24=CaractAmostra!$BH$9,ES24=CaractAmostra!$BH$10,ES24=CaractAmostra!$BH$11,ES24=CaractAmostra!$BH$12),Respostas_Formatadas!ES24,"Outros")</f>
        <v>Com um(a) parceiro(a)</v>
      </c>
      <c r="EU24" s="36" t="s">
        <v>280</v>
      </c>
      <c r="EV24" s="36" t="s">
        <v>283</v>
      </c>
      <c r="EW24" s="36" t="s">
        <v>283</v>
      </c>
      <c r="FE24" s="47">
        <v>2015</v>
      </c>
      <c r="FF24" s="97">
        <v>7.2553000000000001</v>
      </c>
      <c r="FI24" s="47" t="str">
        <f t="shared" si="0"/>
        <v>Nossa Senhora da Glória</v>
      </c>
      <c r="FJ24" s="47" t="str">
        <f t="shared" si="1"/>
        <v>Tecnologia</v>
      </c>
    </row>
    <row r="25" spans="1:166" s="36" customFormat="1" ht="15.75" customHeight="1" x14ac:dyDescent="0.2">
      <c r="A25" s="38">
        <v>43405.740922662037</v>
      </c>
      <c r="C25" s="36" t="s">
        <v>121</v>
      </c>
      <c r="D25" s="47" t="s">
        <v>134</v>
      </c>
      <c r="M25" s="36" t="s">
        <v>149</v>
      </c>
      <c r="N25" s="36" t="s">
        <v>134</v>
      </c>
      <c r="O25" s="36" t="s">
        <v>133</v>
      </c>
      <c r="P25" s="36" t="s">
        <v>134</v>
      </c>
      <c r="Q25" s="36" t="s">
        <v>133</v>
      </c>
      <c r="R25" s="36" t="s">
        <v>151</v>
      </c>
      <c r="Y25" s="36" t="s">
        <v>165</v>
      </c>
      <c r="Z25" s="36" t="s">
        <v>168</v>
      </c>
      <c r="AA25" s="36" t="s">
        <v>171</v>
      </c>
      <c r="AB25" s="36" t="s">
        <v>177</v>
      </c>
      <c r="AE25" s="36">
        <v>4</v>
      </c>
      <c r="AF25" s="36" t="s">
        <v>190</v>
      </c>
      <c r="AG25" s="36" t="s">
        <v>190</v>
      </c>
      <c r="AH25" s="36" t="s">
        <v>134</v>
      </c>
      <c r="AI25" s="40"/>
      <c r="AJ25" s="36">
        <v>4</v>
      </c>
      <c r="AK25" s="36">
        <v>4</v>
      </c>
      <c r="AL25" s="36" t="s">
        <v>133</v>
      </c>
      <c r="AQ25" s="40">
        <v>3216</v>
      </c>
      <c r="AR25" s="36">
        <v>3</v>
      </c>
      <c r="AS25" s="36">
        <v>4</v>
      </c>
      <c r="AT25" s="36">
        <v>4</v>
      </c>
      <c r="AU25" s="36">
        <v>4</v>
      </c>
      <c r="AV25" s="36">
        <v>4</v>
      </c>
      <c r="AW25" s="36" t="s">
        <v>199</v>
      </c>
      <c r="AX25" s="36" t="s">
        <v>207</v>
      </c>
      <c r="AY25" s="36" t="s">
        <v>210</v>
      </c>
      <c r="AZ25" s="36" t="s">
        <v>134</v>
      </c>
      <c r="BA25" s="36" t="s">
        <v>170</v>
      </c>
      <c r="BB25" s="36" t="s">
        <v>356</v>
      </c>
      <c r="BC25" s="36" t="s">
        <v>1300</v>
      </c>
      <c r="BD25" s="36" t="s">
        <v>190</v>
      </c>
      <c r="BG25" s="36">
        <v>4</v>
      </c>
      <c r="BH25" s="36">
        <v>4</v>
      </c>
      <c r="BI25" s="36">
        <v>4</v>
      </c>
      <c r="BJ25" s="36">
        <v>4</v>
      </c>
      <c r="BK25" s="36">
        <v>4</v>
      </c>
      <c r="BL25" s="36">
        <v>4</v>
      </c>
      <c r="BM25" s="36">
        <v>4</v>
      </c>
      <c r="BN25" s="36">
        <v>4</v>
      </c>
      <c r="BO25" s="36">
        <v>4</v>
      </c>
      <c r="BP25" s="36">
        <v>4</v>
      </c>
      <c r="BQ25" s="36">
        <v>4</v>
      </c>
      <c r="BR25" s="36">
        <v>4</v>
      </c>
      <c r="BS25" s="36">
        <v>4</v>
      </c>
      <c r="BT25" s="36">
        <v>4</v>
      </c>
      <c r="BU25" s="36">
        <v>4</v>
      </c>
      <c r="BV25" s="36">
        <v>4</v>
      </c>
      <c r="BW25" s="36">
        <v>4</v>
      </c>
      <c r="BX25" s="36">
        <v>4</v>
      </c>
      <c r="BY25" s="36">
        <v>4</v>
      </c>
      <c r="BZ25" s="36">
        <v>4</v>
      </c>
      <c r="CA25" s="36">
        <v>4</v>
      </c>
      <c r="CB25" s="36">
        <v>4</v>
      </c>
      <c r="CC25" s="36">
        <v>4</v>
      </c>
      <c r="CD25" s="36">
        <v>4</v>
      </c>
      <c r="CE25" s="36">
        <v>4</v>
      </c>
      <c r="CF25" s="36">
        <v>4</v>
      </c>
      <c r="CG25" s="36">
        <v>4</v>
      </c>
      <c r="CH25" s="36" t="s">
        <v>229</v>
      </c>
      <c r="CI25"/>
      <c r="CJ25"/>
      <c r="CK25" s="36" t="s">
        <v>234</v>
      </c>
      <c r="CL25"/>
      <c r="CM25"/>
      <c r="CN25" s="36" t="s">
        <v>242</v>
      </c>
      <c r="CO25" s="36" t="s">
        <v>134</v>
      </c>
      <c r="CP25" s="36">
        <v>4</v>
      </c>
      <c r="CQ25" s="36">
        <v>3</v>
      </c>
      <c r="CR25" s="36" t="s">
        <v>249</v>
      </c>
      <c r="CS25" s="36">
        <v>4</v>
      </c>
      <c r="CT25" s="36">
        <v>3</v>
      </c>
      <c r="CU25" s="36">
        <v>4</v>
      </c>
      <c r="CV25" s="36">
        <v>4</v>
      </c>
      <c r="CW25" s="36">
        <v>3</v>
      </c>
      <c r="CX25" s="36">
        <v>3</v>
      </c>
      <c r="CY25" s="36">
        <v>3</v>
      </c>
      <c r="CZ25" s="36">
        <v>3</v>
      </c>
      <c r="DA25" s="36">
        <v>3</v>
      </c>
      <c r="DB25" s="36">
        <v>3</v>
      </c>
      <c r="DC25" s="36">
        <v>3</v>
      </c>
      <c r="DD25" s="36">
        <v>4</v>
      </c>
      <c r="DE25" s="36">
        <v>4</v>
      </c>
      <c r="DF25" s="36">
        <v>4</v>
      </c>
      <c r="DG25" s="36">
        <v>4</v>
      </c>
      <c r="DH25" s="36">
        <v>4</v>
      </c>
      <c r="DI25" s="36" t="s">
        <v>133</v>
      </c>
      <c r="DJ25" s="36" t="s">
        <v>133</v>
      </c>
      <c r="DK25" s="36" t="s">
        <v>255</v>
      </c>
      <c r="DL25"/>
      <c r="DM25"/>
      <c r="DN25"/>
      <c r="DO25"/>
      <c r="DP25"/>
      <c r="DQ25" s="36">
        <v>4</v>
      </c>
      <c r="DR25" s="36" t="s">
        <v>133</v>
      </c>
      <c r="DS25" s="36" t="s">
        <v>259</v>
      </c>
      <c r="DT25"/>
      <c r="DU25"/>
      <c r="DV25" t="s">
        <v>261</v>
      </c>
      <c r="DW25"/>
      <c r="DX25"/>
      <c r="DY25" s="36">
        <v>4</v>
      </c>
      <c r="DZ25" s="36" t="s">
        <v>133</v>
      </c>
      <c r="EA25" s="36">
        <v>3</v>
      </c>
      <c r="EB25" s="36" t="s">
        <v>263</v>
      </c>
      <c r="EC25" s="36" t="s">
        <v>267</v>
      </c>
      <c r="ED25" s="36">
        <v>31</v>
      </c>
      <c r="EE25" s="36" t="s">
        <v>292</v>
      </c>
      <c r="EF25" s="36" t="str">
        <f>Tabulacao!MC25</f>
        <v>Aracaju</v>
      </c>
      <c r="EG25" s="36" t="s">
        <v>292</v>
      </c>
      <c r="EH25" s="36" t="str">
        <f>Tabulacao!MG25</f>
        <v>Aracaju</v>
      </c>
      <c r="EI25" s="36" t="s">
        <v>357</v>
      </c>
      <c r="EJ25" s="36" t="str">
        <f>Tabulacao!MK25</f>
        <v>Balneário Camboriú - SC</v>
      </c>
      <c r="EK25" s="36" t="s">
        <v>134</v>
      </c>
      <c r="EL25" s="36" t="s">
        <v>134</v>
      </c>
      <c r="EM25" s="36" t="s">
        <v>134</v>
      </c>
      <c r="EN25" s="36" t="s">
        <v>134</v>
      </c>
      <c r="EO25" s="36" t="s">
        <v>134</v>
      </c>
      <c r="EP25" s="36" t="s">
        <v>134</v>
      </c>
      <c r="EQ25" s="36" t="s">
        <v>275</v>
      </c>
      <c r="ER25" s="36" t="str">
        <f>IF(OR(EQ25=CaractAmostra!$BD$9,EQ25=CaractAmostra!$BD$10,EQ25=CaractAmostra!$BD$11,EQ25=CaractAmostra!$BD$12,EQ25=CaractAmostra!$BD$13),Respostas_Formatadas!EQ25,"Outros")</f>
        <v>Com os pais</v>
      </c>
      <c r="ES25" s="36" t="s">
        <v>274</v>
      </c>
      <c r="ET25" s="36" t="str">
        <f>IF(OR(ES25=CaractAmostra!$BH$9,ES25=CaractAmostra!$BH$10,ES25=CaractAmostra!$BH$11,ES25=CaractAmostra!$BH$12),Respostas_Formatadas!ES25,"Outros")</f>
        <v>Com um(a) parceiro(a)</v>
      </c>
      <c r="EU25" s="36" t="s">
        <v>134</v>
      </c>
      <c r="EV25" s="36" t="s">
        <v>282</v>
      </c>
      <c r="EW25" s="36" t="s">
        <v>283</v>
      </c>
      <c r="FE25" s="47">
        <v>2016</v>
      </c>
      <c r="FF25" s="97">
        <v>7.5637999999999996</v>
      </c>
      <c r="FI25" s="47" t="str">
        <f t="shared" si="0"/>
        <v>Aracaju</v>
      </c>
      <c r="FJ25" s="47" t="str">
        <f t="shared" si="1"/>
        <v>Licenciatura</v>
      </c>
    </row>
    <row r="26" spans="1:166" s="36" customFormat="1" ht="15.75" customHeight="1" x14ac:dyDescent="0.2">
      <c r="A26" s="38">
        <v>43405.743977719903</v>
      </c>
      <c r="C26" s="36" t="s">
        <v>121</v>
      </c>
      <c r="D26" s="47" t="s">
        <v>133</v>
      </c>
      <c r="E26" s="36" t="s">
        <v>138</v>
      </c>
      <c r="H26" s="36" t="s">
        <v>141</v>
      </c>
      <c r="I26" s="36" t="s">
        <v>142</v>
      </c>
      <c r="J26" s="36" t="s">
        <v>143</v>
      </c>
      <c r="K26" s="36" t="s">
        <v>144</v>
      </c>
      <c r="M26" s="36" t="s">
        <v>146</v>
      </c>
      <c r="N26" s="36" t="s">
        <v>134</v>
      </c>
      <c r="O26" s="36" t="s">
        <v>133</v>
      </c>
      <c r="P26" s="36" t="s">
        <v>133</v>
      </c>
      <c r="Q26" s="36" t="s">
        <v>134</v>
      </c>
      <c r="R26" s="36" t="s">
        <v>151</v>
      </c>
      <c r="Y26" s="36" t="s">
        <v>134</v>
      </c>
      <c r="AI26" s="40"/>
      <c r="AQ26" s="40"/>
      <c r="BT26" s="36">
        <v>5</v>
      </c>
      <c r="BU26" s="36">
        <v>3</v>
      </c>
      <c r="BV26" s="36">
        <v>5</v>
      </c>
      <c r="BW26" s="36">
        <v>4</v>
      </c>
      <c r="BX26" s="36">
        <v>5</v>
      </c>
      <c r="BY26" s="36">
        <v>4</v>
      </c>
      <c r="BZ26" s="36">
        <v>3</v>
      </c>
      <c r="CA26" s="36">
        <v>5</v>
      </c>
      <c r="CB26" s="36">
        <v>4</v>
      </c>
      <c r="CC26" s="36">
        <v>4</v>
      </c>
      <c r="CD26" s="36">
        <v>5</v>
      </c>
      <c r="CE26" s="36">
        <v>5</v>
      </c>
      <c r="CF26" s="36">
        <v>5</v>
      </c>
      <c r="CG26" s="36">
        <v>4</v>
      </c>
      <c r="CH26" s="36" t="s">
        <v>225</v>
      </c>
      <c r="CI26" t="s">
        <v>226</v>
      </c>
      <c r="CJ26" t="s">
        <v>229</v>
      </c>
      <c r="CK26" s="36" t="s">
        <v>236</v>
      </c>
      <c r="CL26" t="s">
        <v>240</v>
      </c>
      <c r="CM26"/>
      <c r="CN26" s="36" t="s">
        <v>241</v>
      </c>
      <c r="CO26" s="36" t="s">
        <v>134</v>
      </c>
      <c r="CP26" s="36">
        <v>2</v>
      </c>
      <c r="CQ26" s="36">
        <v>5</v>
      </c>
      <c r="CR26" s="36" t="s">
        <v>248</v>
      </c>
      <c r="CS26" s="36">
        <v>5</v>
      </c>
      <c r="CT26" s="36">
        <v>4</v>
      </c>
      <c r="CU26" s="36">
        <v>5</v>
      </c>
      <c r="CV26" s="36">
        <v>4</v>
      </c>
      <c r="CW26" s="36">
        <v>5</v>
      </c>
      <c r="CX26" s="36">
        <v>5</v>
      </c>
      <c r="CY26" s="36">
        <v>5</v>
      </c>
      <c r="CZ26" s="36">
        <v>2</v>
      </c>
      <c r="DA26" s="36">
        <v>1</v>
      </c>
      <c r="DB26" s="36">
        <v>2</v>
      </c>
      <c r="DC26" s="36">
        <v>3</v>
      </c>
      <c r="DD26" s="36">
        <v>3</v>
      </c>
      <c r="DE26" s="36">
        <v>4</v>
      </c>
      <c r="DF26" s="36">
        <v>4</v>
      </c>
      <c r="DG26" s="36">
        <v>4</v>
      </c>
      <c r="DH26" s="36">
        <v>1</v>
      </c>
      <c r="DI26" s="36" t="s">
        <v>133</v>
      </c>
      <c r="DJ26" s="36" t="s">
        <v>133</v>
      </c>
      <c r="DK26" s="36" t="s">
        <v>254</v>
      </c>
      <c r="DL26" t="s">
        <v>255</v>
      </c>
      <c r="DM26"/>
      <c r="DN26"/>
      <c r="DO26" t="s">
        <v>256</v>
      </c>
      <c r="DP26" t="s">
        <v>257</v>
      </c>
      <c r="DQ26" s="36">
        <v>5</v>
      </c>
      <c r="DR26" s="36" t="s">
        <v>134</v>
      </c>
      <c r="DT26"/>
      <c r="DU26"/>
      <c r="DV26"/>
      <c r="DW26"/>
      <c r="DX26"/>
      <c r="DZ26" s="36" t="s">
        <v>133</v>
      </c>
      <c r="EA26" s="36">
        <v>5</v>
      </c>
      <c r="EB26" s="36" t="s">
        <v>262</v>
      </c>
      <c r="EC26" s="36" t="s">
        <v>267</v>
      </c>
      <c r="ED26" s="36">
        <v>24</v>
      </c>
      <c r="EE26" s="36" t="s">
        <v>358</v>
      </c>
      <c r="EF26" s="36" t="str">
        <f>Tabulacao!MC26</f>
        <v>Nossa Senhora do Socorro</v>
      </c>
      <c r="EG26" s="36" t="s">
        <v>359</v>
      </c>
      <c r="EH26" s="36" t="str">
        <f>Tabulacao!MG26</f>
        <v>Nossa Senhora do Socorro</v>
      </c>
      <c r="EI26" s="36" t="s">
        <v>292</v>
      </c>
      <c r="EJ26" s="36" t="str">
        <f>Tabulacao!MK26</f>
        <v>Aracaju</v>
      </c>
      <c r="EK26" s="36" t="s">
        <v>134</v>
      </c>
      <c r="EL26" s="36" t="s">
        <v>134</v>
      </c>
      <c r="EM26" s="36" t="s">
        <v>134</v>
      </c>
      <c r="EN26" s="36" t="s">
        <v>134</v>
      </c>
      <c r="EO26" s="36" t="s">
        <v>134</v>
      </c>
      <c r="EP26" s="36" t="s">
        <v>134</v>
      </c>
      <c r="EQ26" s="36" t="s">
        <v>360</v>
      </c>
      <c r="ER26" s="36" t="str">
        <f>IF(OR(EQ26=CaractAmostra!$BD$9,EQ26=CaractAmostra!$BD$10,EQ26=CaractAmostra!$BD$11,EQ26=CaractAmostra!$BD$12,EQ26=CaractAmostra!$BD$13),Respostas_Formatadas!EQ26,"Outros")</f>
        <v>Outros</v>
      </c>
      <c r="ES26" s="36" t="s">
        <v>278</v>
      </c>
      <c r="ET26" s="36" t="str">
        <f>IF(OR(ES26=CaractAmostra!$BH$9,ES26=CaractAmostra!$BH$10,ES26=CaractAmostra!$BH$11,ES26=CaractAmostra!$BH$12),Respostas_Formatadas!ES26,"Outros")</f>
        <v>Divido residência com outras pessoas</v>
      </c>
      <c r="EU26" s="36" t="s">
        <v>134</v>
      </c>
      <c r="EV26" s="36" t="s">
        <v>285</v>
      </c>
      <c r="EW26" s="36" t="s">
        <v>283</v>
      </c>
      <c r="FD26" s="36" t="s">
        <v>361</v>
      </c>
      <c r="FE26" s="47">
        <v>2017</v>
      </c>
      <c r="FF26" s="97">
        <v>8.2303999999999995</v>
      </c>
      <c r="FI26" s="47" t="str">
        <f t="shared" si="0"/>
        <v>Aracaju</v>
      </c>
      <c r="FJ26" s="47" t="str">
        <f t="shared" si="1"/>
        <v>Licenciatura</v>
      </c>
    </row>
    <row r="27" spans="1:166" s="36" customFormat="1" ht="15.75" customHeight="1" x14ac:dyDescent="0.2">
      <c r="A27" s="38">
        <v>43405.748477777779</v>
      </c>
      <c r="C27" s="36" t="s">
        <v>127</v>
      </c>
      <c r="D27" s="47" t="s">
        <v>134</v>
      </c>
      <c r="M27" s="36" t="s">
        <v>147</v>
      </c>
      <c r="N27" s="36" t="s">
        <v>134</v>
      </c>
      <c r="O27" s="36" t="s">
        <v>134</v>
      </c>
      <c r="P27" s="36" t="s">
        <v>134</v>
      </c>
      <c r="Q27" s="36" t="s">
        <v>133</v>
      </c>
      <c r="R27" s="36" t="s">
        <v>151</v>
      </c>
      <c r="Y27" s="36" t="s">
        <v>134</v>
      </c>
      <c r="AI27" s="40"/>
      <c r="AQ27" s="40"/>
      <c r="BT27" s="36">
        <v>4</v>
      </c>
      <c r="BU27" s="36">
        <v>4</v>
      </c>
      <c r="BV27" s="36">
        <v>4</v>
      </c>
      <c r="BW27" s="36">
        <v>4</v>
      </c>
      <c r="BX27" s="36">
        <v>4</v>
      </c>
      <c r="BY27" s="36">
        <v>5</v>
      </c>
      <c r="BZ27" s="36">
        <v>4</v>
      </c>
      <c r="CA27" s="36">
        <v>5</v>
      </c>
      <c r="CB27" s="36">
        <v>4</v>
      </c>
      <c r="CC27" s="36">
        <v>4</v>
      </c>
      <c r="CD27" s="36">
        <v>3</v>
      </c>
      <c r="CE27" s="36">
        <v>4</v>
      </c>
      <c r="CF27" s="36">
        <v>3</v>
      </c>
      <c r="CG27" s="36">
        <v>5</v>
      </c>
      <c r="CH27" s="36" t="s">
        <v>222</v>
      </c>
      <c r="CI27" t="s">
        <v>225</v>
      </c>
      <c r="CJ27"/>
      <c r="CK27" s="36" t="s">
        <v>239</v>
      </c>
      <c r="CL27" t="s">
        <v>240</v>
      </c>
      <c r="CM27"/>
      <c r="CN27" s="36" t="s">
        <v>242</v>
      </c>
      <c r="CO27" s="36" t="s">
        <v>134</v>
      </c>
      <c r="CP27" s="36">
        <v>4</v>
      </c>
      <c r="CQ27" s="36">
        <v>5</v>
      </c>
      <c r="CR27" s="36" t="s">
        <v>249</v>
      </c>
      <c r="CS27" s="36">
        <v>3</v>
      </c>
      <c r="CT27" s="36">
        <v>3</v>
      </c>
      <c r="CU27" s="36">
        <v>2</v>
      </c>
      <c r="CV27" s="36">
        <v>2</v>
      </c>
      <c r="CW27" s="36">
        <v>1</v>
      </c>
      <c r="CX27" s="36">
        <v>4</v>
      </c>
      <c r="CY27" s="36">
        <v>5</v>
      </c>
      <c r="CZ27" s="36">
        <v>4</v>
      </c>
      <c r="DA27" s="36">
        <v>4</v>
      </c>
      <c r="DB27" s="36">
        <v>4</v>
      </c>
      <c r="DC27" s="36">
        <v>4</v>
      </c>
      <c r="DD27" s="36">
        <v>4</v>
      </c>
      <c r="DE27" s="36">
        <v>4</v>
      </c>
      <c r="DF27" s="36">
        <v>5</v>
      </c>
      <c r="DG27" s="36">
        <v>5</v>
      </c>
      <c r="DH27" s="36">
        <v>4</v>
      </c>
      <c r="DI27" s="36" t="s">
        <v>133</v>
      </c>
      <c r="DJ27" s="36" t="s">
        <v>134</v>
      </c>
      <c r="DL27"/>
      <c r="DM27"/>
      <c r="DN27"/>
      <c r="DO27"/>
      <c r="DP27"/>
      <c r="DR27" s="36" t="s">
        <v>134</v>
      </c>
      <c r="DT27"/>
      <c r="DU27"/>
      <c r="DV27"/>
      <c r="DW27"/>
      <c r="DX27"/>
      <c r="DZ27" s="36" t="s">
        <v>133</v>
      </c>
      <c r="EA27" s="36">
        <v>4</v>
      </c>
      <c r="EB27" s="36" t="s">
        <v>263</v>
      </c>
      <c r="EC27" s="36" t="s">
        <v>267</v>
      </c>
      <c r="ED27" s="36">
        <v>24</v>
      </c>
      <c r="EE27" s="36" t="s">
        <v>362</v>
      </c>
      <c r="EF27" s="36" t="str">
        <f>Tabulacao!MC27</f>
        <v>Itabaiana</v>
      </c>
      <c r="EG27" s="36" t="s">
        <v>362</v>
      </c>
      <c r="EH27" s="36" t="str">
        <f>Tabulacao!MG27</f>
        <v>Itabaiana</v>
      </c>
      <c r="EI27" s="36" t="s">
        <v>362</v>
      </c>
      <c r="EJ27" s="36" t="str">
        <f>Tabulacao!MK27</f>
        <v>Itabaiana</v>
      </c>
      <c r="EK27" s="36" t="s">
        <v>134</v>
      </c>
      <c r="EL27" s="36" t="s">
        <v>134</v>
      </c>
      <c r="EM27" s="36" t="s">
        <v>134</v>
      </c>
      <c r="EN27" s="36" t="s">
        <v>134</v>
      </c>
      <c r="EO27" s="36" t="s">
        <v>134</v>
      </c>
      <c r="EP27" s="36" t="s">
        <v>134</v>
      </c>
      <c r="EQ27" s="36" t="s">
        <v>275</v>
      </c>
      <c r="ER27" s="36" t="str">
        <f>IF(OR(EQ27=CaractAmostra!$BD$9,EQ27=CaractAmostra!$BD$10,EQ27=CaractAmostra!$BD$11,EQ27=CaractAmostra!$BD$12,EQ27=CaractAmostra!$BD$13),Respostas_Formatadas!EQ27,"Outros")</f>
        <v>Com os pais</v>
      </c>
      <c r="ES27" s="36" t="s">
        <v>275</v>
      </c>
      <c r="ET27" s="36" t="str">
        <f>IF(OR(ES27=CaractAmostra!$BH$9,ES27=CaractAmostra!$BH$10,ES27=CaractAmostra!$BH$11,ES27=CaractAmostra!$BH$12),Respostas_Formatadas!ES27,"Outros")</f>
        <v>Com os pais</v>
      </c>
      <c r="EU27" s="36" t="s">
        <v>134</v>
      </c>
      <c r="EV27" s="36" t="s">
        <v>282</v>
      </c>
      <c r="EW27" s="36" t="s">
        <v>282</v>
      </c>
      <c r="FE27" s="115" t="s">
        <v>1246</v>
      </c>
      <c r="FF27" s="97">
        <v>7.3167</v>
      </c>
      <c r="FI27" s="47" t="str">
        <f t="shared" si="0"/>
        <v>Itabaiana</v>
      </c>
      <c r="FJ27" s="47" t="str">
        <f t="shared" si="1"/>
        <v>Tecnologia</v>
      </c>
    </row>
    <row r="28" spans="1:166" s="36" customFormat="1" ht="15.75" customHeight="1" x14ac:dyDescent="0.2">
      <c r="A28" s="38">
        <v>43405.770051099535</v>
      </c>
      <c r="C28" s="36" t="s">
        <v>119</v>
      </c>
      <c r="D28" s="47" t="s">
        <v>133</v>
      </c>
      <c r="E28" s="36" t="s">
        <v>135</v>
      </c>
      <c r="H28" s="36" t="s">
        <v>142</v>
      </c>
      <c r="M28" s="36" t="s">
        <v>149</v>
      </c>
      <c r="N28" s="36" t="s">
        <v>134</v>
      </c>
      <c r="O28" s="36" t="s">
        <v>133</v>
      </c>
      <c r="P28" s="36" t="s">
        <v>134</v>
      </c>
      <c r="Q28" s="36" t="s">
        <v>133</v>
      </c>
      <c r="R28" s="36" t="s">
        <v>151</v>
      </c>
      <c r="Y28" s="36" t="s">
        <v>166</v>
      </c>
      <c r="AC28" s="36" t="s">
        <v>185</v>
      </c>
      <c r="AD28" s="36" t="s">
        <v>363</v>
      </c>
      <c r="AE28" s="36">
        <v>5</v>
      </c>
      <c r="AF28" s="36" t="s">
        <v>190</v>
      </c>
      <c r="AG28" s="36" t="s">
        <v>190</v>
      </c>
      <c r="AH28" s="36" t="s">
        <v>133</v>
      </c>
      <c r="AI28" s="40">
        <v>2800</v>
      </c>
      <c r="AJ28" s="36">
        <v>5</v>
      </c>
      <c r="AK28" s="36">
        <v>3</v>
      </c>
      <c r="AL28" s="36" t="s">
        <v>133</v>
      </c>
      <c r="AP28" s="36" t="s">
        <v>364</v>
      </c>
      <c r="AQ28" s="40">
        <v>2800</v>
      </c>
      <c r="AR28" s="36">
        <v>3</v>
      </c>
      <c r="AS28" s="36">
        <v>5</v>
      </c>
      <c r="AT28" s="36">
        <v>3</v>
      </c>
      <c r="AU28" s="36">
        <v>4</v>
      </c>
      <c r="AV28" s="36">
        <v>5</v>
      </c>
      <c r="AW28" s="36" t="s">
        <v>192</v>
      </c>
      <c r="AX28" s="36" t="s">
        <v>204</v>
      </c>
      <c r="AY28" s="36" t="s">
        <v>208</v>
      </c>
      <c r="AZ28" s="36" t="s">
        <v>133</v>
      </c>
      <c r="BA28" s="36" t="s">
        <v>213</v>
      </c>
      <c r="BB28" s="36" t="s">
        <v>292</v>
      </c>
      <c r="BC28" s="36" t="s">
        <v>292</v>
      </c>
      <c r="BD28" s="36" t="s">
        <v>190</v>
      </c>
      <c r="BG28" s="36">
        <v>5</v>
      </c>
      <c r="BH28" s="36">
        <v>3</v>
      </c>
      <c r="BI28" s="36">
        <v>4</v>
      </c>
      <c r="BJ28" s="36">
        <v>5</v>
      </c>
      <c r="BK28" s="36">
        <v>5</v>
      </c>
      <c r="BL28" s="36">
        <v>5</v>
      </c>
      <c r="BM28" s="36">
        <v>5</v>
      </c>
      <c r="BN28" s="36">
        <v>5</v>
      </c>
      <c r="BO28" s="36">
        <v>5</v>
      </c>
      <c r="BP28" s="36">
        <v>5</v>
      </c>
      <c r="BQ28" s="36">
        <v>5</v>
      </c>
      <c r="BR28" s="36">
        <v>5</v>
      </c>
      <c r="BS28" s="36">
        <v>2</v>
      </c>
      <c r="BT28" s="36">
        <v>4</v>
      </c>
      <c r="BU28" s="36">
        <v>4</v>
      </c>
      <c r="BV28" s="36">
        <v>4</v>
      </c>
      <c r="BW28" s="36">
        <v>5</v>
      </c>
      <c r="BX28" s="36">
        <v>5</v>
      </c>
      <c r="BY28" s="36">
        <v>5</v>
      </c>
      <c r="BZ28" s="36">
        <v>5</v>
      </c>
      <c r="CA28" s="36">
        <v>5</v>
      </c>
      <c r="CB28" s="36">
        <v>5</v>
      </c>
      <c r="CC28" s="36">
        <v>4</v>
      </c>
      <c r="CD28" s="36">
        <v>4</v>
      </c>
      <c r="CE28" s="36">
        <v>4</v>
      </c>
      <c r="CF28" s="36">
        <v>2</v>
      </c>
      <c r="CG28" s="36">
        <v>4</v>
      </c>
      <c r="CH28" s="36" t="s">
        <v>225</v>
      </c>
      <c r="CI28"/>
      <c r="CJ28"/>
      <c r="CK28" s="36" t="s">
        <v>235</v>
      </c>
      <c r="CL28" t="s">
        <v>240</v>
      </c>
      <c r="CM28"/>
      <c r="CN28" s="36" t="s">
        <v>242</v>
      </c>
      <c r="CO28" s="36" t="s">
        <v>134</v>
      </c>
      <c r="CP28" s="36">
        <v>2</v>
      </c>
      <c r="CQ28" s="36">
        <v>4</v>
      </c>
      <c r="CR28" s="36" t="s">
        <v>248</v>
      </c>
      <c r="CS28" s="36">
        <v>3</v>
      </c>
      <c r="CT28" s="36">
        <v>4</v>
      </c>
      <c r="CU28" s="36">
        <v>2</v>
      </c>
      <c r="CV28" s="36">
        <v>3</v>
      </c>
      <c r="CW28" s="36">
        <v>3</v>
      </c>
      <c r="CX28" s="36">
        <v>3</v>
      </c>
      <c r="CY28" s="36">
        <v>3</v>
      </c>
      <c r="CZ28" s="36">
        <v>3</v>
      </c>
      <c r="DA28" s="36">
        <v>3</v>
      </c>
      <c r="DB28" s="36">
        <v>2</v>
      </c>
      <c r="DC28" s="36">
        <v>3</v>
      </c>
      <c r="DD28" s="36">
        <v>4</v>
      </c>
      <c r="DE28" s="36">
        <v>4</v>
      </c>
      <c r="DF28" s="36">
        <v>4</v>
      </c>
      <c r="DG28" s="36">
        <v>4</v>
      </c>
      <c r="DH28" s="36">
        <v>4</v>
      </c>
      <c r="DI28" s="36" t="s">
        <v>133</v>
      </c>
      <c r="DJ28" s="36" t="s">
        <v>134</v>
      </c>
      <c r="DL28"/>
      <c r="DM28"/>
      <c r="DN28"/>
      <c r="DO28"/>
      <c r="DP28"/>
      <c r="DR28" s="36" t="s">
        <v>134</v>
      </c>
      <c r="DT28"/>
      <c r="DU28"/>
      <c r="DV28"/>
      <c r="DW28"/>
      <c r="DX28"/>
      <c r="DZ28" s="36" t="s">
        <v>133</v>
      </c>
      <c r="EA28" s="36">
        <v>4</v>
      </c>
      <c r="EB28" s="36" t="s">
        <v>263</v>
      </c>
      <c r="EC28" s="36" t="s">
        <v>264</v>
      </c>
      <c r="ED28" s="36">
        <v>25</v>
      </c>
      <c r="EE28" s="36" t="s">
        <v>292</v>
      </c>
      <c r="EF28" s="36" t="str">
        <f>Tabulacao!MC28</f>
        <v>Aracaju</v>
      </c>
      <c r="EG28" s="36" t="s">
        <v>292</v>
      </c>
      <c r="EH28" s="36" t="str">
        <f>Tabulacao!MG28</f>
        <v>Aracaju</v>
      </c>
      <c r="EI28" s="36" t="s">
        <v>292</v>
      </c>
      <c r="EJ28" s="36" t="str">
        <f>Tabulacao!MK28</f>
        <v>Aracaju</v>
      </c>
      <c r="EK28" s="36" t="s">
        <v>134</v>
      </c>
      <c r="EL28" s="36" t="s">
        <v>134</v>
      </c>
      <c r="EM28" s="36" t="s">
        <v>134</v>
      </c>
      <c r="EN28" s="36" t="s">
        <v>134</v>
      </c>
      <c r="EO28" s="36" t="s">
        <v>134</v>
      </c>
      <c r="EP28" s="36" t="s">
        <v>134</v>
      </c>
      <c r="EQ28" s="36" t="s">
        <v>275</v>
      </c>
      <c r="ER28" s="36" t="str">
        <f>IF(OR(EQ28=CaractAmostra!$BD$9,EQ28=CaractAmostra!$BD$10,EQ28=CaractAmostra!$BD$11,EQ28=CaractAmostra!$BD$12,EQ28=CaractAmostra!$BD$13),Respostas_Formatadas!EQ28,"Outros")</f>
        <v>Com os pais</v>
      </c>
      <c r="ES28" s="36" t="s">
        <v>275</v>
      </c>
      <c r="ET28" s="36" t="str">
        <f>IF(OR(ES28=CaractAmostra!$BH$9,ES28=CaractAmostra!$BH$10,ES28=CaractAmostra!$BH$11,ES28=CaractAmostra!$BH$12),Respostas_Formatadas!ES28,"Outros")</f>
        <v>Com os pais</v>
      </c>
      <c r="EU28" s="36" t="s">
        <v>134</v>
      </c>
      <c r="EV28" s="36" t="s">
        <v>285</v>
      </c>
      <c r="EW28" s="36" t="s">
        <v>285</v>
      </c>
      <c r="FE28" s="47">
        <v>2017</v>
      </c>
      <c r="FF28" s="97">
        <v>8.1118000000000006</v>
      </c>
      <c r="FI28" s="47" t="str">
        <f t="shared" si="0"/>
        <v>Aracaju</v>
      </c>
      <c r="FJ28" s="47" t="str">
        <f t="shared" si="1"/>
        <v>Bacharelado</v>
      </c>
    </row>
    <row r="29" spans="1:166" s="36" customFormat="1" ht="15.75" customHeight="1" x14ac:dyDescent="0.2">
      <c r="A29" s="38">
        <v>43405.790058750004</v>
      </c>
      <c r="C29" s="36" t="s">
        <v>124</v>
      </c>
      <c r="D29" s="47" t="s">
        <v>134</v>
      </c>
      <c r="M29" s="36" t="s">
        <v>148</v>
      </c>
      <c r="N29" s="36" t="s">
        <v>134</v>
      </c>
      <c r="O29" s="36" t="s">
        <v>134</v>
      </c>
      <c r="P29" s="36" t="s">
        <v>133</v>
      </c>
      <c r="Q29" s="36" t="s">
        <v>133</v>
      </c>
      <c r="R29" s="36" t="s">
        <v>153</v>
      </c>
      <c r="S29" s="36" t="s">
        <v>934</v>
      </c>
      <c r="T29" s="36" t="s">
        <v>154</v>
      </c>
      <c r="U29" s="36" t="s">
        <v>157</v>
      </c>
      <c r="V29" s="36">
        <v>1</v>
      </c>
      <c r="W29" s="36">
        <v>5</v>
      </c>
      <c r="X29" s="36">
        <v>5</v>
      </c>
      <c r="Y29" s="36" t="s">
        <v>165</v>
      </c>
      <c r="Z29" s="36" t="s">
        <v>167</v>
      </c>
      <c r="AA29" s="36" t="s">
        <v>174</v>
      </c>
      <c r="AB29" s="36" t="s">
        <v>184</v>
      </c>
      <c r="AD29" s="36" t="s">
        <v>365</v>
      </c>
      <c r="AE29" s="36">
        <v>1</v>
      </c>
      <c r="AF29" s="36" t="s">
        <v>190</v>
      </c>
      <c r="AG29" s="36" t="s">
        <v>190</v>
      </c>
      <c r="AH29" s="36" t="s">
        <v>133</v>
      </c>
      <c r="AI29" s="40">
        <v>1200</v>
      </c>
      <c r="AJ29" s="36">
        <v>1</v>
      </c>
      <c r="AK29" s="36">
        <v>1</v>
      </c>
      <c r="AL29" s="36" t="s">
        <v>133</v>
      </c>
      <c r="AP29" s="36" t="s">
        <v>366</v>
      </c>
      <c r="AQ29" s="40">
        <v>1200</v>
      </c>
      <c r="AR29" s="36">
        <v>1</v>
      </c>
      <c r="AS29" s="36">
        <v>1</v>
      </c>
      <c r="AT29" s="36">
        <v>1</v>
      </c>
      <c r="AU29" s="36">
        <v>3</v>
      </c>
      <c r="AV29" s="36">
        <v>1</v>
      </c>
      <c r="AW29" s="36" t="s">
        <v>193</v>
      </c>
      <c r="AX29" s="36" t="s">
        <v>204</v>
      </c>
      <c r="AY29" s="36" t="s">
        <v>210</v>
      </c>
      <c r="AZ29" s="36" t="s">
        <v>134</v>
      </c>
      <c r="BA29" s="36" t="s">
        <v>170</v>
      </c>
      <c r="BB29" s="36" t="s">
        <v>367</v>
      </c>
      <c r="BC29" s="36" t="s">
        <v>292</v>
      </c>
      <c r="BD29" s="36" t="s">
        <v>190</v>
      </c>
      <c r="BG29" s="36">
        <v>5</v>
      </c>
      <c r="BH29" s="36">
        <v>3</v>
      </c>
      <c r="BI29" s="36">
        <v>3</v>
      </c>
      <c r="BJ29" s="36">
        <v>1</v>
      </c>
      <c r="BK29" s="36">
        <v>4</v>
      </c>
      <c r="BL29" s="36">
        <v>3</v>
      </c>
      <c r="BM29" s="36">
        <v>1</v>
      </c>
      <c r="BN29" s="36">
        <v>1</v>
      </c>
      <c r="BO29" s="36">
        <v>1</v>
      </c>
      <c r="BP29" s="36">
        <v>1</v>
      </c>
      <c r="BQ29" s="36">
        <v>1</v>
      </c>
      <c r="BR29" s="36">
        <v>3</v>
      </c>
      <c r="BS29" s="36">
        <v>1</v>
      </c>
      <c r="BT29" s="36">
        <v>5</v>
      </c>
      <c r="BU29" s="36">
        <v>4</v>
      </c>
      <c r="BV29" s="36">
        <v>4</v>
      </c>
      <c r="BW29" s="36">
        <v>3</v>
      </c>
      <c r="BX29" s="36">
        <v>4</v>
      </c>
      <c r="BY29" s="36">
        <v>5</v>
      </c>
      <c r="BZ29" s="36">
        <v>5</v>
      </c>
      <c r="CA29" s="36">
        <v>3</v>
      </c>
      <c r="CB29" s="36">
        <v>4</v>
      </c>
      <c r="CC29" s="36">
        <v>3</v>
      </c>
      <c r="CD29" s="36">
        <v>4</v>
      </c>
      <c r="CE29" s="36">
        <v>5</v>
      </c>
      <c r="CF29" s="36">
        <v>3</v>
      </c>
      <c r="CG29" s="36">
        <v>1</v>
      </c>
      <c r="CH29" s="36" t="s">
        <v>222</v>
      </c>
      <c r="CI29" t="s">
        <v>229</v>
      </c>
      <c r="CJ29" t="s">
        <v>231</v>
      </c>
      <c r="CK29" s="36" t="s">
        <v>240</v>
      </c>
      <c r="CL29"/>
      <c r="CM29"/>
      <c r="CN29" s="36" t="s">
        <v>242</v>
      </c>
      <c r="CO29" s="36" t="s">
        <v>134</v>
      </c>
      <c r="CP29" s="36">
        <v>4</v>
      </c>
      <c r="CQ29" s="36">
        <v>4</v>
      </c>
      <c r="CR29" s="36" t="s">
        <v>249</v>
      </c>
      <c r="CS29" s="36">
        <v>1</v>
      </c>
      <c r="CT29" s="36">
        <v>2</v>
      </c>
      <c r="CU29" s="36">
        <v>1</v>
      </c>
      <c r="CV29" s="36">
        <v>1</v>
      </c>
      <c r="CW29" s="36">
        <v>2</v>
      </c>
      <c r="CX29" s="36">
        <v>3</v>
      </c>
      <c r="CY29" s="36">
        <v>4</v>
      </c>
      <c r="CZ29" s="36">
        <v>3</v>
      </c>
      <c r="DA29" s="36">
        <v>1</v>
      </c>
      <c r="DB29" s="36">
        <v>2</v>
      </c>
      <c r="DC29" s="36">
        <v>3</v>
      </c>
      <c r="DD29" s="36">
        <v>2</v>
      </c>
      <c r="DE29" s="36">
        <v>1</v>
      </c>
      <c r="DF29" s="36">
        <v>3</v>
      </c>
      <c r="DG29" s="36">
        <v>3</v>
      </c>
      <c r="DH29" s="36">
        <v>1</v>
      </c>
      <c r="DI29" s="36" t="s">
        <v>252</v>
      </c>
      <c r="DJ29" s="36" t="s">
        <v>134</v>
      </c>
      <c r="DL29"/>
      <c r="DM29"/>
      <c r="DN29"/>
      <c r="DO29"/>
      <c r="DP29"/>
      <c r="DR29" s="36" t="s">
        <v>134</v>
      </c>
      <c r="DT29"/>
      <c r="DU29"/>
      <c r="DV29"/>
      <c r="DW29"/>
      <c r="DX29"/>
      <c r="DZ29" s="36" t="s">
        <v>134</v>
      </c>
      <c r="EB29" s="36" t="s">
        <v>262</v>
      </c>
      <c r="EC29" s="36" t="s">
        <v>264</v>
      </c>
      <c r="ED29" s="36">
        <v>64</v>
      </c>
      <c r="EE29" s="36" t="s">
        <v>292</v>
      </c>
      <c r="EF29" s="36" t="str">
        <f>Tabulacao!MC29</f>
        <v>Aracaju</v>
      </c>
      <c r="EG29" s="36" t="s">
        <v>292</v>
      </c>
      <c r="EH29" s="36" t="str">
        <f>Tabulacao!MG29</f>
        <v>Aracaju</v>
      </c>
      <c r="EI29" s="36" t="s">
        <v>292</v>
      </c>
      <c r="EJ29" s="36" t="str">
        <f>Tabulacao!MK29</f>
        <v>Aracaju</v>
      </c>
      <c r="EK29" s="36" t="s">
        <v>134</v>
      </c>
      <c r="EL29" s="36" t="s">
        <v>134</v>
      </c>
      <c r="EM29" s="36" t="s">
        <v>134</v>
      </c>
      <c r="EN29" s="36" t="s">
        <v>134</v>
      </c>
      <c r="EO29" s="36" t="s">
        <v>134</v>
      </c>
      <c r="EP29" s="36" t="s">
        <v>134</v>
      </c>
      <c r="EQ29" s="36" t="s">
        <v>272</v>
      </c>
      <c r="ER29" s="36" t="str">
        <f>IF(OR(EQ29=CaractAmostra!$BD$9,EQ29=CaractAmostra!$BD$10,EQ29=CaractAmostra!$BD$11,EQ29=CaractAmostra!$BD$12,EQ29=CaractAmostra!$BD$13),Respostas_Formatadas!EQ29,"Outros")</f>
        <v>Morava sozinho</v>
      </c>
      <c r="ES29" s="36" t="s">
        <v>277</v>
      </c>
      <c r="ET29" s="36" t="str">
        <f>IF(OR(ES29=CaractAmostra!$BH$9,ES29=CaractAmostra!$BH$10,ES29=CaractAmostra!$BH$11,ES29=CaractAmostra!$BH$12),Respostas_Formatadas!ES29,"Outros")</f>
        <v>Sozinho</v>
      </c>
      <c r="EU29" s="36" t="s">
        <v>281</v>
      </c>
      <c r="EV29" s="36" t="s">
        <v>283</v>
      </c>
      <c r="EW29" s="36" t="s">
        <v>283</v>
      </c>
      <c r="FE29" s="47">
        <v>2014</v>
      </c>
      <c r="FF29" s="97">
        <v>7.4485999999999999</v>
      </c>
      <c r="FI29" s="47" t="str">
        <f t="shared" si="0"/>
        <v>Aracaju</v>
      </c>
      <c r="FJ29" s="47" t="str">
        <f t="shared" si="1"/>
        <v>Tecnologia</v>
      </c>
    </row>
    <row r="30" spans="1:166" s="36" customFormat="1" ht="15.75" customHeight="1" x14ac:dyDescent="0.2">
      <c r="A30" s="38">
        <v>43405.790543206022</v>
      </c>
      <c r="C30" s="36" t="s">
        <v>126</v>
      </c>
      <c r="D30" s="47" t="s">
        <v>134</v>
      </c>
      <c r="M30" s="36" t="s">
        <v>147</v>
      </c>
      <c r="N30" s="36" t="s">
        <v>134</v>
      </c>
      <c r="O30" s="36" t="s">
        <v>133</v>
      </c>
      <c r="P30" s="36" t="s">
        <v>133</v>
      </c>
      <c r="Q30" s="36" t="s">
        <v>133</v>
      </c>
      <c r="R30" s="36" t="s">
        <v>151</v>
      </c>
      <c r="Y30" s="36" t="s">
        <v>165</v>
      </c>
      <c r="Z30" s="36" t="s">
        <v>168</v>
      </c>
      <c r="AA30" s="36" t="s">
        <v>172</v>
      </c>
      <c r="AB30" s="36" t="s">
        <v>176</v>
      </c>
      <c r="AD30" s="36" t="s">
        <v>368</v>
      </c>
      <c r="AE30" s="36">
        <v>5</v>
      </c>
      <c r="AF30" s="36" t="s">
        <v>187</v>
      </c>
      <c r="AG30" s="36" t="s">
        <v>187</v>
      </c>
      <c r="AH30" s="36" t="s">
        <v>134</v>
      </c>
      <c r="AI30" s="40">
        <v>2000</v>
      </c>
      <c r="AJ30" s="36">
        <v>5</v>
      </c>
      <c r="AK30" s="36">
        <v>4</v>
      </c>
      <c r="AL30" s="36" t="s">
        <v>134</v>
      </c>
      <c r="AM30" s="36" t="s">
        <v>168</v>
      </c>
      <c r="AN30" s="36">
        <v>2</v>
      </c>
      <c r="AO30" s="36" t="s">
        <v>133</v>
      </c>
      <c r="AP30" s="36" t="s">
        <v>369</v>
      </c>
      <c r="AQ30" s="40"/>
      <c r="AR30" s="36">
        <v>4</v>
      </c>
      <c r="AS30" s="36">
        <v>4</v>
      </c>
      <c r="AT30" s="36">
        <v>4</v>
      </c>
      <c r="AU30" s="36">
        <v>4</v>
      </c>
      <c r="AV30" s="36">
        <v>4</v>
      </c>
      <c r="AW30" s="36" t="s">
        <v>198</v>
      </c>
      <c r="AX30" s="36" t="s">
        <v>206</v>
      </c>
      <c r="AY30" s="36" t="s">
        <v>208</v>
      </c>
      <c r="AZ30" s="36" t="s">
        <v>133</v>
      </c>
      <c r="BA30" s="36" t="s">
        <v>213</v>
      </c>
      <c r="BB30" s="36" t="s">
        <v>328</v>
      </c>
      <c r="BC30" s="36" t="s">
        <v>328</v>
      </c>
      <c r="BD30" s="36" t="s">
        <v>190</v>
      </c>
      <c r="BG30" s="36">
        <v>4</v>
      </c>
      <c r="BH30" s="36">
        <v>4</v>
      </c>
      <c r="BI30" s="36">
        <v>4</v>
      </c>
      <c r="BJ30" s="36">
        <v>4</v>
      </c>
      <c r="BK30" s="36">
        <v>4</v>
      </c>
      <c r="BL30" s="36">
        <v>4</v>
      </c>
      <c r="BM30" s="36">
        <v>4</v>
      </c>
      <c r="BN30" s="36">
        <v>4</v>
      </c>
      <c r="BO30" s="36">
        <v>4</v>
      </c>
      <c r="BP30" s="36">
        <v>4</v>
      </c>
      <c r="BQ30" s="36">
        <v>4</v>
      </c>
      <c r="BR30" s="36">
        <v>4</v>
      </c>
      <c r="BS30" s="36">
        <v>3</v>
      </c>
      <c r="BT30" s="36">
        <v>4</v>
      </c>
      <c r="BU30" s="36">
        <v>4</v>
      </c>
      <c r="BV30" s="36">
        <v>4</v>
      </c>
      <c r="BW30" s="36">
        <v>4</v>
      </c>
      <c r="BX30" s="36">
        <v>4</v>
      </c>
      <c r="BY30" s="36">
        <v>4</v>
      </c>
      <c r="BZ30" s="36">
        <v>4</v>
      </c>
      <c r="CA30" s="36">
        <v>4</v>
      </c>
      <c r="CB30" s="36">
        <v>4</v>
      </c>
      <c r="CC30" s="36">
        <v>4</v>
      </c>
      <c r="CD30" s="36">
        <v>4</v>
      </c>
      <c r="CE30" s="36">
        <v>4</v>
      </c>
      <c r="CF30" s="36">
        <v>3</v>
      </c>
      <c r="CG30" s="36">
        <v>4</v>
      </c>
      <c r="CH30" s="36" t="s">
        <v>370</v>
      </c>
      <c r="CI30"/>
      <c r="CJ30"/>
      <c r="CK30" s="36" t="s">
        <v>371</v>
      </c>
      <c r="CL30"/>
      <c r="CM30"/>
      <c r="CN30" s="36" t="s">
        <v>241</v>
      </c>
      <c r="CO30" s="36" t="s">
        <v>134</v>
      </c>
      <c r="CP30" s="36">
        <v>3</v>
      </c>
      <c r="CQ30" s="36">
        <v>3</v>
      </c>
      <c r="CR30" s="36" t="s">
        <v>249</v>
      </c>
      <c r="CS30" s="36">
        <v>2</v>
      </c>
      <c r="CT30" s="36">
        <v>2</v>
      </c>
      <c r="CU30" s="36">
        <v>2</v>
      </c>
      <c r="CV30" s="36">
        <v>1</v>
      </c>
      <c r="CW30" s="36">
        <v>2</v>
      </c>
      <c r="CX30" s="36">
        <v>2</v>
      </c>
      <c r="CY30" s="36">
        <v>2</v>
      </c>
      <c r="CZ30" s="36">
        <v>2</v>
      </c>
      <c r="DA30" s="36">
        <v>2</v>
      </c>
      <c r="DB30" s="36">
        <v>2</v>
      </c>
      <c r="DC30" s="36">
        <v>3</v>
      </c>
      <c r="DD30" s="36">
        <v>5</v>
      </c>
      <c r="DE30" s="36">
        <v>4</v>
      </c>
      <c r="DF30" s="36">
        <v>4</v>
      </c>
      <c r="DG30" s="36">
        <v>4</v>
      </c>
      <c r="DH30" s="36">
        <v>4</v>
      </c>
      <c r="DI30" s="36" t="s">
        <v>250</v>
      </c>
      <c r="DJ30" s="36" t="s">
        <v>133</v>
      </c>
      <c r="DK30" s="36" t="s">
        <v>256</v>
      </c>
      <c r="DL30"/>
      <c r="DM30"/>
      <c r="DN30"/>
      <c r="DO30"/>
      <c r="DP30"/>
      <c r="DQ30" s="36">
        <v>4</v>
      </c>
      <c r="DR30" s="36" t="s">
        <v>134</v>
      </c>
      <c r="DT30"/>
      <c r="DU30"/>
      <c r="DV30"/>
      <c r="DW30"/>
      <c r="DX30"/>
      <c r="DZ30" s="36" t="s">
        <v>134</v>
      </c>
      <c r="EB30" s="36" t="s">
        <v>262</v>
      </c>
      <c r="EC30" s="36" t="s">
        <v>267</v>
      </c>
      <c r="ED30" s="36">
        <v>34</v>
      </c>
      <c r="EE30" s="36" t="s">
        <v>372</v>
      </c>
      <c r="EF30" s="36" t="str">
        <f>Tabulacao!MC30</f>
        <v>Aracaju</v>
      </c>
      <c r="EG30" s="36" t="s">
        <v>372</v>
      </c>
      <c r="EH30" s="36" t="str">
        <f>Tabulacao!MG30</f>
        <v>Aracaju</v>
      </c>
      <c r="EI30" s="36" t="s">
        <v>372</v>
      </c>
      <c r="EJ30" s="36" t="str">
        <f>Tabulacao!MK30</f>
        <v>Aracaju</v>
      </c>
      <c r="EK30" s="36" t="s">
        <v>134</v>
      </c>
      <c r="EL30" s="36" t="s">
        <v>134</v>
      </c>
      <c r="EM30" s="36" t="s">
        <v>134</v>
      </c>
      <c r="EN30" s="36" t="s">
        <v>134</v>
      </c>
      <c r="EO30" s="36" t="s">
        <v>134</v>
      </c>
      <c r="EP30" s="36" t="s">
        <v>134</v>
      </c>
      <c r="EQ30" s="36" t="s">
        <v>373</v>
      </c>
      <c r="ER30" s="36" t="str">
        <f>IF(OR(EQ30=CaractAmostra!$BD$9,EQ30=CaractAmostra!$BD$10,EQ30=CaractAmostra!$BD$11,EQ30=CaractAmostra!$BD$12,EQ30=CaractAmostra!$BD$13),Respostas_Formatadas!EQ30,"Outros")</f>
        <v>Outros</v>
      </c>
      <c r="ES30" s="36" t="s">
        <v>374</v>
      </c>
      <c r="ET30" s="36" t="str">
        <f>IF(OR(ES30=CaractAmostra!$BH$9,ES30=CaractAmostra!$BH$10,ES30=CaractAmostra!$BH$11,ES30=CaractAmostra!$BH$12),Respostas_Formatadas!ES30,"Outros")</f>
        <v>Outros</v>
      </c>
      <c r="EU30" s="36" t="s">
        <v>134</v>
      </c>
      <c r="EV30" s="36" t="s">
        <v>285</v>
      </c>
      <c r="EW30" s="36" t="s">
        <v>285</v>
      </c>
      <c r="FD30" s="36" t="s">
        <v>375</v>
      </c>
      <c r="FE30" s="47">
        <v>2014</v>
      </c>
      <c r="FF30" s="97">
        <v>7.6783999999999999</v>
      </c>
      <c r="FI30" s="47" t="str">
        <f t="shared" si="0"/>
        <v>Lagarto</v>
      </c>
      <c r="FJ30" s="47" t="str">
        <f t="shared" si="1"/>
        <v>Tecnologia</v>
      </c>
    </row>
    <row r="31" spans="1:166" s="36" customFormat="1" ht="15.75" customHeight="1" x14ac:dyDescent="0.2">
      <c r="A31" s="38">
        <v>43405.794752442132</v>
      </c>
      <c r="C31" s="36" t="s">
        <v>121</v>
      </c>
      <c r="D31" s="47" t="s">
        <v>134</v>
      </c>
      <c r="M31" s="36" t="s">
        <v>147</v>
      </c>
      <c r="N31" s="36" t="s">
        <v>134</v>
      </c>
      <c r="O31" s="36" t="s">
        <v>133</v>
      </c>
      <c r="P31" s="36" t="s">
        <v>133</v>
      </c>
      <c r="Q31" s="36" t="s">
        <v>133</v>
      </c>
      <c r="R31" s="36" t="s">
        <v>153</v>
      </c>
      <c r="S31" s="36" t="s">
        <v>939</v>
      </c>
      <c r="T31" s="36" t="s">
        <v>154</v>
      </c>
      <c r="U31" s="36" t="s">
        <v>156</v>
      </c>
      <c r="V31" s="36">
        <v>1</v>
      </c>
      <c r="W31" s="36">
        <v>1</v>
      </c>
      <c r="X31" s="36">
        <v>1</v>
      </c>
      <c r="Y31" s="36" t="s">
        <v>166</v>
      </c>
      <c r="AC31" s="36" t="s">
        <v>186</v>
      </c>
      <c r="AD31" s="36" t="s">
        <v>376</v>
      </c>
      <c r="AE31" s="36">
        <v>1</v>
      </c>
      <c r="AF31" s="36" t="s">
        <v>190</v>
      </c>
      <c r="AG31" s="36" t="s">
        <v>190</v>
      </c>
      <c r="AH31" s="36" t="s">
        <v>134</v>
      </c>
      <c r="AI31" s="40">
        <v>1500</v>
      </c>
      <c r="AJ31" s="36">
        <v>1</v>
      </c>
      <c r="AK31" s="36">
        <v>1</v>
      </c>
      <c r="AL31" s="36" t="s">
        <v>133</v>
      </c>
      <c r="AP31" s="36" t="s">
        <v>377</v>
      </c>
      <c r="AQ31" s="40">
        <v>1500</v>
      </c>
      <c r="AR31" s="36">
        <v>2</v>
      </c>
      <c r="AS31" s="36">
        <v>1</v>
      </c>
      <c r="AT31" s="36">
        <v>1</v>
      </c>
      <c r="AU31" s="36">
        <v>1</v>
      </c>
      <c r="AV31" s="36">
        <v>1</v>
      </c>
      <c r="AW31" s="36" t="s">
        <v>193</v>
      </c>
      <c r="AX31" s="36" t="s">
        <v>206</v>
      </c>
      <c r="AY31" s="36" t="s">
        <v>378</v>
      </c>
      <c r="AZ31" s="36" t="s">
        <v>134</v>
      </c>
      <c r="BA31" s="36" t="s">
        <v>170</v>
      </c>
      <c r="BB31" s="36" t="s">
        <v>291</v>
      </c>
      <c r="BC31" s="36" t="s">
        <v>291</v>
      </c>
      <c r="BD31" s="36" t="s">
        <v>190</v>
      </c>
      <c r="BG31" s="36">
        <v>1</v>
      </c>
      <c r="BH31" s="36">
        <v>1</v>
      </c>
      <c r="BI31" s="36">
        <v>4</v>
      </c>
      <c r="BJ31" s="36">
        <v>3</v>
      </c>
      <c r="BK31" s="36">
        <v>5</v>
      </c>
      <c r="BL31" s="36">
        <v>5</v>
      </c>
      <c r="BM31" s="36">
        <v>5</v>
      </c>
      <c r="BN31" s="36">
        <v>4</v>
      </c>
      <c r="BO31" s="36">
        <v>4</v>
      </c>
      <c r="BP31" s="36">
        <v>3</v>
      </c>
      <c r="BQ31" s="36">
        <v>4</v>
      </c>
      <c r="BR31" s="36">
        <v>5</v>
      </c>
      <c r="BS31" s="36">
        <v>2</v>
      </c>
      <c r="BT31" s="36">
        <v>4</v>
      </c>
      <c r="BU31" s="36">
        <v>4</v>
      </c>
      <c r="BV31" s="36">
        <v>5</v>
      </c>
      <c r="BW31" s="36">
        <v>4</v>
      </c>
      <c r="BX31" s="36">
        <v>5</v>
      </c>
      <c r="BY31" s="36">
        <v>4</v>
      </c>
      <c r="BZ31" s="36">
        <v>5</v>
      </c>
      <c r="CA31" s="36">
        <v>4</v>
      </c>
      <c r="CB31" s="36">
        <v>4</v>
      </c>
      <c r="CC31" s="36">
        <v>4</v>
      </c>
      <c r="CD31" s="36">
        <v>5</v>
      </c>
      <c r="CE31" s="36">
        <v>5</v>
      </c>
      <c r="CF31" s="36">
        <v>2</v>
      </c>
      <c r="CG31" s="36">
        <v>1</v>
      </c>
      <c r="CH31" s="36" t="s">
        <v>222</v>
      </c>
      <c r="CI31"/>
      <c r="CJ31"/>
      <c r="CK31" s="36" t="s">
        <v>234</v>
      </c>
      <c r="CL31"/>
      <c r="CM31"/>
      <c r="CN31" s="36" t="s">
        <v>241</v>
      </c>
      <c r="CO31" s="36" t="s">
        <v>133</v>
      </c>
      <c r="CP31" s="36">
        <v>5</v>
      </c>
      <c r="CQ31" s="36">
        <v>5</v>
      </c>
      <c r="CR31" s="36" t="s">
        <v>248</v>
      </c>
      <c r="CS31" s="36">
        <v>4</v>
      </c>
      <c r="CT31" s="36">
        <v>4</v>
      </c>
      <c r="CU31" s="36">
        <v>4</v>
      </c>
      <c r="CV31" s="36">
        <v>3</v>
      </c>
      <c r="CW31" s="36">
        <v>4</v>
      </c>
      <c r="CX31" s="36">
        <v>3</v>
      </c>
      <c r="CY31" s="36">
        <v>3</v>
      </c>
      <c r="CZ31" s="36">
        <v>5</v>
      </c>
      <c r="DA31" s="36">
        <v>1</v>
      </c>
      <c r="DB31" s="36">
        <v>2</v>
      </c>
      <c r="DC31" s="36">
        <v>4</v>
      </c>
      <c r="DD31" s="36">
        <v>1</v>
      </c>
      <c r="DE31" s="36">
        <v>1</v>
      </c>
      <c r="DF31" s="36">
        <v>1</v>
      </c>
      <c r="DG31" s="36">
        <v>4</v>
      </c>
      <c r="DH31" s="36">
        <v>4</v>
      </c>
      <c r="DI31" s="36" t="s">
        <v>133</v>
      </c>
      <c r="DJ31" s="36" t="s">
        <v>134</v>
      </c>
      <c r="DL31"/>
      <c r="DM31"/>
      <c r="DN31"/>
      <c r="DO31"/>
      <c r="DP31"/>
      <c r="DR31" s="36" t="s">
        <v>133</v>
      </c>
      <c r="DS31" s="36" t="s">
        <v>258</v>
      </c>
      <c r="DT31"/>
      <c r="DU31"/>
      <c r="DV31"/>
      <c r="DW31"/>
      <c r="DX31"/>
      <c r="DY31" s="36">
        <v>3</v>
      </c>
      <c r="DZ31" s="36" t="s">
        <v>133</v>
      </c>
      <c r="EA31" s="36">
        <v>5</v>
      </c>
      <c r="EB31" s="36" t="s">
        <v>263</v>
      </c>
      <c r="EC31" s="36" t="s">
        <v>265</v>
      </c>
      <c r="ED31" s="36">
        <v>25</v>
      </c>
      <c r="EE31" s="36" t="s">
        <v>291</v>
      </c>
      <c r="EF31" s="36" t="str">
        <f>Tabulacao!MC31</f>
        <v>Lagarto</v>
      </c>
      <c r="EG31" s="36" t="s">
        <v>292</v>
      </c>
      <c r="EH31" s="36" t="str">
        <f>Tabulacao!MG31</f>
        <v>Aracaju</v>
      </c>
      <c r="EI31" s="36" t="s">
        <v>291</v>
      </c>
      <c r="EJ31" s="36" t="str">
        <f>Tabulacao!MK31</f>
        <v>Lagarto</v>
      </c>
      <c r="EK31" s="36" t="s">
        <v>134</v>
      </c>
      <c r="EL31" s="36" t="s">
        <v>134</v>
      </c>
      <c r="EM31" s="36" t="s">
        <v>134</v>
      </c>
      <c r="EN31" s="36" t="s">
        <v>134</v>
      </c>
      <c r="EO31" s="36" t="s">
        <v>134</v>
      </c>
      <c r="EP31" s="36" t="s">
        <v>134</v>
      </c>
      <c r="EQ31" s="36" t="s">
        <v>275</v>
      </c>
      <c r="ER31" s="36" t="str">
        <f>IF(OR(EQ31=CaractAmostra!$BD$9,EQ31=CaractAmostra!$BD$10,EQ31=CaractAmostra!$BD$11,EQ31=CaractAmostra!$BD$12,EQ31=CaractAmostra!$BD$13),Respostas_Formatadas!EQ31,"Outros")</f>
        <v>Com os pais</v>
      </c>
      <c r="ES31" s="36" t="s">
        <v>275</v>
      </c>
      <c r="ET31" s="36" t="str">
        <f>IF(OR(ES31=CaractAmostra!$BH$9,ES31=CaractAmostra!$BH$10,ES31=CaractAmostra!$BH$11,ES31=CaractAmostra!$BH$12),Respostas_Formatadas!ES31,"Outros")</f>
        <v>Com os pais</v>
      </c>
      <c r="EU31" s="36" t="s">
        <v>134</v>
      </c>
      <c r="EV31" s="36" t="s">
        <v>283</v>
      </c>
      <c r="EW31" s="36" t="s">
        <v>282</v>
      </c>
      <c r="FE31" s="47">
        <v>2016</v>
      </c>
      <c r="FF31" s="97">
        <v>7.9425999999999997</v>
      </c>
      <c r="FI31" s="47" t="str">
        <f t="shared" si="0"/>
        <v>Aracaju</v>
      </c>
      <c r="FJ31" s="47" t="str">
        <f t="shared" si="1"/>
        <v>Licenciatura</v>
      </c>
    </row>
    <row r="32" spans="1:166" s="36" customFormat="1" ht="15.75" customHeight="1" x14ac:dyDescent="0.2">
      <c r="A32" s="38">
        <v>43405.794878009256</v>
      </c>
      <c r="C32" s="36" t="s">
        <v>126</v>
      </c>
      <c r="D32" s="47" t="s">
        <v>134</v>
      </c>
      <c r="M32" s="36" t="s">
        <v>147</v>
      </c>
      <c r="N32" s="36" t="s">
        <v>133</v>
      </c>
      <c r="O32" s="36" t="s">
        <v>133</v>
      </c>
      <c r="P32" s="36" t="s">
        <v>134</v>
      </c>
      <c r="Q32" s="36" t="s">
        <v>134</v>
      </c>
      <c r="R32" s="36" t="s">
        <v>151</v>
      </c>
      <c r="Y32" s="36" t="s">
        <v>166</v>
      </c>
      <c r="AC32" s="36" t="s">
        <v>181</v>
      </c>
      <c r="AD32" s="36" t="s">
        <v>379</v>
      </c>
      <c r="AE32" s="36">
        <v>5</v>
      </c>
      <c r="AF32" s="36" t="s">
        <v>187</v>
      </c>
      <c r="AG32" s="36" t="s">
        <v>187</v>
      </c>
      <c r="AH32" s="36" t="s">
        <v>134</v>
      </c>
      <c r="AI32" s="40">
        <v>2500</v>
      </c>
      <c r="AJ32" s="36">
        <v>5</v>
      </c>
      <c r="AK32" s="36">
        <v>5</v>
      </c>
      <c r="AL32" s="36" t="s">
        <v>133</v>
      </c>
      <c r="AP32" s="36" t="s">
        <v>379</v>
      </c>
      <c r="AQ32" s="40">
        <v>2700</v>
      </c>
      <c r="AR32" s="36">
        <v>1</v>
      </c>
      <c r="AS32" s="36">
        <v>5</v>
      </c>
      <c r="AT32" s="36">
        <v>3</v>
      </c>
      <c r="AU32" s="36">
        <v>3</v>
      </c>
      <c r="AV32" s="36">
        <v>3</v>
      </c>
      <c r="AW32" s="36" t="s">
        <v>197</v>
      </c>
      <c r="AX32" s="36" t="s">
        <v>206</v>
      </c>
      <c r="AY32" s="36" t="s">
        <v>210</v>
      </c>
      <c r="AZ32" s="36" t="s">
        <v>133</v>
      </c>
      <c r="BA32" s="36" t="s">
        <v>170</v>
      </c>
      <c r="BB32" s="36" t="s">
        <v>380</v>
      </c>
      <c r="BC32" s="36" t="s">
        <v>291</v>
      </c>
      <c r="BD32" s="36" t="s">
        <v>187</v>
      </c>
      <c r="BE32" s="36" t="s">
        <v>217</v>
      </c>
      <c r="BG32" s="36">
        <v>4</v>
      </c>
      <c r="BH32" s="36">
        <v>5</v>
      </c>
      <c r="BI32" s="36">
        <v>4</v>
      </c>
      <c r="BJ32" s="36">
        <v>3</v>
      </c>
      <c r="BK32" s="36">
        <v>4</v>
      </c>
      <c r="BL32" s="36">
        <v>4</v>
      </c>
      <c r="BM32" s="36">
        <v>4</v>
      </c>
      <c r="BN32" s="36">
        <v>5</v>
      </c>
      <c r="BO32" s="36">
        <v>4</v>
      </c>
      <c r="BP32" s="36">
        <v>5</v>
      </c>
      <c r="BQ32" s="36">
        <v>5</v>
      </c>
      <c r="BR32" s="36">
        <v>3</v>
      </c>
      <c r="BS32" s="36">
        <v>1</v>
      </c>
      <c r="BT32" s="36">
        <v>4</v>
      </c>
      <c r="BU32" s="36">
        <v>5</v>
      </c>
      <c r="BV32" s="36">
        <v>4</v>
      </c>
      <c r="BW32" s="36">
        <v>3</v>
      </c>
      <c r="BX32" s="36">
        <v>4</v>
      </c>
      <c r="BY32" s="36">
        <v>4</v>
      </c>
      <c r="BZ32" s="36">
        <v>5</v>
      </c>
      <c r="CA32" s="36">
        <v>5</v>
      </c>
      <c r="CB32" s="36">
        <v>5</v>
      </c>
      <c r="CC32" s="36">
        <v>4</v>
      </c>
      <c r="CD32" s="36">
        <v>4</v>
      </c>
      <c r="CE32" s="36">
        <v>4</v>
      </c>
      <c r="CF32" s="36">
        <v>4</v>
      </c>
      <c r="CG32" s="36">
        <v>4</v>
      </c>
      <c r="CH32" s="36" t="s">
        <v>222</v>
      </c>
      <c r="CI32"/>
      <c r="CJ32"/>
      <c r="CK32" s="36" t="s">
        <v>234</v>
      </c>
      <c r="CL32"/>
      <c r="CM32"/>
      <c r="CN32" s="36" t="s">
        <v>242</v>
      </c>
      <c r="CO32" s="36" t="s">
        <v>134</v>
      </c>
      <c r="CP32" s="36">
        <v>3</v>
      </c>
      <c r="CQ32" s="36">
        <v>3</v>
      </c>
      <c r="CR32" s="36" t="s">
        <v>249</v>
      </c>
      <c r="CS32" s="36">
        <v>3</v>
      </c>
      <c r="CT32" s="36">
        <v>3</v>
      </c>
      <c r="CU32" s="36">
        <v>3</v>
      </c>
      <c r="CV32" s="36">
        <v>4</v>
      </c>
      <c r="CW32" s="36">
        <v>4</v>
      </c>
      <c r="CX32" s="36">
        <v>5</v>
      </c>
      <c r="CY32" s="36">
        <v>2</v>
      </c>
      <c r="CZ32" s="36">
        <v>2</v>
      </c>
      <c r="DA32" s="36">
        <v>1</v>
      </c>
      <c r="DB32" s="36">
        <v>2</v>
      </c>
      <c r="DC32" s="36">
        <v>2</v>
      </c>
      <c r="DD32" s="36">
        <v>3</v>
      </c>
      <c r="DE32" s="36">
        <v>4</v>
      </c>
      <c r="DF32" s="36">
        <v>4</v>
      </c>
      <c r="DG32" s="36">
        <v>5</v>
      </c>
      <c r="DH32" s="36">
        <v>3</v>
      </c>
      <c r="DI32" s="36" t="s">
        <v>133</v>
      </c>
      <c r="DJ32" s="36" t="s">
        <v>134</v>
      </c>
      <c r="DL32"/>
      <c r="DM32"/>
      <c r="DN32"/>
      <c r="DO32"/>
      <c r="DP32"/>
      <c r="DR32" s="36" t="s">
        <v>134</v>
      </c>
      <c r="DT32"/>
      <c r="DU32"/>
      <c r="DV32"/>
      <c r="DW32"/>
      <c r="DX32"/>
      <c r="DZ32" s="36" t="s">
        <v>134</v>
      </c>
      <c r="EB32" s="36" t="s">
        <v>262</v>
      </c>
      <c r="EC32" s="36" t="s">
        <v>267</v>
      </c>
      <c r="ED32" s="36">
        <v>42</v>
      </c>
      <c r="EE32" s="36" t="s">
        <v>291</v>
      </c>
      <c r="EF32" s="36" t="str">
        <f>Tabulacao!MC32</f>
        <v>Lagarto</v>
      </c>
      <c r="EG32" s="36" t="s">
        <v>381</v>
      </c>
      <c r="EH32" s="36" t="str">
        <f>Tabulacao!MG32</f>
        <v>Lagarto</v>
      </c>
      <c r="EI32" s="36" t="s">
        <v>291</v>
      </c>
      <c r="EJ32" s="36" t="str">
        <f>Tabulacao!MK32</f>
        <v>Lagarto</v>
      </c>
      <c r="EK32" s="36" t="s">
        <v>134</v>
      </c>
      <c r="EL32" s="36" t="s">
        <v>134</v>
      </c>
      <c r="EM32" s="36" t="s">
        <v>134</v>
      </c>
      <c r="EN32" s="36" t="s">
        <v>134</v>
      </c>
      <c r="EO32" s="36" t="s">
        <v>134</v>
      </c>
      <c r="EP32" s="36" t="s">
        <v>134</v>
      </c>
      <c r="EQ32" s="36" t="s">
        <v>275</v>
      </c>
      <c r="ER32" s="36" t="str">
        <f>IF(OR(EQ32=CaractAmostra!$BD$9,EQ32=CaractAmostra!$BD$10,EQ32=CaractAmostra!$BD$11,EQ32=CaractAmostra!$BD$12,EQ32=CaractAmostra!$BD$13),Respostas_Formatadas!EQ32,"Outros")</f>
        <v>Com os pais</v>
      </c>
      <c r="ES32" s="36" t="s">
        <v>274</v>
      </c>
      <c r="ET32" s="36" t="str">
        <f>IF(OR(ES32=CaractAmostra!$BH$9,ES32=CaractAmostra!$BH$10,ES32=CaractAmostra!$BH$11,ES32=CaractAmostra!$BH$12),Respostas_Formatadas!ES32,"Outros")</f>
        <v>Com um(a) parceiro(a)</v>
      </c>
      <c r="EU32" s="36" t="s">
        <v>279</v>
      </c>
      <c r="EV32" s="36" t="s">
        <v>282</v>
      </c>
      <c r="EW32" s="36" t="s">
        <v>282</v>
      </c>
      <c r="FE32" s="47">
        <v>2016</v>
      </c>
      <c r="FF32" s="97">
        <v>7.3114999999999997</v>
      </c>
      <c r="FI32" s="47" t="str">
        <f t="shared" si="0"/>
        <v>Lagarto</v>
      </c>
      <c r="FJ32" s="47" t="str">
        <f t="shared" si="1"/>
        <v>Tecnologia</v>
      </c>
    </row>
    <row r="33" spans="1:166" s="36" customFormat="1" ht="15.75" customHeight="1" x14ac:dyDescent="0.2">
      <c r="A33" s="38">
        <v>43405.79777853009</v>
      </c>
      <c r="C33" s="36" t="s">
        <v>125</v>
      </c>
      <c r="D33" s="47" t="s">
        <v>134</v>
      </c>
      <c r="M33" s="36" t="s">
        <v>146</v>
      </c>
      <c r="N33" s="36" t="s">
        <v>133</v>
      </c>
      <c r="O33" s="36" t="s">
        <v>133</v>
      </c>
      <c r="P33" s="36" t="s">
        <v>133</v>
      </c>
      <c r="Q33" s="36" t="s">
        <v>134</v>
      </c>
      <c r="R33" s="36" t="s">
        <v>151</v>
      </c>
      <c r="Y33" s="36" t="s">
        <v>166</v>
      </c>
      <c r="AC33" s="36" t="s">
        <v>185</v>
      </c>
      <c r="AD33" s="36" t="s">
        <v>382</v>
      </c>
      <c r="AE33" s="36">
        <v>3</v>
      </c>
      <c r="AF33" s="36" t="s">
        <v>189</v>
      </c>
      <c r="AG33" s="36" t="s">
        <v>189</v>
      </c>
      <c r="AH33" s="36" t="s">
        <v>134</v>
      </c>
      <c r="AI33" s="40">
        <v>1000</v>
      </c>
      <c r="AJ33" s="36">
        <v>5</v>
      </c>
      <c r="AK33" s="36">
        <v>1</v>
      </c>
      <c r="AL33" s="36" t="s">
        <v>134</v>
      </c>
      <c r="AM33" s="36" t="s">
        <v>170</v>
      </c>
      <c r="AN33" s="36">
        <v>1</v>
      </c>
      <c r="AO33" s="36" t="s">
        <v>134</v>
      </c>
      <c r="AQ33" s="40"/>
      <c r="BT33" s="36">
        <v>4</v>
      </c>
      <c r="BU33" s="36">
        <v>4</v>
      </c>
      <c r="BV33" s="36">
        <v>5</v>
      </c>
      <c r="BW33" s="36">
        <v>4</v>
      </c>
      <c r="BX33" s="36">
        <v>4</v>
      </c>
      <c r="BY33" s="36">
        <v>5</v>
      </c>
      <c r="BZ33" s="36">
        <v>5</v>
      </c>
      <c r="CA33" s="36">
        <v>5</v>
      </c>
      <c r="CB33" s="36">
        <v>4</v>
      </c>
      <c r="CC33" s="36">
        <v>4</v>
      </c>
      <c r="CD33" s="36">
        <v>4</v>
      </c>
      <c r="CE33" s="36">
        <v>3</v>
      </c>
      <c r="CF33" s="36">
        <v>2</v>
      </c>
      <c r="CG33" s="36">
        <v>5</v>
      </c>
      <c r="CH33" s="36" t="s">
        <v>225</v>
      </c>
      <c r="CI33" t="s">
        <v>226</v>
      </c>
      <c r="CJ33" t="s">
        <v>227</v>
      </c>
      <c r="CK33" s="36" t="s">
        <v>233</v>
      </c>
      <c r="CL33"/>
      <c r="CM33"/>
      <c r="CN33" s="36" t="s">
        <v>241</v>
      </c>
      <c r="CO33" s="36" t="s">
        <v>133</v>
      </c>
      <c r="CP33" s="36">
        <v>1</v>
      </c>
      <c r="CQ33" s="36">
        <v>5</v>
      </c>
      <c r="CR33" s="36" t="s">
        <v>248</v>
      </c>
      <c r="CS33" s="36">
        <v>5</v>
      </c>
      <c r="CT33" s="36">
        <v>4</v>
      </c>
      <c r="CU33" s="36">
        <v>4</v>
      </c>
      <c r="CV33" s="36">
        <v>4</v>
      </c>
      <c r="CW33" s="36">
        <v>4</v>
      </c>
      <c r="CX33" s="36">
        <v>5</v>
      </c>
      <c r="CY33" s="36">
        <v>5</v>
      </c>
      <c r="CZ33" s="36">
        <v>4</v>
      </c>
      <c r="DA33" s="36">
        <v>3</v>
      </c>
      <c r="DB33" s="36">
        <v>5</v>
      </c>
      <c r="DC33" s="36">
        <v>2</v>
      </c>
      <c r="DD33" s="36">
        <v>4</v>
      </c>
      <c r="DE33" s="36">
        <v>4</v>
      </c>
      <c r="DF33" s="36">
        <v>5</v>
      </c>
      <c r="DG33" s="36">
        <v>5</v>
      </c>
      <c r="DH33" s="36">
        <v>4</v>
      </c>
      <c r="DI33" s="36" t="s">
        <v>133</v>
      </c>
      <c r="DJ33" s="36" t="s">
        <v>134</v>
      </c>
      <c r="DL33"/>
      <c r="DM33"/>
      <c r="DN33"/>
      <c r="DO33"/>
      <c r="DP33"/>
      <c r="DR33" s="36" t="s">
        <v>134</v>
      </c>
      <c r="DT33"/>
      <c r="DU33"/>
      <c r="DV33"/>
      <c r="DW33"/>
      <c r="DX33"/>
      <c r="DZ33" s="36" t="s">
        <v>133</v>
      </c>
      <c r="EA33" s="36">
        <v>5</v>
      </c>
      <c r="EB33" s="36" t="s">
        <v>263</v>
      </c>
      <c r="EC33" s="36" t="s">
        <v>265</v>
      </c>
      <c r="ED33" s="36">
        <v>26</v>
      </c>
      <c r="EE33" s="36" t="s">
        <v>383</v>
      </c>
      <c r="EF33" s="36" t="str">
        <f>Tabulacao!MC33</f>
        <v>Nossa Senhora do Socorro</v>
      </c>
      <c r="EG33" s="36" t="s">
        <v>383</v>
      </c>
      <c r="EH33" s="36" t="str">
        <f>Tabulacao!MG33</f>
        <v>Nossa Senhora do Socorro</v>
      </c>
      <c r="EI33" s="36" t="s">
        <v>383</v>
      </c>
      <c r="EJ33" s="36" t="str">
        <f>Tabulacao!MK33</f>
        <v>Nossa Senhora do Socorro</v>
      </c>
      <c r="EK33" s="36" t="s">
        <v>134</v>
      </c>
      <c r="EL33" s="36" t="s">
        <v>134</v>
      </c>
      <c r="EM33" s="36" t="s">
        <v>134</v>
      </c>
      <c r="EN33" s="36" t="s">
        <v>134</v>
      </c>
      <c r="EO33" s="36" t="s">
        <v>134</v>
      </c>
      <c r="EP33" s="36" t="s">
        <v>134</v>
      </c>
      <c r="EQ33" s="36" t="s">
        <v>275</v>
      </c>
      <c r="ER33" s="36" t="str">
        <f>IF(OR(EQ33=CaractAmostra!$BD$9,EQ33=CaractAmostra!$BD$10,EQ33=CaractAmostra!$BD$11,EQ33=CaractAmostra!$BD$12,EQ33=CaractAmostra!$BD$13),Respostas_Formatadas!EQ33,"Outros")</f>
        <v>Com os pais</v>
      </c>
      <c r="ES33" s="36" t="s">
        <v>275</v>
      </c>
      <c r="ET33" s="36" t="str">
        <f>IF(OR(ES33=CaractAmostra!$BH$9,ES33=CaractAmostra!$BH$10,ES33=CaractAmostra!$BH$11,ES33=CaractAmostra!$BH$12),Respostas_Formatadas!ES33,"Outros")</f>
        <v>Com os pais</v>
      </c>
      <c r="EU33" s="36" t="s">
        <v>134</v>
      </c>
      <c r="EV33" s="36" t="s">
        <v>282</v>
      </c>
      <c r="EW33" s="36" t="s">
        <v>285</v>
      </c>
      <c r="FE33" s="47">
        <v>2014</v>
      </c>
      <c r="FF33" s="97">
        <v>7.7789000000000001</v>
      </c>
      <c r="FI33" s="47" t="str">
        <f t="shared" si="0"/>
        <v>Aracaju</v>
      </c>
      <c r="FJ33" s="47" t="str">
        <f t="shared" si="1"/>
        <v>Tecnologia</v>
      </c>
    </row>
    <row r="34" spans="1:166" s="36" customFormat="1" ht="15.75" customHeight="1" x14ac:dyDescent="0.2">
      <c r="A34" s="38">
        <v>43405.798676736114</v>
      </c>
      <c r="C34" s="36" t="s">
        <v>119</v>
      </c>
      <c r="D34" s="47" t="s">
        <v>133</v>
      </c>
      <c r="E34" s="36" t="s">
        <v>138</v>
      </c>
      <c r="H34" s="36" t="s">
        <v>142</v>
      </c>
      <c r="M34" s="36" t="s">
        <v>147</v>
      </c>
      <c r="N34" s="36" t="s">
        <v>134</v>
      </c>
      <c r="O34" s="36" t="s">
        <v>133</v>
      </c>
      <c r="P34" s="36" t="s">
        <v>134</v>
      </c>
      <c r="Q34" s="36" t="s">
        <v>133</v>
      </c>
      <c r="R34" s="36" t="s">
        <v>151</v>
      </c>
      <c r="Y34" s="36" t="s">
        <v>165</v>
      </c>
      <c r="Z34" s="36" t="s">
        <v>167</v>
      </c>
      <c r="AA34" s="36" t="s">
        <v>172</v>
      </c>
      <c r="AB34" s="36" t="s">
        <v>184</v>
      </c>
      <c r="AD34" s="36" t="s">
        <v>384</v>
      </c>
      <c r="AE34" s="36">
        <v>5</v>
      </c>
      <c r="AF34" s="36" t="s">
        <v>190</v>
      </c>
      <c r="AG34" s="36" t="s">
        <v>190</v>
      </c>
      <c r="AH34" s="36" t="s">
        <v>134</v>
      </c>
      <c r="AI34" s="40">
        <v>3127</v>
      </c>
      <c r="AJ34" s="36">
        <v>5</v>
      </c>
      <c r="AK34" s="36">
        <v>5</v>
      </c>
      <c r="AL34" s="36" t="s">
        <v>134</v>
      </c>
      <c r="AM34" s="36" t="s">
        <v>168</v>
      </c>
      <c r="AN34" s="36">
        <v>2</v>
      </c>
      <c r="AO34" s="36" t="s">
        <v>134</v>
      </c>
      <c r="AQ34" s="40"/>
      <c r="BT34" s="36">
        <v>5</v>
      </c>
      <c r="BU34" s="36">
        <v>5</v>
      </c>
      <c r="BV34" s="36">
        <v>5</v>
      </c>
      <c r="BW34" s="36">
        <v>5</v>
      </c>
      <c r="BX34" s="36">
        <v>5</v>
      </c>
      <c r="BY34" s="36">
        <v>5</v>
      </c>
      <c r="BZ34" s="36">
        <v>5</v>
      </c>
      <c r="CA34" s="36">
        <v>5</v>
      </c>
      <c r="CB34" s="36">
        <v>5</v>
      </c>
      <c r="CC34" s="36">
        <v>5</v>
      </c>
      <c r="CD34" s="36">
        <v>5</v>
      </c>
      <c r="CE34" s="36">
        <v>5</v>
      </c>
      <c r="CF34" s="36">
        <v>3</v>
      </c>
      <c r="CG34" s="36">
        <v>4</v>
      </c>
      <c r="CH34" s="36" t="s">
        <v>222</v>
      </c>
      <c r="CI34" t="s">
        <v>223</v>
      </c>
      <c r="CJ34" t="s">
        <v>225</v>
      </c>
      <c r="CK34" s="36" t="s">
        <v>234</v>
      </c>
      <c r="CL34"/>
      <c r="CM34"/>
      <c r="CN34" s="36" t="s">
        <v>241</v>
      </c>
      <c r="CO34" s="36" t="s">
        <v>134</v>
      </c>
      <c r="CP34" s="36">
        <v>1</v>
      </c>
      <c r="CQ34" s="36">
        <v>4</v>
      </c>
      <c r="CR34" s="36" t="s">
        <v>249</v>
      </c>
      <c r="CS34" s="36">
        <v>1</v>
      </c>
      <c r="CT34" s="36">
        <v>1</v>
      </c>
      <c r="CU34" s="36">
        <v>5</v>
      </c>
      <c r="CV34" s="36">
        <v>3</v>
      </c>
      <c r="CW34" s="36">
        <v>3</v>
      </c>
      <c r="CX34" s="36">
        <v>3</v>
      </c>
      <c r="CY34" s="36">
        <v>3</v>
      </c>
      <c r="CZ34" s="36">
        <v>2</v>
      </c>
      <c r="DA34" s="36">
        <v>2</v>
      </c>
      <c r="DB34" s="36">
        <v>2</v>
      </c>
      <c r="DC34" s="36">
        <v>3</v>
      </c>
      <c r="DD34" s="36">
        <v>3</v>
      </c>
      <c r="DE34" s="36">
        <v>3</v>
      </c>
      <c r="DF34" s="36">
        <v>3</v>
      </c>
      <c r="DG34" s="36">
        <v>3</v>
      </c>
      <c r="DH34" s="36">
        <v>3</v>
      </c>
      <c r="DI34" s="36" t="s">
        <v>133</v>
      </c>
      <c r="DJ34" s="36" t="s">
        <v>133</v>
      </c>
      <c r="DK34" s="36" t="s">
        <v>254</v>
      </c>
      <c r="DL34" t="s">
        <v>255</v>
      </c>
      <c r="DM34"/>
      <c r="DN34"/>
      <c r="DO34" t="s">
        <v>256</v>
      </c>
      <c r="DP34" t="s">
        <v>257</v>
      </c>
      <c r="DQ34" s="36">
        <v>5</v>
      </c>
      <c r="DR34" s="36" t="s">
        <v>133</v>
      </c>
      <c r="DS34" s="36" t="s">
        <v>259</v>
      </c>
      <c r="DT34"/>
      <c r="DU34"/>
      <c r="DV34" t="s">
        <v>260</v>
      </c>
      <c r="DW34" t="s">
        <v>261</v>
      </c>
      <c r="DX34"/>
      <c r="DY34" s="36">
        <v>5</v>
      </c>
      <c r="DZ34" s="36" t="s">
        <v>133</v>
      </c>
      <c r="EA34" s="36">
        <v>5</v>
      </c>
      <c r="EB34" s="36" t="s">
        <v>263</v>
      </c>
      <c r="EC34" s="36" t="s">
        <v>267</v>
      </c>
      <c r="ED34" s="36">
        <v>26</v>
      </c>
      <c r="EE34" s="36" t="s">
        <v>385</v>
      </c>
      <c r="EF34" s="36" t="str">
        <f>Tabulacao!MC34</f>
        <v>Acajutiba - BA</v>
      </c>
      <c r="EG34" s="36" t="s">
        <v>292</v>
      </c>
      <c r="EH34" s="36" t="str">
        <f>Tabulacao!MG34</f>
        <v>Aracaju</v>
      </c>
      <c r="EI34" s="36" t="s">
        <v>292</v>
      </c>
      <c r="EJ34" s="36" t="str">
        <f>Tabulacao!MK34</f>
        <v>Aracaju</v>
      </c>
      <c r="EK34" s="36" t="s">
        <v>134</v>
      </c>
      <c r="EL34" s="36" t="s">
        <v>270</v>
      </c>
      <c r="EM34" s="36" t="s">
        <v>134</v>
      </c>
      <c r="EN34" s="36" t="s">
        <v>134</v>
      </c>
      <c r="EO34" s="36" t="s">
        <v>134</v>
      </c>
      <c r="EP34" s="36" t="s">
        <v>134</v>
      </c>
      <c r="EQ34" s="36" t="s">
        <v>386</v>
      </c>
      <c r="ER34" s="36" t="str">
        <f>IF(OR(EQ34=CaractAmostra!$BD$9,EQ34=CaractAmostra!$BD$10,EQ34=CaractAmostra!$BD$11,EQ34=CaractAmostra!$BD$12,EQ34=CaractAmostra!$BD$13),Respostas_Formatadas!EQ34,"Outros")</f>
        <v>Outros</v>
      </c>
      <c r="ES34" s="36" t="s">
        <v>387</v>
      </c>
      <c r="ET34" s="36" t="str">
        <f>IF(OR(ES34=CaractAmostra!$BH$9,ES34=CaractAmostra!$BH$10,ES34=CaractAmostra!$BH$11,ES34=CaractAmostra!$BH$12),Respostas_Formatadas!ES34,"Outros")</f>
        <v>Outros</v>
      </c>
      <c r="EU34" s="36" t="s">
        <v>134</v>
      </c>
      <c r="EV34" s="36" t="s">
        <v>282</v>
      </c>
      <c r="EW34" s="36" t="s">
        <v>192</v>
      </c>
      <c r="FE34" s="47">
        <v>2017</v>
      </c>
      <c r="FF34" s="97">
        <v>7.2847</v>
      </c>
      <c r="FI34" s="47" t="str">
        <f t="shared" si="0"/>
        <v>Aracaju</v>
      </c>
      <c r="FJ34" s="47" t="str">
        <f t="shared" si="1"/>
        <v>Bacharelado</v>
      </c>
    </row>
    <row r="35" spans="1:166" s="36" customFormat="1" ht="15.75" customHeight="1" x14ac:dyDescent="0.2">
      <c r="A35" s="38">
        <v>43405.807874143517</v>
      </c>
      <c r="C35" s="36" t="s">
        <v>121</v>
      </c>
      <c r="D35" s="47" t="s">
        <v>133</v>
      </c>
      <c r="E35" s="36" t="s">
        <v>135</v>
      </c>
      <c r="H35" s="36" t="s">
        <v>141</v>
      </c>
      <c r="I35" s="36" t="s">
        <v>142</v>
      </c>
      <c r="J35" s="36" t="s">
        <v>144</v>
      </c>
      <c r="M35" s="36" t="s">
        <v>146</v>
      </c>
      <c r="N35" s="36" t="s">
        <v>134</v>
      </c>
      <c r="O35" s="36" t="s">
        <v>134</v>
      </c>
      <c r="P35" s="36" t="s">
        <v>133</v>
      </c>
      <c r="Q35" s="36" t="s">
        <v>133</v>
      </c>
      <c r="R35" s="36" t="s">
        <v>153</v>
      </c>
      <c r="S35" s="36" t="s">
        <v>725</v>
      </c>
      <c r="T35" s="36" t="s">
        <v>154</v>
      </c>
      <c r="U35" s="36" t="s">
        <v>156</v>
      </c>
      <c r="V35" s="36">
        <v>5</v>
      </c>
      <c r="W35" s="36">
        <v>1</v>
      </c>
      <c r="X35" s="36">
        <v>5</v>
      </c>
      <c r="Y35" s="36" t="s">
        <v>165</v>
      </c>
      <c r="Z35" s="36" t="s">
        <v>169</v>
      </c>
      <c r="AA35" s="36" t="s">
        <v>172</v>
      </c>
      <c r="AB35" s="36" t="s">
        <v>178</v>
      </c>
      <c r="AD35" s="36" t="s">
        <v>388</v>
      </c>
      <c r="AE35" s="36">
        <v>5</v>
      </c>
      <c r="AF35" s="36" t="s">
        <v>189</v>
      </c>
      <c r="AG35" s="36" t="s">
        <v>189</v>
      </c>
      <c r="AH35" s="36" t="s">
        <v>134</v>
      </c>
      <c r="AI35" s="40">
        <v>600</v>
      </c>
      <c r="AJ35" s="36">
        <v>5</v>
      </c>
      <c r="AK35" s="36">
        <v>3</v>
      </c>
      <c r="AL35" s="36" t="s">
        <v>133</v>
      </c>
      <c r="AP35" s="36" t="s">
        <v>388</v>
      </c>
      <c r="AQ35" s="40">
        <v>600</v>
      </c>
      <c r="AR35" s="36">
        <v>1</v>
      </c>
      <c r="AS35" s="36">
        <v>5</v>
      </c>
      <c r="AT35" s="36">
        <v>4</v>
      </c>
      <c r="AU35" s="36">
        <v>5</v>
      </c>
      <c r="AV35" s="36">
        <v>5</v>
      </c>
      <c r="AW35" s="36" t="s">
        <v>192</v>
      </c>
      <c r="AX35" s="36" t="s">
        <v>203</v>
      </c>
      <c r="AY35" s="36" t="s">
        <v>210</v>
      </c>
      <c r="AZ35" s="36" t="s">
        <v>133</v>
      </c>
      <c r="BA35" s="36" t="s">
        <v>167</v>
      </c>
      <c r="BB35" s="36" t="s">
        <v>389</v>
      </c>
      <c r="BC35" s="36" t="s">
        <v>358</v>
      </c>
      <c r="BD35" s="36" t="s">
        <v>189</v>
      </c>
      <c r="BF35" s="36" t="s">
        <v>219</v>
      </c>
      <c r="BG35" s="36">
        <v>5</v>
      </c>
      <c r="BH35" s="36">
        <v>5</v>
      </c>
      <c r="BI35" s="36">
        <v>3</v>
      </c>
      <c r="BJ35" s="36">
        <v>1</v>
      </c>
      <c r="BK35" s="36">
        <v>5</v>
      </c>
      <c r="BL35" s="36">
        <v>5</v>
      </c>
      <c r="BM35" s="36">
        <v>5</v>
      </c>
      <c r="BN35" s="36">
        <v>4</v>
      </c>
      <c r="BO35" s="36">
        <v>5</v>
      </c>
      <c r="BP35" s="36">
        <v>5</v>
      </c>
      <c r="BQ35" s="36">
        <v>1</v>
      </c>
      <c r="BR35" s="36">
        <v>1</v>
      </c>
      <c r="BS35" s="36">
        <v>1</v>
      </c>
      <c r="BT35" s="36">
        <v>5</v>
      </c>
      <c r="BU35" s="36">
        <v>4</v>
      </c>
      <c r="BV35" s="36">
        <v>3</v>
      </c>
      <c r="BW35" s="36">
        <v>1</v>
      </c>
      <c r="BX35" s="36">
        <v>3</v>
      </c>
      <c r="BY35" s="36">
        <v>3</v>
      </c>
      <c r="BZ35" s="36">
        <v>5</v>
      </c>
      <c r="CA35" s="36">
        <v>4</v>
      </c>
      <c r="CB35" s="36">
        <v>5</v>
      </c>
      <c r="CC35" s="36">
        <v>2</v>
      </c>
      <c r="CD35" s="36">
        <v>1</v>
      </c>
      <c r="CE35" s="36">
        <v>1</v>
      </c>
      <c r="CF35" s="36">
        <v>1</v>
      </c>
      <c r="CG35" s="36">
        <v>4</v>
      </c>
      <c r="CH35" s="36" t="s">
        <v>225</v>
      </c>
      <c r="CI35" t="s">
        <v>226</v>
      </c>
      <c r="CJ35" t="s">
        <v>229</v>
      </c>
      <c r="CK35" s="36" t="s">
        <v>233</v>
      </c>
      <c r="CL35"/>
      <c r="CM35"/>
      <c r="CN35" s="36" t="s">
        <v>242</v>
      </c>
      <c r="CO35" s="36" t="s">
        <v>134</v>
      </c>
      <c r="CP35" s="36">
        <v>1</v>
      </c>
      <c r="CQ35" s="36">
        <v>3</v>
      </c>
      <c r="CR35" s="36" t="s">
        <v>248</v>
      </c>
      <c r="CS35" s="36">
        <v>3</v>
      </c>
      <c r="CT35" s="36">
        <v>2</v>
      </c>
      <c r="CU35" s="36">
        <v>5</v>
      </c>
      <c r="CV35" s="36">
        <v>2</v>
      </c>
      <c r="CW35" s="36">
        <v>3</v>
      </c>
      <c r="CX35" s="36">
        <v>3</v>
      </c>
      <c r="CY35" s="36">
        <v>4</v>
      </c>
      <c r="CZ35" s="36">
        <v>5</v>
      </c>
      <c r="DA35" s="36">
        <v>3</v>
      </c>
      <c r="DB35" s="36">
        <v>5</v>
      </c>
      <c r="DC35" s="36">
        <v>4</v>
      </c>
      <c r="DD35" s="36">
        <v>5</v>
      </c>
      <c r="DE35" s="36">
        <v>5</v>
      </c>
      <c r="DF35" s="36">
        <v>5</v>
      </c>
      <c r="DG35" s="36">
        <v>5</v>
      </c>
      <c r="DH35" s="36">
        <v>1</v>
      </c>
      <c r="DI35" s="36" t="s">
        <v>133</v>
      </c>
      <c r="DJ35" s="36" t="s">
        <v>133</v>
      </c>
      <c r="DK35" s="36" t="s">
        <v>254</v>
      </c>
      <c r="DL35" t="s">
        <v>255</v>
      </c>
      <c r="DM35"/>
      <c r="DN35"/>
      <c r="DO35" t="s">
        <v>256</v>
      </c>
      <c r="DP35" t="s">
        <v>257</v>
      </c>
      <c r="DQ35" s="36">
        <v>5</v>
      </c>
      <c r="DR35" s="36" t="s">
        <v>133</v>
      </c>
      <c r="DS35" s="36" t="s">
        <v>258</v>
      </c>
      <c r="DT35" t="s">
        <v>259</v>
      </c>
      <c r="DU35"/>
      <c r="DV35"/>
      <c r="DW35" t="s">
        <v>261</v>
      </c>
      <c r="DX35"/>
      <c r="DY35" s="36">
        <v>5</v>
      </c>
      <c r="DZ35" s="36" t="s">
        <v>133</v>
      </c>
      <c r="EA35" s="36">
        <v>5</v>
      </c>
      <c r="EB35" s="36" t="s">
        <v>263</v>
      </c>
      <c r="EC35" s="36" t="s">
        <v>264</v>
      </c>
      <c r="ED35" s="36">
        <v>23</v>
      </c>
      <c r="EE35" s="36" t="s">
        <v>358</v>
      </c>
      <c r="EF35" s="36" t="str">
        <f>Tabulacao!MC35</f>
        <v>Nossa Senhora do Socorro</v>
      </c>
      <c r="EG35" s="36" t="s">
        <v>358</v>
      </c>
      <c r="EH35" s="36" t="str">
        <f>Tabulacao!MG35</f>
        <v>Nossa Senhora do Socorro</v>
      </c>
      <c r="EI35" s="36" t="s">
        <v>358</v>
      </c>
      <c r="EJ35" s="36" t="str">
        <f>Tabulacao!MK35</f>
        <v>Nossa Senhora do Socorro</v>
      </c>
      <c r="EK35" s="36" t="s">
        <v>134</v>
      </c>
      <c r="EL35" s="36" t="s">
        <v>134</v>
      </c>
      <c r="EM35" s="36" t="s">
        <v>134</v>
      </c>
      <c r="EN35" s="36" t="s">
        <v>134</v>
      </c>
      <c r="EO35" s="36" t="s">
        <v>134</v>
      </c>
      <c r="EP35" s="36" t="s">
        <v>134</v>
      </c>
      <c r="EQ35" s="36" t="s">
        <v>275</v>
      </c>
      <c r="ER35" s="36" t="str">
        <f>IF(OR(EQ35=CaractAmostra!$BD$9,EQ35=CaractAmostra!$BD$10,EQ35=CaractAmostra!$BD$11,EQ35=CaractAmostra!$BD$12,EQ35=CaractAmostra!$BD$13),Respostas_Formatadas!EQ35,"Outros")</f>
        <v>Com os pais</v>
      </c>
      <c r="ES35" s="36" t="s">
        <v>275</v>
      </c>
      <c r="ET35" s="36" t="str">
        <f>IF(OR(ES35=CaractAmostra!$BH$9,ES35=CaractAmostra!$BH$10,ES35=CaractAmostra!$BH$11,ES35=CaractAmostra!$BH$12),Respostas_Formatadas!ES35,"Outros")</f>
        <v>Com os pais</v>
      </c>
      <c r="EU35" s="36" t="s">
        <v>134</v>
      </c>
      <c r="EV35" s="36" t="s">
        <v>282</v>
      </c>
      <c r="EW35" s="36" t="s">
        <v>288</v>
      </c>
      <c r="FE35" s="47">
        <v>2016</v>
      </c>
      <c r="FF35" s="97">
        <v>7.9871999999999996</v>
      </c>
      <c r="FI35" s="47" t="str">
        <f t="shared" si="0"/>
        <v>Aracaju</v>
      </c>
      <c r="FJ35" s="47" t="str">
        <f t="shared" si="1"/>
        <v>Licenciatura</v>
      </c>
    </row>
    <row r="36" spans="1:166" s="36" customFormat="1" ht="15.75" customHeight="1" x14ac:dyDescent="0.2">
      <c r="A36" s="38">
        <v>43405.819837615738</v>
      </c>
      <c r="C36" s="36" t="s">
        <v>125</v>
      </c>
      <c r="D36" s="47" t="s">
        <v>133</v>
      </c>
      <c r="E36" s="36" t="s">
        <v>135</v>
      </c>
      <c r="H36" s="36" t="s">
        <v>144</v>
      </c>
      <c r="M36" s="36" t="s">
        <v>146</v>
      </c>
      <c r="N36" s="36" t="s">
        <v>134</v>
      </c>
      <c r="O36" s="36" t="s">
        <v>133</v>
      </c>
      <c r="P36" s="36" t="s">
        <v>134</v>
      </c>
      <c r="Q36" s="36" t="s">
        <v>134</v>
      </c>
      <c r="R36" s="36" t="s">
        <v>152</v>
      </c>
      <c r="S36" s="36" t="s">
        <v>390</v>
      </c>
      <c r="T36" s="36" t="s">
        <v>155</v>
      </c>
      <c r="U36" s="36" t="s">
        <v>159</v>
      </c>
      <c r="V36" s="36">
        <v>3</v>
      </c>
      <c r="W36" s="36">
        <v>1</v>
      </c>
      <c r="X36" s="36">
        <v>5</v>
      </c>
      <c r="Y36" s="36" t="s">
        <v>165</v>
      </c>
      <c r="Z36" s="36" t="s">
        <v>167</v>
      </c>
      <c r="AA36" s="36" t="s">
        <v>173</v>
      </c>
      <c r="AB36" s="36" t="s">
        <v>184</v>
      </c>
      <c r="AE36" s="36">
        <v>4</v>
      </c>
      <c r="AF36" s="36" t="s">
        <v>190</v>
      </c>
      <c r="AG36" s="36" t="s">
        <v>190</v>
      </c>
      <c r="AH36" s="36" t="s">
        <v>134</v>
      </c>
      <c r="AI36" s="66">
        <v>4452</v>
      </c>
      <c r="AJ36" s="36">
        <v>5</v>
      </c>
      <c r="AK36" s="36">
        <v>5</v>
      </c>
      <c r="AL36" s="36" t="s">
        <v>133</v>
      </c>
      <c r="AP36" s="36" t="s">
        <v>391</v>
      </c>
      <c r="AQ36" s="66">
        <v>4452</v>
      </c>
      <c r="AR36" s="36">
        <v>3</v>
      </c>
      <c r="AS36" s="36">
        <v>5</v>
      </c>
      <c r="AT36" s="36">
        <v>1</v>
      </c>
      <c r="AU36" s="36">
        <v>3</v>
      </c>
      <c r="AV36" s="36">
        <v>2</v>
      </c>
      <c r="AW36" s="36" t="s">
        <v>198</v>
      </c>
      <c r="AX36" s="36" t="s">
        <v>206</v>
      </c>
      <c r="AY36" s="36" t="s">
        <v>208</v>
      </c>
      <c r="AZ36" s="36" t="s">
        <v>133</v>
      </c>
      <c r="BA36" s="36" t="s">
        <v>170</v>
      </c>
      <c r="BB36" s="36" t="s">
        <v>392</v>
      </c>
      <c r="BC36" s="36" t="s">
        <v>328</v>
      </c>
      <c r="BD36" s="36" t="s">
        <v>190</v>
      </c>
      <c r="BG36" s="36">
        <v>5</v>
      </c>
      <c r="BH36" s="36">
        <v>5</v>
      </c>
      <c r="BI36" s="36">
        <v>4</v>
      </c>
      <c r="BJ36" s="36">
        <v>3</v>
      </c>
      <c r="BK36" s="36">
        <v>4</v>
      </c>
      <c r="BL36" s="36">
        <v>4</v>
      </c>
      <c r="BM36" s="36">
        <v>5</v>
      </c>
      <c r="BN36" s="36">
        <v>4</v>
      </c>
      <c r="BO36" s="36">
        <v>3</v>
      </c>
      <c r="BP36" s="36">
        <v>3</v>
      </c>
      <c r="BQ36" s="36">
        <v>3</v>
      </c>
      <c r="BR36" s="36">
        <v>5</v>
      </c>
      <c r="BS36" s="36">
        <v>1</v>
      </c>
      <c r="BT36" s="36">
        <v>5</v>
      </c>
      <c r="BU36" s="36">
        <v>4</v>
      </c>
      <c r="BV36" s="36">
        <v>5</v>
      </c>
      <c r="BW36" s="36">
        <v>5</v>
      </c>
      <c r="BX36" s="36">
        <v>5</v>
      </c>
      <c r="BY36" s="36">
        <v>5</v>
      </c>
      <c r="BZ36" s="36">
        <v>5</v>
      </c>
      <c r="CA36" s="36">
        <v>4</v>
      </c>
      <c r="CB36" s="36">
        <v>4</v>
      </c>
      <c r="CC36" s="36">
        <v>5</v>
      </c>
      <c r="CD36" s="36">
        <v>5</v>
      </c>
      <c r="CE36" s="36">
        <v>5</v>
      </c>
      <c r="CF36" s="36">
        <v>1</v>
      </c>
      <c r="CG36" s="36">
        <v>3</v>
      </c>
      <c r="CH36" s="36" t="s">
        <v>222</v>
      </c>
      <c r="CI36"/>
      <c r="CJ36"/>
      <c r="CK36" s="36" t="s">
        <v>233</v>
      </c>
      <c r="CL36"/>
      <c r="CM36"/>
      <c r="CN36" s="36" t="s">
        <v>241</v>
      </c>
      <c r="CO36" s="36" t="s">
        <v>133</v>
      </c>
      <c r="CP36" s="36">
        <v>1</v>
      </c>
      <c r="CQ36" s="36">
        <v>5</v>
      </c>
      <c r="CR36" s="36" t="s">
        <v>248</v>
      </c>
      <c r="CS36" s="36">
        <v>5</v>
      </c>
      <c r="CT36" s="36">
        <v>5</v>
      </c>
      <c r="CU36" s="36">
        <v>5</v>
      </c>
      <c r="CV36" s="36">
        <v>5</v>
      </c>
      <c r="CW36" s="36">
        <v>2</v>
      </c>
      <c r="CX36" s="36">
        <v>4</v>
      </c>
      <c r="CY36" s="36">
        <v>4</v>
      </c>
      <c r="CZ36" s="36">
        <v>4</v>
      </c>
      <c r="DA36" s="36">
        <v>2</v>
      </c>
      <c r="DB36" s="36">
        <v>5</v>
      </c>
      <c r="DC36" s="36">
        <v>3</v>
      </c>
      <c r="DD36" s="36">
        <v>5</v>
      </c>
      <c r="DE36" s="36">
        <v>5</v>
      </c>
      <c r="DF36" s="36">
        <v>5</v>
      </c>
      <c r="DG36" s="36">
        <v>5</v>
      </c>
      <c r="DH36" s="36">
        <v>5</v>
      </c>
      <c r="DI36" s="36" t="s">
        <v>133</v>
      </c>
      <c r="DJ36" s="36" t="s">
        <v>133</v>
      </c>
      <c r="DK36" s="36" t="s">
        <v>254</v>
      </c>
      <c r="DL36" t="s">
        <v>255</v>
      </c>
      <c r="DM36"/>
      <c r="DN36"/>
      <c r="DO36" t="s">
        <v>256</v>
      </c>
      <c r="DP36" t="s">
        <v>257</v>
      </c>
      <c r="DQ36" s="36">
        <v>5</v>
      </c>
      <c r="DR36" s="36" t="s">
        <v>133</v>
      </c>
      <c r="DS36" s="36" t="s">
        <v>258</v>
      </c>
      <c r="DT36" t="s">
        <v>259</v>
      </c>
      <c r="DU36"/>
      <c r="DV36"/>
      <c r="DW36" t="s">
        <v>260</v>
      </c>
      <c r="DX36" t="s">
        <v>261</v>
      </c>
      <c r="DY36" s="36">
        <v>5</v>
      </c>
      <c r="DZ36" s="36" t="s">
        <v>134</v>
      </c>
      <c r="EB36" s="36" t="s">
        <v>262</v>
      </c>
      <c r="EC36" s="36" t="s">
        <v>265</v>
      </c>
      <c r="ED36" s="36">
        <v>31</v>
      </c>
      <c r="EE36" s="36" t="s">
        <v>393</v>
      </c>
      <c r="EF36" s="36" t="str">
        <f>Tabulacao!MC36</f>
        <v>Nossa Senhora do Socorro</v>
      </c>
      <c r="EG36" s="36" t="s">
        <v>393</v>
      </c>
      <c r="EH36" s="36" t="str">
        <f>Tabulacao!MG36</f>
        <v>Nossa Senhora do Socorro</v>
      </c>
      <c r="EI36" s="36" t="s">
        <v>394</v>
      </c>
      <c r="EJ36" s="36" t="str">
        <f>Tabulacao!MK36</f>
        <v>Nossa Senhora da Glória</v>
      </c>
      <c r="EK36" s="36" t="s">
        <v>134</v>
      </c>
      <c r="EL36" s="36" t="s">
        <v>134</v>
      </c>
      <c r="EM36" s="36" t="s">
        <v>134</v>
      </c>
      <c r="EN36" s="36" t="s">
        <v>134</v>
      </c>
      <c r="EO36" s="36" t="s">
        <v>134</v>
      </c>
      <c r="EP36" s="36" t="s">
        <v>134</v>
      </c>
      <c r="EQ36" s="36" t="s">
        <v>275</v>
      </c>
      <c r="ER36" s="36" t="str">
        <f>IF(OR(EQ36=CaractAmostra!$BD$9,EQ36=CaractAmostra!$BD$10,EQ36=CaractAmostra!$BD$11,EQ36=CaractAmostra!$BD$12,EQ36=CaractAmostra!$BD$13),Respostas_Formatadas!EQ36,"Outros")</f>
        <v>Com os pais</v>
      </c>
      <c r="ES36" s="36" t="s">
        <v>277</v>
      </c>
      <c r="ET36" s="36" t="str">
        <f>IF(OR(ES36=CaractAmostra!$BH$9,ES36=CaractAmostra!$BH$10,ES36=CaractAmostra!$BH$11,ES36=CaractAmostra!$BH$12),Respostas_Formatadas!ES36,"Outros")</f>
        <v>Sozinho</v>
      </c>
      <c r="EU36" s="36" t="s">
        <v>134</v>
      </c>
      <c r="EV36" s="36" t="s">
        <v>282</v>
      </c>
      <c r="EW36" s="36" t="s">
        <v>282</v>
      </c>
      <c r="FE36" s="47">
        <v>2015</v>
      </c>
      <c r="FF36" s="97">
        <v>8.1473999999999993</v>
      </c>
      <c r="FI36" s="47" t="str">
        <f t="shared" si="0"/>
        <v>Aracaju</v>
      </c>
      <c r="FJ36" s="47" t="str">
        <f t="shared" si="1"/>
        <v>Tecnologia</v>
      </c>
    </row>
    <row r="37" spans="1:166" s="36" customFormat="1" ht="15.75" customHeight="1" x14ac:dyDescent="0.2">
      <c r="A37" s="38">
        <v>43405.840133923615</v>
      </c>
      <c r="C37" s="36" t="s">
        <v>127</v>
      </c>
      <c r="D37" s="47" t="s">
        <v>134</v>
      </c>
      <c r="M37" s="36" t="s">
        <v>146</v>
      </c>
      <c r="N37" s="36" t="s">
        <v>134</v>
      </c>
      <c r="O37" s="36" t="s">
        <v>134</v>
      </c>
      <c r="P37" s="36" t="s">
        <v>133</v>
      </c>
      <c r="Q37" s="36" t="s">
        <v>133</v>
      </c>
      <c r="R37" s="36" t="s">
        <v>151</v>
      </c>
      <c r="Y37" s="36" t="s">
        <v>165</v>
      </c>
      <c r="Z37" s="36" t="s">
        <v>168</v>
      </c>
      <c r="AA37" s="36" t="s">
        <v>173</v>
      </c>
      <c r="AB37" s="36" t="s">
        <v>181</v>
      </c>
      <c r="AD37" s="36" t="s">
        <v>395</v>
      </c>
      <c r="AE37" s="36">
        <v>4</v>
      </c>
      <c r="AF37" s="36" t="s">
        <v>188</v>
      </c>
      <c r="AG37" s="36" t="s">
        <v>188</v>
      </c>
      <c r="AH37" s="36" t="s">
        <v>134</v>
      </c>
      <c r="AI37" s="40">
        <v>1200</v>
      </c>
      <c r="AJ37" s="36">
        <v>3</v>
      </c>
      <c r="AK37" s="36">
        <v>4</v>
      </c>
      <c r="AL37" s="36" t="s">
        <v>134</v>
      </c>
      <c r="AM37" s="36" t="s">
        <v>169</v>
      </c>
      <c r="AN37" s="36">
        <v>1</v>
      </c>
      <c r="AO37" s="36" t="s">
        <v>134</v>
      </c>
      <c r="AQ37" s="40"/>
      <c r="BT37" s="36">
        <v>4</v>
      </c>
      <c r="BU37" s="36">
        <v>4</v>
      </c>
      <c r="BV37" s="36">
        <v>4</v>
      </c>
      <c r="BW37" s="36">
        <v>4</v>
      </c>
      <c r="BX37" s="36">
        <v>5</v>
      </c>
      <c r="BY37" s="36">
        <v>5</v>
      </c>
      <c r="BZ37" s="36">
        <v>4</v>
      </c>
      <c r="CA37" s="36">
        <v>5</v>
      </c>
      <c r="CB37" s="36">
        <v>4</v>
      </c>
      <c r="CC37" s="36">
        <v>3</v>
      </c>
      <c r="CD37" s="36">
        <v>4</v>
      </c>
      <c r="CE37" s="36">
        <v>3</v>
      </c>
      <c r="CF37" s="36">
        <v>1</v>
      </c>
      <c r="CG37" s="36">
        <v>3</v>
      </c>
      <c r="CH37" s="36" t="s">
        <v>222</v>
      </c>
      <c r="CI37" t="s">
        <v>225</v>
      </c>
      <c r="CJ37" t="s">
        <v>226</v>
      </c>
      <c r="CK37" s="36" t="s">
        <v>233</v>
      </c>
      <c r="CL37" t="s">
        <v>234</v>
      </c>
      <c r="CM37" t="s">
        <v>239</v>
      </c>
      <c r="CN37" s="36" t="s">
        <v>242</v>
      </c>
      <c r="CO37" s="36" t="s">
        <v>133</v>
      </c>
      <c r="CP37" s="36">
        <v>4</v>
      </c>
      <c r="CQ37" s="36">
        <v>5</v>
      </c>
      <c r="CR37" s="36" t="s">
        <v>248</v>
      </c>
      <c r="CS37" s="36">
        <v>3</v>
      </c>
      <c r="CT37" s="36">
        <v>4</v>
      </c>
      <c r="CU37" s="36">
        <v>3</v>
      </c>
      <c r="CV37" s="36">
        <v>1</v>
      </c>
      <c r="CW37" s="36">
        <v>3</v>
      </c>
      <c r="CX37" s="36">
        <v>3</v>
      </c>
      <c r="CY37" s="36">
        <v>4</v>
      </c>
      <c r="CZ37" s="36">
        <v>5</v>
      </c>
      <c r="DA37" s="36">
        <v>4</v>
      </c>
      <c r="DB37" s="36">
        <v>3</v>
      </c>
      <c r="DC37" s="36">
        <v>3</v>
      </c>
      <c r="DD37" s="36">
        <v>5</v>
      </c>
      <c r="DE37" s="36">
        <v>4</v>
      </c>
      <c r="DF37" s="36">
        <v>4</v>
      </c>
      <c r="DG37" s="36">
        <v>5</v>
      </c>
      <c r="DH37" s="36">
        <v>5</v>
      </c>
      <c r="DI37" s="36" t="s">
        <v>250</v>
      </c>
      <c r="DJ37" s="36" t="s">
        <v>133</v>
      </c>
      <c r="DK37" s="36" t="s">
        <v>256</v>
      </c>
      <c r="DL37"/>
      <c r="DM37"/>
      <c r="DN37"/>
      <c r="DO37"/>
      <c r="DP37"/>
      <c r="DQ37" s="36">
        <v>3</v>
      </c>
      <c r="DR37" s="36" t="s">
        <v>134</v>
      </c>
      <c r="DT37"/>
      <c r="DU37"/>
      <c r="DV37"/>
      <c r="DW37"/>
      <c r="DX37"/>
      <c r="DZ37" s="36" t="s">
        <v>133</v>
      </c>
      <c r="EA37" s="36">
        <v>5</v>
      </c>
      <c r="EB37" s="36" t="s">
        <v>262</v>
      </c>
      <c r="EC37" s="36" t="s">
        <v>267</v>
      </c>
      <c r="ED37" s="36">
        <v>22</v>
      </c>
      <c r="EE37" s="36" t="s">
        <v>396</v>
      </c>
      <c r="EF37" s="36" t="str">
        <f>Tabulacao!MC37</f>
        <v>Pedra Mole</v>
      </c>
      <c r="EG37" s="36" t="s">
        <v>362</v>
      </c>
      <c r="EH37" s="36" t="str">
        <f>Tabulacao!MG37</f>
        <v>Itabaiana</v>
      </c>
      <c r="EI37" s="36" t="s">
        <v>396</v>
      </c>
      <c r="EJ37" s="36" t="str">
        <f>Tabulacao!MK37</f>
        <v>Pedra Mole</v>
      </c>
      <c r="EK37" s="36" t="s">
        <v>134</v>
      </c>
      <c r="EL37" s="36" t="s">
        <v>134</v>
      </c>
      <c r="EM37" s="36" t="s">
        <v>134</v>
      </c>
      <c r="EN37" s="36" t="s">
        <v>134</v>
      </c>
      <c r="EO37" s="36" t="s">
        <v>134</v>
      </c>
      <c r="EP37" s="36" t="s">
        <v>134</v>
      </c>
      <c r="EQ37" s="36" t="s">
        <v>273</v>
      </c>
      <c r="ER37" s="36" t="str">
        <f>IF(OR(EQ37=CaractAmostra!$BD$9,EQ37=CaractAmostra!$BD$10,EQ37=CaractAmostra!$BD$11,EQ37=CaractAmostra!$BD$12,EQ37=CaractAmostra!$BD$13),Respostas_Formatadas!EQ37,"Outros")</f>
        <v>Dividia residência com outras pessoas</v>
      </c>
      <c r="ES37" s="36" t="s">
        <v>275</v>
      </c>
      <c r="ET37" s="36" t="str">
        <f>IF(OR(ES37=CaractAmostra!$BH$9,ES37=CaractAmostra!$BH$10,ES37=CaractAmostra!$BH$11,ES37=CaractAmostra!$BH$12),Respostas_Formatadas!ES37,"Outros")</f>
        <v>Com os pais</v>
      </c>
      <c r="EU37" s="36" t="s">
        <v>134</v>
      </c>
      <c r="EV37" s="36" t="s">
        <v>283</v>
      </c>
      <c r="EW37" s="36" t="s">
        <v>285</v>
      </c>
      <c r="FD37" s="36" t="s">
        <v>397</v>
      </c>
      <c r="FE37" s="47">
        <v>2017</v>
      </c>
      <c r="FF37" s="97">
        <v>8.1875</v>
      </c>
      <c r="FI37" s="47" t="str">
        <f t="shared" si="0"/>
        <v>Itabaiana</v>
      </c>
      <c r="FJ37" s="47" t="str">
        <f t="shared" si="1"/>
        <v>Tecnologia</v>
      </c>
    </row>
    <row r="38" spans="1:166" s="36" customFormat="1" ht="15.75" customHeight="1" x14ac:dyDescent="0.2">
      <c r="A38" s="38">
        <v>43405.844492488424</v>
      </c>
      <c r="C38" s="36" t="s">
        <v>124</v>
      </c>
      <c r="D38" s="47" t="s">
        <v>134</v>
      </c>
      <c r="M38" s="36" t="s">
        <v>146</v>
      </c>
      <c r="N38" s="36" t="s">
        <v>134</v>
      </c>
      <c r="O38" s="36" t="s">
        <v>133</v>
      </c>
      <c r="P38" s="36" t="s">
        <v>134</v>
      </c>
      <c r="Q38" s="36" t="s">
        <v>134</v>
      </c>
      <c r="R38" s="36" t="s">
        <v>151</v>
      </c>
      <c r="Y38" s="36" t="s">
        <v>134</v>
      </c>
      <c r="AI38" s="40"/>
      <c r="AQ38" s="40"/>
      <c r="BT38" s="36">
        <v>4</v>
      </c>
      <c r="BU38" s="36">
        <v>3</v>
      </c>
      <c r="BV38" s="36">
        <v>4</v>
      </c>
      <c r="BW38" s="36">
        <v>4</v>
      </c>
      <c r="BX38" s="36">
        <v>4</v>
      </c>
      <c r="BY38" s="36">
        <v>5</v>
      </c>
      <c r="BZ38" s="36">
        <v>4</v>
      </c>
      <c r="CA38" s="36">
        <v>5</v>
      </c>
      <c r="CB38" s="36">
        <v>5</v>
      </c>
      <c r="CC38" s="36">
        <v>5</v>
      </c>
      <c r="CD38" s="36">
        <v>4</v>
      </c>
      <c r="CE38" s="36">
        <v>4</v>
      </c>
      <c r="CF38" s="36">
        <v>3</v>
      </c>
      <c r="CG38" s="36">
        <v>5</v>
      </c>
      <c r="CH38" s="36" t="s">
        <v>222</v>
      </c>
      <c r="CI38" t="s">
        <v>225</v>
      </c>
      <c r="CJ38" t="s">
        <v>231</v>
      </c>
      <c r="CK38" s="36" t="s">
        <v>233</v>
      </c>
      <c r="CL38" t="s">
        <v>237</v>
      </c>
      <c r="CM38" t="s">
        <v>240</v>
      </c>
      <c r="CN38" s="36" t="s">
        <v>241</v>
      </c>
      <c r="CO38" s="36" t="s">
        <v>133</v>
      </c>
      <c r="CP38" s="36">
        <v>5</v>
      </c>
      <c r="CQ38" s="36">
        <v>5</v>
      </c>
      <c r="CR38" s="36" t="s">
        <v>248</v>
      </c>
      <c r="CS38" s="36">
        <v>1</v>
      </c>
      <c r="CT38" s="36">
        <v>4</v>
      </c>
      <c r="CU38" s="36">
        <v>1</v>
      </c>
      <c r="CV38" s="36">
        <v>2</v>
      </c>
      <c r="CW38" s="36">
        <v>4</v>
      </c>
      <c r="CX38" s="36">
        <v>5</v>
      </c>
      <c r="CY38" s="36">
        <v>5</v>
      </c>
      <c r="CZ38" s="36">
        <v>5</v>
      </c>
      <c r="DA38" s="36">
        <v>2</v>
      </c>
      <c r="DB38" s="36">
        <v>3</v>
      </c>
      <c r="DC38" s="36">
        <v>3</v>
      </c>
      <c r="DD38" s="36">
        <v>4</v>
      </c>
      <c r="DE38" s="36">
        <v>4</v>
      </c>
      <c r="DF38" s="36">
        <v>4</v>
      </c>
      <c r="DG38" s="36">
        <v>5</v>
      </c>
      <c r="DH38" s="36">
        <v>5</v>
      </c>
      <c r="DI38" s="36" t="s">
        <v>250</v>
      </c>
      <c r="DJ38" s="36" t="s">
        <v>133</v>
      </c>
      <c r="DK38" s="36" t="s">
        <v>255</v>
      </c>
      <c r="DL38"/>
      <c r="DM38"/>
      <c r="DN38"/>
      <c r="DO38"/>
      <c r="DP38"/>
      <c r="DQ38" s="36">
        <v>5</v>
      </c>
      <c r="DR38" s="36" t="s">
        <v>133</v>
      </c>
      <c r="DS38" s="36" t="s">
        <v>259</v>
      </c>
      <c r="DT38"/>
      <c r="DU38"/>
      <c r="DV38" t="s">
        <v>260</v>
      </c>
      <c r="DW38" t="s">
        <v>1050</v>
      </c>
      <c r="DX38"/>
      <c r="DY38" s="36">
        <v>4</v>
      </c>
      <c r="DZ38" s="36" t="s">
        <v>133</v>
      </c>
      <c r="EA38" s="36">
        <v>5</v>
      </c>
      <c r="EB38" s="36" t="s">
        <v>263</v>
      </c>
      <c r="EC38" s="36" t="s">
        <v>267</v>
      </c>
      <c r="ED38" s="36">
        <v>31</v>
      </c>
      <c r="EE38" s="36" t="s">
        <v>292</v>
      </c>
      <c r="EF38" s="36" t="str">
        <f>Tabulacao!MC38</f>
        <v>Aracaju</v>
      </c>
      <c r="EG38" s="36" t="s">
        <v>292</v>
      </c>
      <c r="EH38" s="36" t="str">
        <f>Tabulacao!MG38</f>
        <v>Aracaju</v>
      </c>
      <c r="EI38" s="36" t="s">
        <v>292</v>
      </c>
      <c r="EJ38" s="36" t="str">
        <f>Tabulacao!MK38</f>
        <v>Aracaju</v>
      </c>
      <c r="EK38" s="36" t="s">
        <v>134</v>
      </c>
      <c r="EL38" s="36" t="s">
        <v>134</v>
      </c>
      <c r="EM38" s="36" t="s">
        <v>134</v>
      </c>
      <c r="EN38" s="36" t="s">
        <v>134</v>
      </c>
      <c r="EO38" s="36" t="s">
        <v>134</v>
      </c>
      <c r="EP38" s="36" t="s">
        <v>134</v>
      </c>
      <c r="EQ38" s="36" t="s">
        <v>275</v>
      </c>
      <c r="ER38" s="36" t="str">
        <f>IF(OR(EQ38=CaractAmostra!$BD$9,EQ38=CaractAmostra!$BD$10,EQ38=CaractAmostra!$BD$11,EQ38=CaractAmostra!$BD$12,EQ38=CaractAmostra!$BD$13),Respostas_Formatadas!EQ38,"Outros")</f>
        <v>Com os pais</v>
      </c>
      <c r="ES38" s="36" t="s">
        <v>275</v>
      </c>
      <c r="ET38" s="36" t="str">
        <f>IF(OR(ES38=CaractAmostra!$BH$9,ES38=CaractAmostra!$BH$10,ES38=CaractAmostra!$BH$11,ES38=CaractAmostra!$BH$12),Respostas_Formatadas!ES38,"Outros")</f>
        <v>Com os pais</v>
      </c>
      <c r="EU38" s="36" t="s">
        <v>134</v>
      </c>
      <c r="EV38" s="36" t="s">
        <v>282</v>
      </c>
      <c r="EW38" s="36" t="s">
        <v>285</v>
      </c>
      <c r="FD38" s="36" t="s">
        <v>398</v>
      </c>
      <c r="FE38" s="47">
        <v>2017</v>
      </c>
      <c r="FF38" s="97">
        <v>6.2931999999999997</v>
      </c>
      <c r="FI38" s="47" t="str">
        <f t="shared" si="0"/>
        <v>Aracaju</v>
      </c>
      <c r="FJ38" s="47" t="str">
        <f t="shared" si="1"/>
        <v>Tecnologia</v>
      </c>
    </row>
    <row r="39" spans="1:166" s="36" customFormat="1" ht="15.75" customHeight="1" x14ac:dyDescent="0.2">
      <c r="A39" s="38">
        <v>43405.846088379629</v>
      </c>
      <c r="C39" s="36" t="s">
        <v>130</v>
      </c>
      <c r="D39" s="47" t="s">
        <v>133</v>
      </c>
      <c r="E39" s="36" t="s">
        <v>137</v>
      </c>
      <c r="H39" s="36" t="s">
        <v>144</v>
      </c>
      <c r="M39" s="36" t="s">
        <v>148</v>
      </c>
      <c r="N39" s="36" t="s">
        <v>133</v>
      </c>
      <c r="O39" s="36" t="s">
        <v>133</v>
      </c>
      <c r="P39" s="36" t="s">
        <v>133</v>
      </c>
      <c r="Q39" s="36" t="s">
        <v>134</v>
      </c>
      <c r="R39" s="36" t="s">
        <v>151</v>
      </c>
      <c r="Y39" s="36" t="s">
        <v>134</v>
      </c>
      <c r="AI39" s="40"/>
      <c r="AQ39" s="40"/>
      <c r="BT39" s="36">
        <v>5</v>
      </c>
      <c r="BU39" s="36">
        <v>4</v>
      </c>
      <c r="BV39" s="36">
        <v>5</v>
      </c>
      <c r="BW39" s="36">
        <v>5</v>
      </c>
      <c r="BX39" s="36">
        <v>5</v>
      </c>
      <c r="BY39" s="36">
        <v>5</v>
      </c>
      <c r="BZ39" s="36">
        <v>5</v>
      </c>
      <c r="CA39" s="36">
        <v>5</v>
      </c>
      <c r="CB39" s="36">
        <v>5</v>
      </c>
      <c r="CC39" s="36">
        <v>5</v>
      </c>
      <c r="CD39" s="36">
        <v>5</v>
      </c>
      <c r="CE39" s="36">
        <v>5</v>
      </c>
      <c r="CF39" s="36">
        <v>1</v>
      </c>
      <c r="CG39" s="36">
        <v>2</v>
      </c>
      <c r="CH39" s="36" t="s">
        <v>222</v>
      </c>
      <c r="CI39" t="s">
        <v>225</v>
      </c>
      <c r="CJ39" t="s">
        <v>226</v>
      </c>
      <c r="CK39" s="36" t="s">
        <v>233</v>
      </c>
      <c r="CL39" t="s">
        <v>234</v>
      </c>
      <c r="CM39"/>
      <c r="CN39" s="36" t="s">
        <v>242</v>
      </c>
      <c r="CO39" s="36" t="s">
        <v>134</v>
      </c>
      <c r="CP39" s="36">
        <v>5</v>
      </c>
      <c r="CQ39" s="36">
        <v>5</v>
      </c>
      <c r="CR39" s="36" t="s">
        <v>248</v>
      </c>
      <c r="CS39" s="36">
        <v>3</v>
      </c>
      <c r="CT39" s="36">
        <v>5</v>
      </c>
      <c r="CU39" s="36">
        <v>5</v>
      </c>
      <c r="CV39" s="36">
        <v>1</v>
      </c>
      <c r="CW39" s="36">
        <v>3</v>
      </c>
      <c r="CX39" s="36">
        <v>4</v>
      </c>
      <c r="CY39" s="36">
        <v>4</v>
      </c>
      <c r="CZ39" s="36">
        <v>4</v>
      </c>
      <c r="DA39" s="36">
        <v>2</v>
      </c>
      <c r="DB39" s="36">
        <v>5</v>
      </c>
      <c r="DC39" s="36">
        <v>2</v>
      </c>
      <c r="DD39" s="36">
        <v>4</v>
      </c>
      <c r="DE39" s="36">
        <v>5</v>
      </c>
      <c r="DF39" s="36">
        <v>5</v>
      </c>
      <c r="DG39" s="36">
        <v>5</v>
      </c>
      <c r="DH39" s="36">
        <v>4</v>
      </c>
      <c r="DI39" s="36" t="s">
        <v>133</v>
      </c>
      <c r="DJ39" s="36" t="s">
        <v>133</v>
      </c>
      <c r="DK39" s="36" t="s">
        <v>254</v>
      </c>
      <c r="DL39" t="s">
        <v>255</v>
      </c>
      <c r="DM39"/>
      <c r="DN39"/>
      <c r="DO39" t="s">
        <v>256</v>
      </c>
      <c r="DP39" t="s">
        <v>257</v>
      </c>
      <c r="DQ39" s="36">
        <v>5</v>
      </c>
      <c r="DR39" s="36" t="s">
        <v>133</v>
      </c>
      <c r="DS39" s="36" t="s">
        <v>258</v>
      </c>
      <c r="DT39" t="s">
        <v>259</v>
      </c>
      <c r="DU39"/>
      <c r="DV39"/>
      <c r="DW39" t="s">
        <v>260</v>
      </c>
      <c r="DX39" t="s">
        <v>261</v>
      </c>
      <c r="DY39" s="36">
        <v>5</v>
      </c>
      <c r="DZ39" s="36" t="s">
        <v>134</v>
      </c>
      <c r="EB39" s="36" t="s">
        <v>262</v>
      </c>
      <c r="EC39" s="36" t="s">
        <v>267</v>
      </c>
      <c r="ED39" s="36">
        <v>31</v>
      </c>
      <c r="EE39" s="36" t="s">
        <v>399</v>
      </c>
      <c r="EF39" s="36" t="str">
        <f>Tabulacao!MC39</f>
        <v>São Cristóvão</v>
      </c>
      <c r="EG39" s="36" t="s">
        <v>399</v>
      </c>
      <c r="EH39" s="36" t="str">
        <f>Tabulacao!MG39</f>
        <v>São Cristóvão</v>
      </c>
      <c r="EI39" s="36" t="s">
        <v>399</v>
      </c>
      <c r="EJ39" s="36" t="str">
        <f>Tabulacao!MK39</f>
        <v>São Cristóvão</v>
      </c>
      <c r="EK39" s="36" t="s">
        <v>134</v>
      </c>
      <c r="EL39" s="36" t="s">
        <v>134</v>
      </c>
      <c r="EM39" s="36" t="s">
        <v>134</v>
      </c>
      <c r="EN39" s="36" t="s">
        <v>134</v>
      </c>
      <c r="EO39" s="36" t="s">
        <v>134</v>
      </c>
      <c r="EP39" s="36" t="s">
        <v>270</v>
      </c>
      <c r="EQ39" s="36" t="s">
        <v>275</v>
      </c>
      <c r="ER39" s="36" t="str">
        <f>IF(OR(EQ39=CaractAmostra!$BD$9,EQ39=CaractAmostra!$BD$10,EQ39=CaractAmostra!$BD$11,EQ39=CaractAmostra!$BD$12,EQ39=CaractAmostra!$BD$13),Respostas_Formatadas!EQ39,"Outros")</f>
        <v>Com os pais</v>
      </c>
      <c r="ES39" s="36" t="s">
        <v>275</v>
      </c>
      <c r="ET39" s="36" t="str">
        <f>IF(OR(ES39=CaractAmostra!$BH$9,ES39=CaractAmostra!$BH$10,ES39=CaractAmostra!$BH$11,ES39=CaractAmostra!$BH$12),Respostas_Formatadas!ES39,"Outros")</f>
        <v>Com os pais</v>
      </c>
      <c r="EU39" s="36" t="s">
        <v>279</v>
      </c>
      <c r="EV39" s="36" t="s">
        <v>285</v>
      </c>
      <c r="EW39" s="36" t="s">
        <v>286</v>
      </c>
      <c r="FE39" s="47">
        <v>2017</v>
      </c>
      <c r="FF39" s="97">
        <v>6.6611000000000002</v>
      </c>
      <c r="FI39" s="47" t="str">
        <f t="shared" si="0"/>
        <v>São Cristóvão</v>
      </c>
      <c r="FJ39" s="47" t="str">
        <f t="shared" si="1"/>
        <v>Tecnologia</v>
      </c>
    </row>
    <row r="40" spans="1:166" s="36" customFormat="1" ht="15.75" customHeight="1" x14ac:dyDescent="0.2">
      <c r="A40" s="38">
        <v>43405.847573333333</v>
      </c>
      <c r="C40" s="36" t="s">
        <v>119</v>
      </c>
      <c r="D40" s="47" t="s">
        <v>133</v>
      </c>
      <c r="E40" s="36" t="s">
        <v>135</v>
      </c>
      <c r="F40" s="36" t="s">
        <v>138</v>
      </c>
      <c r="H40" s="36" t="s">
        <v>142</v>
      </c>
      <c r="I40" s="36" t="s">
        <v>143</v>
      </c>
      <c r="J40" s="36" t="s">
        <v>144</v>
      </c>
      <c r="M40" s="36" t="s">
        <v>146</v>
      </c>
      <c r="N40" s="36" t="s">
        <v>134</v>
      </c>
      <c r="O40" s="36" t="s">
        <v>133</v>
      </c>
      <c r="P40" s="36" t="s">
        <v>134</v>
      </c>
      <c r="Q40" s="36" t="s">
        <v>133</v>
      </c>
      <c r="R40" s="36" t="s">
        <v>151</v>
      </c>
      <c r="Y40" s="36" t="s">
        <v>165</v>
      </c>
      <c r="Z40" s="36" t="s">
        <v>169</v>
      </c>
      <c r="AA40" s="36" t="s">
        <v>172</v>
      </c>
      <c r="AB40" s="36" t="s">
        <v>181</v>
      </c>
      <c r="AD40" s="36" t="s">
        <v>400</v>
      </c>
      <c r="AE40" s="36">
        <v>5</v>
      </c>
      <c r="AF40" s="36" t="s">
        <v>189</v>
      </c>
      <c r="AG40" s="36" t="s">
        <v>189</v>
      </c>
      <c r="AH40" s="36" t="s">
        <v>133</v>
      </c>
      <c r="AI40" s="40">
        <v>5000</v>
      </c>
      <c r="AJ40" s="36">
        <v>5</v>
      </c>
      <c r="AK40" s="36">
        <v>3</v>
      </c>
      <c r="AL40" s="36" t="s">
        <v>134</v>
      </c>
      <c r="AM40" s="36" t="s">
        <v>169</v>
      </c>
      <c r="AN40" s="36">
        <v>2</v>
      </c>
      <c r="AO40" s="36" t="s">
        <v>133</v>
      </c>
      <c r="AP40" s="36" t="s">
        <v>400</v>
      </c>
      <c r="AQ40" s="40">
        <v>5000</v>
      </c>
      <c r="AR40" s="36">
        <v>4</v>
      </c>
      <c r="AS40" s="36">
        <v>5</v>
      </c>
      <c r="AT40" s="36">
        <v>3</v>
      </c>
      <c r="AU40" s="36">
        <v>5</v>
      </c>
      <c r="AV40" s="36">
        <v>5</v>
      </c>
      <c r="AW40" s="36" t="s">
        <v>192</v>
      </c>
      <c r="AX40" s="36" t="s">
        <v>206</v>
      </c>
      <c r="AY40" s="36" t="s">
        <v>208</v>
      </c>
      <c r="AZ40" s="36" t="s">
        <v>133</v>
      </c>
      <c r="BA40" s="36" t="s">
        <v>167</v>
      </c>
      <c r="BB40" s="36" t="s">
        <v>401</v>
      </c>
      <c r="BC40" s="36" t="s">
        <v>325</v>
      </c>
      <c r="BD40" s="36" t="s">
        <v>190</v>
      </c>
      <c r="BG40" s="36">
        <v>4</v>
      </c>
      <c r="BH40" s="36">
        <v>3</v>
      </c>
      <c r="BI40" s="36">
        <v>3</v>
      </c>
      <c r="BJ40" s="36">
        <v>3</v>
      </c>
      <c r="BK40" s="36">
        <v>4</v>
      </c>
      <c r="BL40" s="36">
        <v>4</v>
      </c>
      <c r="BM40" s="36">
        <v>5</v>
      </c>
      <c r="BN40" s="36">
        <v>5</v>
      </c>
      <c r="BO40" s="36">
        <v>4</v>
      </c>
      <c r="BP40" s="36">
        <v>5</v>
      </c>
      <c r="BQ40" s="36">
        <v>5</v>
      </c>
      <c r="BR40" s="36">
        <v>3</v>
      </c>
      <c r="BS40" s="36">
        <v>2</v>
      </c>
      <c r="BT40" s="36">
        <v>4</v>
      </c>
      <c r="BU40" s="36">
        <v>4</v>
      </c>
      <c r="BV40" s="36">
        <v>5</v>
      </c>
      <c r="BW40" s="36">
        <v>4</v>
      </c>
      <c r="BX40" s="36">
        <v>5</v>
      </c>
      <c r="BY40" s="36">
        <v>4</v>
      </c>
      <c r="BZ40" s="36">
        <v>5</v>
      </c>
      <c r="CA40" s="36">
        <v>5</v>
      </c>
      <c r="CB40" s="36">
        <v>5</v>
      </c>
      <c r="CC40" s="36">
        <v>5</v>
      </c>
      <c r="CD40" s="36">
        <v>5</v>
      </c>
      <c r="CE40" s="36">
        <v>3</v>
      </c>
      <c r="CF40" s="36">
        <v>1</v>
      </c>
      <c r="CG40" s="36">
        <v>5</v>
      </c>
      <c r="CH40" s="36" t="s">
        <v>222</v>
      </c>
      <c r="CI40" t="s">
        <v>225</v>
      </c>
      <c r="CJ40"/>
      <c r="CK40" s="36" t="s">
        <v>233</v>
      </c>
      <c r="CL40" t="s">
        <v>234</v>
      </c>
      <c r="CM40" t="s">
        <v>240</v>
      </c>
      <c r="CN40" s="36" t="s">
        <v>242</v>
      </c>
      <c r="CO40" s="36" t="s">
        <v>134</v>
      </c>
      <c r="CP40" s="36">
        <v>3</v>
      </c>
      <c r="CQ40" s="36">
        <v>2</v>
      </c>
      <c r="CR40" s="36" t="s">
        <v>248</v>
      </c>
      <c r="CS40" s="36">
        <v>2</v>
      </c>
      <c r="CT40" s="36">
        <v>2</v>
      </c>
      <c r="CU40" s="36">
        <v>1</v>
      </c>
      <c r="CV40" s="36">
        <v>3</v>
      </c>
      <c r="CW40" s="36">
        <v>3</v>
      </c>
      <c r="CX40" s="36">
        <v>5</v>
      </c>
      <c r="CY40" s="36">
        <v>4</v>
      </c>
      <c r="CZ40" s="36">
        <v>4</v>
      </c>
      <c r="DA40" s="36">
        <v>2</v>
      </c>
      <c r="DB40" s="36">
        <v>2</v>
      </c>
      <c r="DC40" s="36">
        <v>2</v>
      </c>
      <c r="DD40" s="36">
        <v>5</v>
      </c>
      <c r="DE40" s="36">
        <v>5</v>
      </c>
      <c r="DF40" s="36">
        <v>5</v>
      </c>
      <c r="DG40" s="36">
        <v>5</v>
      </c>
      <c r="DH40" s="36">
        <v>4</v>
      </c>
      <c r="DI40" s="36" t="s">
        <v>133</v>
      </c>
      <c r="DJ40" s="36" t="s">
        <v>134</v>
      </c>
      <c r="DL40"/>
      <c r="DM40"/>
      <c r="DN40"/>
      <c r="DO40"/>
      <c r="DP40"/>
      <c r="DR40" s="36" t="s">
        <v>134</v>
      </c>
      <c r="DT40"/>
      <c r="DU40"/>
      <c r="DV40"/>
      <c r="DW40"/>
      <c r="DX40"/>
      <c r="DZ40" s="36" t="s">
        <v>133</v>
      </c>
      <c r="EA40" s="36">
        <v>3</v>
      </c>
      <c r="EB40" s="36" t="s">
        <v>262</v>
      </c>
      <c r="EC40" s="36" t="s">
        <v>267</v>
      </c>
      <c r="ED40" s="36">
        <v>27</v>
      </c>
      <c r="EE40" s="36" t="s">
        <v>402</v>
      </c>
      <c r="EF40" s="36" t="str">
        <f>Tabulacao!MC40</f>
        <v>Cristinápolis</v>
      </c>
      <c r="EG40" s="36" t="s">
        <v>403</v>
      </c>
      <c r="EH40" s="36" t="str">
        <f>Tabulacao!MG40</f>
        <v>Aracaju</v>
      </c>
      <c r="EI40" s="36" t="s">
        <v>401</v>
      </c>
      <c r="EJ40" s="36" t="str">
        <f>Tabulacao!MK40</f>
        <v>Estância</v>
      </c>
      <c r="EK40" s="36" t="s">
        <v>134</v>
      </c>
      <c r="EL40" s="36" t="s">
        <v>134</v>
      </c>
      <c r="EM40" s="36" t="s">
        <v>134</v>
      </c>
      <c r="EN40" s="36" t="s">
        <v>134</v>
      </c>
      <c r="EO40" s="36" t="s">
        <v>134</v>
      </c>
      <c r="EP40" s="36" t="s">
        <v>134</v>
      </c>
      <c r="EQ40" s="36" t="s">
        <v>274</v>
      </c>
      <c r="ER40" s="36" t="str">
        <f>IF(OR(EQ40=CaractAmostra!$BD$9,EQ40=CaractAmostra!$BD$10,EQ40=CaractAmostra!$BD$11,EQ40=CaractAmostra!$BD$12,EQ40=CaractAmostra!$BD$13),Respostas_Formatadas!EQ40,"Outros")</f>
        <v>Com um(a) parceiro(a)</v>
      </c>
      <c r="ES40" s="36" t="s">
        <v>274</v>
      </c>
      <c r="ET40" s="36" t="str">
        <f>IF(OR(ES40=CaractAmostra!$BH$9,ES40=CaractAmostra!$BH$10,ES40=CaractAmostra!$BH$11,ES40=CaractAmostra!$BH$12),Respostas_Formatadas!ES40,"Outros")</f>
        <v>Com um(a) parceiro(a)</v>
      </c>
      <c r="EU40" s="36" t="s">
        <v>134</v>
      </c>
      <c r="EV40" s="36" t="s">
        <v>286</v>
      </c>
      <c r="EW40" s="36" t="s">
        <v>285</v>
      </c>
      <c r="FD40" s="36" t="s">
        <v>404</v>
      </c>
      <c r="FE40" s="47">
        <v>2016</v>
      </c>
      <c r="FF40" s="97">
        <v>7.0819000000000001</v>
      </c>
      <c r="FI40" s="47" t="str">
        <f t="shared" si="0"/>
        <v>Aracaju</v>
      </c>
      <c r="FJ40" s="47" t="str">
        <f t="shared" si="1"/>
        <v>Bacharelado</v>
      </c>
    </row>
    <row r="41" spans="1:166" s="36" customFormat="1" ht="15.75" customHeight="1" x14ac:dyDescent="0.2">
      <c r="A41" s="38">
        <v>43405.941358645832</v>
      </c>
      <c r="C41" s="36" t="s">
        <v>122</v>
      </c>
      <c r="D41" s="47" t="s">
        <v>134</v>
      </c>
      <c r="M41" s="36" t="s">
        <v>146</v>
      </c>
      <c r="N41" s="36" t="s">
        <v>134</v>
      </c>
      <c r="O41" s="36" t="s">
        <v>133</v>
      </c>
      <c r="P41" s="36" t="s">
        <v>133</v>
      </c>
      <c r="Q41" s="36" t="s">
        <v>133</v>
      </c>
      <c r="R41" s="36" t="s">
        <v>151</v>
      </c>
      <c r="Y41" s="36" t="s">
        <v>165</v>
      </c>
      <c r="Z41" s="36" t="s">
        <v>167</v>
      </c>
      <c r="AA41" s="36" t="s">
        <v>172</v>
      </c>
      <c r="AB41" s="36" t="s">
        <v>181</v>
      </c>
      <c r="AD41" s="36" t="s">
        <v>388</v>
      </c>
      <c r="AE41" s="36">
        <v>5</v>
      </c>
      <c r="AF41" s="36" t="s">
        <v>189</v>
      </c>
      <c r="AG41" s="36" t="s">
        <v>189</v>
      </c>
      <c r="AH41" s="36" t="s">
        <v>134</v>
      </c>
      <c r="AI41" s="40">
        <v>2000</v>
      </c>
      <c r="AJ41" s="36">
        <v>5</v>
      </c>
      <c r="AK41" s="36">
        <v>2</v>
      </c>
      <c r="AL41" s="36" t="s">
        <v>133</v>
      </c>
      <c r="AP41" s="36" t="s">
        <v>388</v>
      </c>
      <c r="AQ41" s="40">
        <v>2000</v>
      </c>
      <c r="AR41" s="36">
        <v>4</v>
      </c>
      <c r="AS41" s="36">
        <v>5</v>
      </c>
      <c r="AT41" s="36">
        <v>2</v>
      </c>
      <c r="AU41" s="36">
        <v>4</v>
      </c>
      <c r="AV41" s="36">
        <v>4</v>
      </c>
      <c r="AW41" s="36" t="s">
        <v>192</v>
      </c>
      <c r="AX41" s="36" t="s">
        <v>206</v>
      </c>
      <c r="AY41" s="36" t="s">
        <v>210</v>
      </c>
      <c r="AZ41" s="36" t="s">
        <v>134</v>
      </c>
      <c r="BA41" s="36" t="s">
        <v>212</v>
      </c>
      <c r="BB41" s="36" t="s">
        <v>336</v>
      </c>
      <c r="BC41" s="36" t="s">
        <v>292</v>
      </c>
      <c r="BD41" s="36" t="s">
        <v>189</v>
      </c>
      <c r="BF41" s="36" t="s">
        <v>219</v>
      </c>
      <c r="BG41" s="36">
        <v>5</v>
      </c>
      <c r="BH41" s="36">
        <v>3</v>
      </c>
      <c r="BI41" s="36">
        <v>4</v>
      </c>
      <c r="BJ41" s="36">
        <v>4</v>
      </c>
      <c r="BK41" s="36">
        <v>4</v>
      </c>
      <c r="BL41" s="36">
        <v>4</v>
      </c>
      <c r="BM41" s="36">
        <v>4</v>
      </c>
      <c r="BN41" s="36">
        <v>4</v>
      </c>
      <c r="BO41" s="36">
        <v>4</v>
      </c>
      <c r="BP41" s="36">
        <v>5</v>
      </c>
      <c r="BQ41" s="36">
        <v>5</v>
      </c>
      <c r="BR41" s="36">
        <v>4</v>
      </c>
      <c r="BS41" s="36">
        <v>2</v>
      </c>
      <c r="BT41" s="36">
        <v>5</v>
      </c>
      <c r="BU41" s="36">
        <v>4</v>
      </c>
      <c r="BV41" s="36">
        <v>4</v>
      </c>
      <c r="BW41" s="36">
        <v>4</v>
      </c>
      <c r="BX41" s="36">
        <v>4</v>
      </c>
      <c r="BY41" s="36">
        <v>5</v>
      </c>
      <c r="BZ41" s="36">
        <v>5</v>
      </c>
      <c r="CA41" s="36">
        <v>4</v>
      </c>
      <c r="CB41" s="36">
        <v>4</v>
      </c>
      <c r="CC41" s="36">
        <v>4</v>
      </c>
      <c r="CD41" s="36">
        <v>4</v>
      </c>
      <c r="CE41" s="36">
        <v>4</v>
      </c>
      <c r="CF41" s="36">
        <v>2</v>
      </c>
      <c r="CG41" s="36">
        <v>4</v>
      </c>
      <c r="CH41" s="36" t="s">
        <v>225</v>
      </c>
      <c r="CI41"/>
      <c r="CJ41"/>
      <c r="CK41" s="36" t="s">
        <v>237</v>
      </c>
      <c r="CL41" t="s">
        <v>239</v>
      </c>
      <c r="CM41" t="s">
        <v>240</v>
      </c>
      <c r="CN41" s="36" t="s">
        <v>242</v>
      </c>
      <c r="CO41" s="36" t="s">
        <v>133</v>
      </c>
      <c r="CP41" s="36">
        <v>3</v>
      </c>
      <c r="CQ41" s="36">
        <v>3</v>
      </c>
      <c r="CR41" s="36" t="s">
        <v>248</v>
      </c>
      <c r="CS41" s="36">
        <v>5</v>
      </c>
      <c r="CT41" s="36">
        <v>4</v>
      </c>
      <c r="CU41" s="36">
        <v>5</v>
      </c>
      <c r="CV41" s="36">
        <v>5</v>
      </c>
      <c r="CW41" s="36">
        <v>5</v>
      </c>
      <c r="CX41" s="36">
        <v>4</v>
      </c>
      <c r="CY41" s="36">
        <v>5</v>
      </c>
      <c r="CZ41" s="36">
        <v>5</v>
      </c>
      <c r="DA41" s="36">
        <v>4</v>
      </c>
      <c r="DB41" s="36">
        <v>4</v>
      </c>
      <c r="DC41" s="36">
        <v>3</v>
      </c>
      <c r="DD41" s="36">
        <v>4</v>
      </c>
      <c r="DE41" s="36">
        <v>4</v>
      </c>
      <c r="DF41" s="36">
        <v>4</v>
      </c>
      <c r="DG41" s="36">
        <v>4</v>
      </c>
      <c r="DH41" s="36">
        <v>4</v>
      </c>
      <c r="DI41" s="36" t="s">
        <v>133</v>
      </c>
      <c r="DJ41" s="36" t="s">
        <v>133</v>
      </c>
      <c r="DK41" s="36" t="s">
        <v>254</v>
      </c>
      <c r="DL41" t="s">
        <v>255</v>
      </c>
      <c r="DM41"/>
      <c r="DN41"/>
      <c r="DO41" t="s">
        <v>257</v>
      </c>
      <c r="DP41"/>
      <c r="DQ41" s="36">
        <v>5</v>
      </c>
      <c r="DR41" s="36" t="s">
        <v>133</v>
      </c>
      <c r="DS41" s="36" t="s">
        <v>258</v>
      </c>
      <c r="DT41" t="s">
        <v>259</v>
      </c>
      <c r="DU41"/>
      <c r="DV41"/>
      <c r="DW41" t="s">
        <v>261</v>
      </c>
      <c r="DX41"/>
      <c r="DY41" s="36">
        <v>5</v>
      </c>
      <c r="DZ41" s="36" t="s">
        <v>133</v>
      </c>
      <c r="EA41" s="36">
        <v>5</v>
      </c>
      <c r="EB41" s="36" t="s">
        <v>263</v>
      </c>
      <c r="EC41" s="36" t="s">
        <v>267</v>
      </c>
      <c r="ED41" s="36">
        <v>23</v>
      </c>
      <c r="EE41" s="36" t="s">
        <v>292</v>
      </c>
      <c r="EF41" s="36" t="str">
        <f>Tabulacao!MC41</f>
        <v>Aracaju</v>
      </c>
      <c r="EG41" s="36" t="s">
        <v>292</v>
      </c>
      <c r="EH41" s="36" t="str">
        <f>Tabulacao!MG41</f>
        <v>Aracaju</v>
      </c>
      <c r="EI41" s="36" t="s">
        <v>292</v>
      </c>
      <c r="EJ41" s="36" t="str">
        <f>Tabulacao!MK41</f>
        <v>Aracaju</v>
      </c>
      <c r="EK41" s="36" t="s">
        <v>134</v>
      </c>
      <c r="EL41" s="36" t="s">
        <v>134</v>
      </c>
      <c r="EM41" s="36" t="s">
        <v>134</v>
      </c>
      <c r="EN41" s="36" t="s">
        <v>134</v>
      </c>
      <c r="EO41" s="36" t="s">
        <v>270</v>
      </c>
      <c r="EP41" s="36" t="s">
        <v>134</v>
      </c>
      <c r="EQ41" s="36" t="s">
        <v>275</v>
      </c>
      <c r="ER41" s="36" t="str">
        <f>IF(OR(EQ41=CaractAmostra!$BD$9,EQ41=CaractAmostra!$BD$10,EQ41=CaractAmostra!$BD$11,EQ41=CaractAmostra!$BD$12,EQ41=CaractAmostra!$BD$13),Respostas_Formatadas!EQ41,"Outros")</f>
        <v>Com os pais</v>
      </c>
      <c r="ES41" s="36" t="s">
        <v>275</v>
      </c>
      <c r="ET41" s="36" t="str">
        <f>IF(OR(ES41=CaractAmostra!$BH$9,ES41=CaractAmostra!$BH$10,ES41=CaractAmostra!$BH$11,ES41=CaractAmostra!$BH$12),Respostas_Formatadas!ES41,"Outros")</f>
        <v>Com os pais</v>
      </c>
      <c r="EU41" s="36" t="s">
        <v>134</v>
      </c>
      <c r="EV41" s="36" t="s">
        <v>285</v>
      </c>
      <c r="EW41" s="36" t="s">
        <v>282</v>
      </c>
      <c r="FE41" s="47">
        <v>2018</v>
      </c>
      <c r="FF41" s="97">
        <v>5.2964000000000002</v>
      </c>
      <c r="FI41" s="47" t="str">
        <f t="shared" si="0"/>
        <v>Aracaju</v>
      </c>
      <c r="FJ41" s="47" t="str">
        <f t="shared" si="1"/>
        <v>Licenciatura</v>
      </c>
    </row>
    <row r="42" spans="1:166" s="36" customFormat="1" ht="15.75" customHeight="1" x14ac:dyDescent="0.2">
      <c r="A42" s="38">
        <v>43405.977018449077</v>
      </c>
      <c r="C42" s="36" t="s">
        <v>121</v>
      </c>
      <c r="D42" s="47" t="s">
        <v>134</v>
      </c>
      <c r="M42" s="36" t="s">
        <v>146</v>
      </c>
      <c r="N42" s="36" t="s">
        <v>134</v>
      </c>
      <c r="O42" s="36" t="s">
        <v>134</v>
      </c>
      <c r="P42" s="36" t="s">
        <v>133</v>
      </c>
      <c r="Q42" s="36" t="s">
        <v>134</v>
      </c>
      <c r="R42" s="36" t="s">
        <v>152</v>
      </c>
      <c r="S42" s="36" t="s">
        <v>422</v>
      </c>
      <c r="T42" s="36" t="s">
        <v>154</v>
      </c>
      <c r="U42" s="36" t="s">
        <v>157</v>
      </c>
      <c r="V42" s="36">
        <v>1</v>
      </c>
      <c r="W42" s="36">
        <v>1</v>
      </c>
      <c r="X42" s="36">
        <v>5</v>
      </c>
      <c r="Y42" s="36" t="s">
        <v>165</v>
      </c>
      <c r="Z42" s="36" t="s">
        <v>168</v>
      </c>
      <c r="AA42" s="36" t="s">
        <v>173</v>
      </c>
      <c r="AB42" s="36" t="s">
        <v>181</v>
      </c>
      <c r="AD42" s="36" t="s">
        <v>405</v>
      </c>
      <c r="AE42" s="36">
        <v>1</v>
      </c>
      <c r="AF42" s="36" t="s">
        <v>406</v>
      </c>
      <c r="AG42" s="36" t="s">
        <v>189</v>
      </c>
      <c r="AH42" s="36" t="s">
        <v>133</v>
      </c>
      <c r="AI42" s="40">
        <v>1300</v>
      </c>
      <c r="AJ42" s="36">
        <v>1</v>
      </c>
      <c r="AK42" s="36">
        <v>5</v>
      </c>
      <c r="AL42" s="36" t="s">
        <v>134</v>
      </c>
      <c r="AM42" s="36" t="s">
        <v>169</v>
      </c>
      <c r="AN42" s="36">
        <v>2</v>
      </c>
      <c r="AO42" s="36" t="s">
        <v>133</v>
      </c>
      <c r="AP42" s="36" t="s">
        <v>407</v>
      </c>
      <c r="AQ42" s="40">
        <v>1000</v>
      </c>
      <c r="AR42" s="36">
        <v>3</v>
      </c>
      <c r="AS42" s="36">
        <v>1</v>
      </c>
      <c r="AT42" s="36">
        <v>3</v>
      </c>
      <c r="AU42" s="36">
        <v>3</v>
      </c>
      <c r="AV42" s="36">
        <v>1</v>
      </c>
      <c r="AW42" s="36" t="s">
        <v>193</v>
      </c>
      <c r="AX42" s="36" t="s">
        <v>203</v>
      </c>
      <c r="AY42" s="36" t="s">
        <v>209</v>
      </c>
      <c r="AZ42" s="36" t="s">
        <v>134</v>
      </c>
      <c r="BA42" s="36" t="s">
        <v>167</v>
      </c>
      <c r="BB42" s="36" t="s">
        <v>408</v>
      </c>
      <c r="BC42" s="36" t="s">
        <v>399</v>
      </c>
      <c r="BD42" s="36" t="s">
        <v>190</v>
      </c>
      <c r="BG42" s="36">
        <v>1</v>
      </c>
      <c r="BH42" s="36">
        <v>5</v>
      </c>
      <c r="BI42" s="36">
        <v>5</v>
      </c>
      <c r="BJ42" s="36">
        <v>1</v>
      </c>
      <c r="BK42" s="36">
        <v>5</v>
      </c>
      <c r="BL42" s="36">
        <v>5</v>
      </c>
      <c r="BM42" s="36">
        <v>5</v>
      </c>
      <c r="BN42" s="36">
        <v>5</v>
      </c>
      <c r="BO42" s="36">
        <v>4</v>
      </c>
      <c r="BP42" s="36">
        <v>5</v>
      </c>
      <c r="BQ42" s="36">
        <v>4</v>
      </c>
      <c r="BR42" s="36">
        <v>3</v>
      </c>
      <c r="BS42" s="36">
        <v>1</v>
      </c>
      <c r="BT42" s="36">
        <v>4</v>
      </c>
      <c r="BU42" s="36">
        <v>4</v>
      </c>
      <c r="BV42" s="36">
        <v>5</v>
      </c>
      <c r="BW42" s="36">
        <v>5</v>
      </c>
      <c r="BX42" s="36">
        <v>5</v>
      </c>
      <c r="BY42" s="36">
        <v>5</v>
      </c>
      <c r="BZ42" s="36">
        <v>5</v>
      </c>
      <c r="CA42" s="36">
        <v>5</v>
      </c>
      <c r="CB42" s="36">
        <v>4</v>
      </c>
      <c r="CC42" s="36">
        <v>5</v>
      </c>
      <c r="CD42" s="36">
        <v>5</v>
      </c>
      <c r="CE42" s="36">
        <v>5</v>
      </c>
      <c r="CF42" s="36">
        <v>2</v>
      </c>
      <c r="CG42" s="36">
        <v>3</v>
      </c>
      <c r="CH42" s="36" t="s">
        <v>222</v>
      </c>
      <c r="CI42"/>
      <c r="CJ42"/>
      <c r="CK42" s="36" t="s">
        <v>234</v>
      </c>
      <c r="CL42"/>
      <c r="CM42"/>
      <c r="CN42" s="36" t="s">
        <v>241</v>
      </c>
      <c r="CO42" s="36" t="s">
        <v>133</v>
      </c>
      <c r="CP42" s="36">
        <v>1</v>
      </c>
      <c r="CQ42" s="36">
        <v>5</v>
      </c>
      <c r="CR42" s="36" t="s">
        <v>248</v>
      </c>
      <c r="CS42" s="36">
        <v>5</v>
      </c>
      <c r="CT42" s="36">
        <v>5</v>
      </c>
      <c r="CU42" s="36">
        <v>5</v>
      </c>
      <c r="CV42" s="36">
        <v>5</v>
      </c>
      <c r="CW42" s="36">
        <v>5</v>
      </c>
      <c r="CX42" s="36">
        <v>5</v>
      </c>
      <c r="CY42" s="36">
        <v>5</v>
      </c>
      <c r="CZ42" s="36">
        <v>5</v>
      </c>
      <c r="DA42" s="36">
        <v>5</v>
      </c>
      <c r="DB42" s="36">
        <v>5</v>
      </c>
      <c r="DC42" s="36">
        <v>3</v>
      </c>
      <c r="DD42" s="36">
        <v>5</v>
      </c>
      <c r="DE42" s="36">
        <v>2</v>
      </c>
      <c r="DF42" s="36">
        <v>5</v>
      </c>
      <c r="DG42" s="36">
        <v>5</v>
      </c>
      <c r="DH42" s="36">
        <v>4</v>
      </c>
      <c r="DI42" s="36" t="s">
        <v>133</v>
      </c>
      <c r="DJ42" s="36" t="s">
        <v>133</v>
      </c>
      <c r="DK42" s="36" t="s">
        <v>255</v>
      </c>
      <c r="DL42"/>
      <c r="DM42"/>
      <c r="DN42" t="s">
        <v>257</v>
      </c>
      <c r="DO42"/>
      <c r="DP42"/>
      <c r="DQ42" s="36">
        <v>5</v>
      </c>
      <c r="DR42" s="36" t="s">
        <v>133</v>
      </c>
      <c r="DS42" s="36" t="s">
        <v>259</v>
      </c>
      <c r="DT42"/>
      <c r="DU42"/>
      <c r="DV42"/>
      <c r="DW42"/>
      <c r="DX42"/>
      <c r="DY42" s="36">
        <v>5</v>
      </c>
      <c r="DZ42" s="36" t="s">
        <v>133</v>
      </c>
      <c r="EA42" s="36">
        <v>5</v>
      </c>
      <c r="EB42" s="36" t="s">
        <v>263</v>
      </c>
      <c r="EC42" s="36" t="s">
        <v>267</v>
      </c>
      <c r="ED42" s="36">
        <v>41</v>
      </c>
      <c r="EE42" s="36" t="s">
        <v>399</v>
      </c>
      <c r="EF42" s="36" t="str">
        <f>Tabulacao!MC42</f>
        <v>São Cristóvão</v>
      </c>
      <c r="EG42" s="36" t="s">
        <v>399</v>
      </c>
      <c r="EH42" s="36" t="str">
        <f>Tabulacao!MG42</f>
        <v>São Cristóvão</v>
      </c>
      <c r="EI42" s="36" t="s">
        <v>399</v>
      </c>
      <c r="EJ42" s="36" t="str">
        <f>Tabulacao!MK42</f>
        <v>São Cristóvão</v>
      </c>
      <c r="EK42" s="36" t="s">
        <v>134</v>
      </c>
      <c r="EL42" s="36" t="s">
        <v>134</v>
      </c>
      <c r="EM42" s="36" t="s">
        <v>134</v>
      </c>
      <c r="EN42" s="36" t="s">
        <v>134</v>
      </c>
      <c r="EO42" s="36" t="s">
        <v>134</v>
      </c>
      <c r="EP42" s="36" t="s">
        <v>134</v>
      </c>
      <c r="EQ42" s="36" t="s">
        <v>274</v>
      </c>
      <c r="ER42" s="36" t="str">
        <f>IF(OR(EQ42=CaractAmostra!$BD$9,EQ42=CaractAmostra!$BD$10,EQ42=CaractAmostra!$BD$11,EQ42=CaractAmostra!$BD$12,EQ42=CaractAmostra!$BD$13),Respostas_Formatadas!EQ42,"Outros")</f>
        <v>Com um(a) parceiro(a)</v>
      </c>
      <c r="ES42" s="36" t="s">
        <v>274</v>
      </c>
      <c r="ET42" s="36" t="str">
        <f>IF(OR(ES42=CaractAmostra!$BH$9,ES42=CaractAmostra!$BH$10,ES42=CaractAmostra!$BH$11,ES42=CaractAmostra!$BH$12),Respostas_Formatadas!ES42,"Outros")</f>
        <v>Com um(a) parceiro(a)</v>
      </c>
      <c r="EU42" s="36" t="s">
        <v>280</v>
      </c>
      <c r="EV42" s="36" t="s">
        <v>285</v>
      </c>
      <c r="EW42" s="36" t="s">
        <v>282</v>
      </c>
      <c r="FE42" s="47">
        <v>2015</v>
      </c>
      <c r="FF42" s="97">
        <v>7.3917999999999999</v>
      </c>
      <c r="FI42" s="47" t="str">
        <f t="shared" si="0"/>
        <v>Aracaju</v>
      </c>
      <c r="FJ42" s="47" t="str">
        <f t="shared" si="1"/>
        <v>Licenciatura</v>
      </c>
    </row>
    <row r="43" spans="1:166" s="36" customFormat="1" ht="15.75" customHeight="1" x14ac:dyDescent="0.2">
      <c r="A43" s="38">
        <v>43405.980041608796</v>
      </c>
      <c r="C43" s="36" t="s">
        <v>122</v>
      </c>
      <c r="D43" s="47" t="s">
        <v>134</v>
      </c>
      <c r="M43" s="36" t="s">
        <v>147</v>
      </c>
      <c r="N43" s="36" t="s">
        <v>134</v>
      </c>
      <c r="O43" s="36" t="s">
        <v>133</v>
      </c>
      <c r="P43" s="36" t="s">
        <v>133</v>
      </c>
      <c r="Q43" s="36" t="s">
        <v>133</v>
      </c>
      <c r="R43" s="36" t="s">
        <v>151</v>
      </c>
      <c r="Y43" s="36" t="s">
        <v>166</v>
      </c>
      <c r="AC43" s="36" t="s">
        <v>179</v>
      </c>
      <c r="AD43" s="36" t="s">
        <v>409</v>
      </c>
      <c r="AE43" s="36">
        <v>1</v>
      </c>
      <c r="AF43" s="36" t="s">
        <v>190</v>
      </c>
      <c r="AG43" s="36" t="s">
        <v>190</v>
      </c>
      <c r="AH43" s="36" t="s">
        <v>134</v>
      </c>
      <c r="AI43" s="40">
        <v>3850</v>
      </c>
      <c r="AJ43" s="36">
        <v>3</v>
      </c>
      <c r="AK43" s="36">
        <v>2</v>
      </c>
      <c r="AL43" s="36" t="s">
        <v>133</v>
      </c>
      <c r="AP43" s="36" t="s">
        <v>409</v>
      </c>
      <c r="AQ43" s="40">
        <v>3850</v>
      </c>
      <c r="AR43" s="36">
        <v>2</v>
      </c>
      <c r="AS43" s="36">
        <v>3</v>
      </c>
      <c r="AT43" s="36">
        <v>3</v>
      </c>
      <c r="AU43" s="36">
        <v>3</v>
      </c>
      <c r="AV43" s="36">
        <v>3</v>
      </c>
      <c r="AW43" s="36" t="s">
        <v>194</v>
      </c>
      <c r="AX43" s="36" t="s">
        <v>206</v>
      </c>
      <c r="AY43" s="36" t="s">
        <v>208</v>
      </c>
      <c r="AZ43" s="36" t="s">
        <v>133</v>
      </c>
      <c r="BA43" s="36" t="s">
        <v>170</v>
      </c>
      <c r="BB43" s="36" t="s">
        <v>410</v>
      </c>
      <c r="BC43" s="36" t="s">
        <v>292</v>
      </c>
      <c r="BD43" s="36" t="s">
        <v>190</v>
      </c>
      <c r="BG43" s="36">
        <v>3</v>
      </c>
      <c r="BH43" s="36">
        <v>3</v>
      </c>
      <c r="BI43" s="36">
        <v>3</v>
      </c>
      <c r="BJ43" s="36">
        <v>3</v>
      </c>
      <c r="BK43" s="36">
        <v>3</v>
      </c>
      <c r="BL43" s="36">
        <v>3</v>
      </c>
      <c r="BM43" s="36">
        <v>4</v>
      </c>
      <c r="BN43" s="36">
        <v>4</v>
      </c>
      <c r="BO43" s="36">
        <v>3</v>
      </c>
      <c r="BP43" s="36">
        <v>3</v>
      </c>
      <c r="BQ43" s="36">
        <v>3</v>
      </c>
      <c r="BR43" s="36">
        <v>4</v>
      </c>
      <c r="BS43" s="36">
        <v>2</v>
      </c>
      <c r="BT43" s="36">
        <v>3</v>
      </c>
      <c r="BU43" s="36">
        <v>3</v>
      </c>
      <c r="BV43" s="36">
        <v>3</v>
      </c>
      <c r="BW43" s="36">
        <v>3</v>
      </c>
      <c r="BX43" s="36">
        <v>3</v>
      </c>
      <c r="BY43" s="36">
        <v>3</v>
      </c>
      <c r="BZ43" s="36">
        <v>3</v>
      </c>
      <c r="CA43" s="36">
        <v>4</v>
      </c>
      <c r="CB43" s="36">
        <v>3</v>
      </c>
      <c r="CC43" s="36">
        <v>3</v>
      </c>
      <c r="CD43" s="36">
        <v>3</v>
      </c>
      <c r="CE43" s="36">
        <v>3</v>
      </c>
      <c r="CF43" s="36">
        <v>3</v>
      </c>
      <c r="CG43" s="36">
        <v>3</v>
      </c>
      <c r="CH43" s="36" t="s">
        <v>222</v>
      </c>
      <c r="CI43"/>
      <c r="CJ43"/>
      <c r="CK43" s="36" t="s">
        <v>235</v>
      </c>
      <c r="CL43"/>
      <c r="CM43"/>
      <c r="CN43" s="36" t="s">
        <v>242</v>
      </c>
      <c r="CO43" s="36" t="s">
        <v>134</v>
      </c>
      <c r="CP43" s="36">
        <v>1</v>
      </c>
      <c r="CQ43" s="36">
        <v>4</v>
      </c>
      <c r="CR43" s="36" t="s">
        <v>249</v>
      </c>
      <c r="CS43" s="36">
        <v>3</v>
      </c>
      <c r="CT43" s="36">
        <v>3</v>
      </c>
      <c r="CU43" s="36">
        <v>3</v>
      </c>
      <c r="CV43" s="36">
        <v>1</v>
      </c>
      <c r="CW43" s="36">
        <v>4</v>
      </c>
      <c r="CX43" s="36">
        <v>4</v>
      </c>
      <c r="CY43" s="36">
        <v>4</v>
      </c>
      <c r="CZ43" s="36">
        <v>3</v>
      </c>
      <c r="DA43" s="36">
        <v>3</v>
      </c>
      <c r="DB43" s="36">
        <v>4</v>
      </c>
      <c r="DC43" s="36">
        <v>3</v>
      </c>
      <c r="DD43" s="36">
        <v>3</v>
      </c>
      <c r="DE43" s="36">
        <v>3</v>
      </c>
      <c r="DF43" s="36">
        <v>3</v>
      </c>
      <c r="DG43" s="36">
        <v>4</v>
      </c>
      <c r="DH43" s="36">
        <v>2</v>
      </c>
      <c r="DI43" s="36" t="s">
        <v>250</v>
      </c>
      <c r="DJ43" s="36" t="s">
        <v>133</v>
      </c>
      <c r="DK43" s="36" t="s">
        <v>255</v>
      </c>
      <c r="DL43"/>
      <c r="DM43"/>
      <c r="DN43"/>
      <c r="DO43"/>
      <c r="DP43"/>
      <c r="DQ43" s="36">
        <v>4</v>
      </c>
      <c r="DR43" s="36" t="s">
        <v>134</v>
      </c>
      <c r="DT43"/>
      <c r="DU43"/>
      <c r="DV43"/>
      <c r="DW43"/>
      <c r="DX43"/>
      <c r="DZ43" s="36" t="s">
        <v>133</v>
      </c>
      <c r="EA43" s="36">
        <v>3</v>
      </c>
      <c r="EB43" s="36" t="s">
        <v>262</v>
      </c>
      <c r="EC43" s="36" t="s">
        <v>265</v>
      </c>
      <c r="ED43" s="36">
        <v>42</v>
      </c>
      <c r="EE43" s="36" t="s">
        <v>358</v>
      </c>
      <c r="EF43" s="36" t="str">
        <f>Tabulacao!MC43</f>
        <v>Nossa Senhora do Socorro</v>
      </c>
      <c r="EG43" s="36" t="s">
        <v>358</v>
      </c>
      <c r="EH43" s="36" t="str">
        <f>Tabulacao!MG43</f>
        <v>Nossa Senhora do Socorro</v>
      </c>
      <c r="EI43" s="36" t="s">
        <v>358</v>
      </c>
      <c r="EJ43" s="36" t="str">
        <f>Tabulacao!MK43</f>
        <v>Nossa Senhora do Socorro</v>
      </c>
      <c r="EK43" s="36" t="s">
        <v>134</v>
      </c>
      <c r="EL43" s="36" t="s">
        <v>134</v>
      </c>
      <c r="EM43" s="36" t="s">
        <v>134</v>
      </c>
      <c r="EN43" s="36" t="s">
        <v>134</v>
      </c>
      <c r="EO43" s="36" t="s">
        <v>134</v>
      </c>
      <c r="EP43" s="36" t="s">
        <v>134</v>
      </c>
      <c r="EQ43" s="36" t="s">
        <v>274</v>
      </c>
      <c r="ER43" s="36" t="str">
        <f>IF(OR(EQ43=CaractAmostra!$BD$9,EQ43=CaractAmostra!$BD$10,EQ43=CaractAmostra!$BD$11,EQ43=CaractAmostra!$BD$12,EQ43=CaractAmostra!$BD$13),Respostas_Formatadas!EQ43,"Outros")</f>
        <v>Com um(a) parceiro(a)</v>
      </c>
      <c r="ES43" s="36" t="s">
        <v>274</v>
      </c>
      <c r="ET43" s="36" t="str">
        <f>IF(OR(ES43=CaractAmostra!$BH$9,ES43=CaractAmostra!$BH$10,ES43=CaractAmostra!$BH$11,ES43=CaractAmostra!$BH$12),Respostas_Formatadas!ES43,"Outros")</f>
        <v>Com um(a) parceiro(a)</v>
      </c>
      <c r="EU43" s="36" t="s">
        <v>280</v>
      </c>
      <c r="EV43" s="36" t="s">
        <v>283</v>
      </c>
      <c r="EW43" s="36" t="s">
        <v>283</v>
      </c>
      <c r="FE43" s="47">
        <v>2017</v>
      </c>
      <c r="FF43" s="97">
        <v>7.8282999999999996</v>
      </c>
      <c r="FI43" s="47" t="str">
        <f t="shared" si="0"/>
        <v>Aracaju</v>
      </c>
      <c r="FJ43" s="47" t="str">
        <f t="shared" si="1"/>
        <v>Licenciatura</v>
      </c>
    </row>
    <row r="44" spans="1:166" s="36" customFormat="1" ht="15.75" customHeight="1" x14ac:dyDescent="0.2">
      <c r="A44" s="38">
        <v>43405.983214374995</v>
      </c>
      <c r="C44" s="36" t="s">
        <v>120</v>
      </c>
      <c r="D44" s="47" t="s">
        <v>134</v>
      </c>
      <c r="M44" s="36" t="s">
        <v>148</v>
      </c>
      <c r="N44" s="36" t="s">
        <v>133</v>
      </c>
      <c r="O44" s="36" t="s">
        <v>133</v>
      </c>
      <c r="P44" s="36" t="s">
        <v>133</v>
      </c>
      <c r="Q44" s="36" t="s">
        <v>134</v>
      </c>
      <c r="R44" s="36" t="s">
        <v>151</v>
      </c>
      <c r="Y44" s="36" t="s">
        <v>166</v>
      </c>
      <c r="AC44" s="36" t="s">
        <v>178</v>
      </c>
      <c r="AD44" s="36" t="s">
        <v>411</v>
      </c>
      <c r="AE44" s="36">
        <v>4</v>
      </c>
      <c r="AF44" s="36" t="s">
        <v>189</v>
      </c>
      <c r="AG44" s="36" t="s">
        <v>189</v>
      </c>
      <c r="AH44" s="36" t="s">
        <v>133</v>
      </c>
      <c r="AI44" s="40">
        <v>8000</v>
      </c>
      <c r="AJ44" s="36">
        <v>4</v>
      </c>
      <c r="AK44" s="36">
        <v>4</v>
      </c>
      <c r="AL44" s="36" t="s">
        <v>133</v>
      </c>
      <c r="AP44" s="36" t="s">
        <v>412</v>
      </c>
      <c r="AQ44" s="40">
        <v>8000</v>
      </c>
      <c r="AR44" s="36">
        <v>5</v>
      </c>
      <c r="AS44" s="36">
        <v>4</v>
      </c>
      <c r="AT44" s="36">
        <v>4</v>
      </c>
      <c r="AU44" s="36">
        <v>5</v>
      </c>
      <c r="AV44" s="36">
        <v>4</v>
      </c>
      <c r="AW44" s="36" t="s">
        <v>192</v>
      </c>
      <c r="AX44" s="36" t="s">
        <v>206</v>
      </c>
      <c r="AY44" s="36" t="s">
        <v>211</v>
      </c>
      <c r="BG44" s="36">
        <v>5</v>
      </c>
      <c r="BH44" s="36">
        <v>3</v>
      </c>
      <c r="BI44" s="36">
        <v>5</v>
      </c>
      <c r="BJ44" s="36">
        <v>2</v>
      </c>
      <c r="BK44" s="36">
        <v>4</v>
      </c>
      <c r="BL44" s="36">
        <v>5</v>
      </c>
      <c r="BM44" s="36">
        <v>5</v>
      </c>
      <c r="BN44" s="36">
        <v>5</v>
      </c>
      <c r="BO44" s="36">
        <v>4</v>
      </c>
      <c r="BP44" s="36">
        <v>4</v>
      </c>
      <c r="BQ44" s="36">
        <v>2</v>
      </c>
      <c r="BR44" s="36">
        <v>1</v>
      </c>
      <c r="BS44" s="36">
        <v>5</v>
      </c>
      <c r="BT44" s="36">
        <v>3</v>
      </c>
      <c r="BU44" s="36">
        <v>3</v>
      </c>
      <c r="BV44" s="36">
        <v>4</v>
      </c>
      <c r="BW44" s="36">
        <v>2</v>
      </c>
      <c r="BX44" s="36">
        <v>2</v>
      </c>
      <c r="BY44" s="36">
        <v>3</v>
      </c>
      <c r="BZ44" s="36">
        <v>3</v>
      </c>
      <c r="CA44" s="36">
        <v>5</v>
      </c>
      <c r="CB44" s="36">
        <v>4</v>
      </c>
      <c r="CC44" s="36">
        <v>3</v>
      </c>
      <c r="CD44" s="36">
        <v>2</v>
      </c>
      <c r="CE44" s="36">
        <v>1</v>
      </c>
      <c r="CF44" s="36">
        <v>4</v>
      </c>
      <c r="CG44" s="36">
        <v>4</v>
      </c>
      <c r="CH44" s="36" t="s">
        <v>224</v>
      </c>
      <c r="CI44" t="s">
        <v>225</v>
      </c>
      <c r="CJ44" t="s">
        <v>226</v>
      </c>
      <c r="CK44" s="36" t="s">
        <v>232</v>
      </c>
      <c r="CL44" t="s">
        <v>236</v>
      </c>
      <c r="CM44" t="s">
        <v>238</v>
      </c>
      <c r="CN44" s="36" t="s">
        <v>242</v>
      </c>
      <c r="CO44" s="36" t="s">
        <v>133</v>
      </c>
      <c r="CP44" s="36">
        <v>5</v>
      </c>
      <c r="CQ44" s="36">
        <v>4</v>
      </c>
      <c r="CR44" s="36" t="s">
        <v>249</v>
      </c>
      <c r="CS44" s="36">
        <v>4</v>
      </c>
      <c r="CT44" s="36">
        <v>1</v>
      </c>
      <c r="CU44" s="36">
        <v>2</v>
      </c>
      <c r="CV44" s="36">
        <v>1</v>
      </c>
      <c r="CW44" s="36">
        <v>4</v>
      </c>
      <c r="CX44" s="36">
        <v>3</v>
      </c>
      <c r="CY44" s="36">
        <v>3</v>
      </c>
      <c r="CZ44" s="36">
        <v>4</v>
      </c>
      <c r="DA44" s="36">
        <v>2</v>
      </c>
      <c r="DB44" s="36">
        <v>1</v>
      </c>
      <c r="DC44" s="36">
        <v>4</v>
      </c>
      <c r="DD44" s="36">
        <v>3</v>
      </c>
      <c r="DE44" s="36">
        <v>4</v>
      </c>
      <c r="DF44" s="36">
        <v>4</v>
      </c>
      <c r="DG44" s="36">
        <v>3</v>
      </c>
      <c r="DH44" s="36">
        <v>2</v>
      </c>
      <c r="DI44" s="36" t="s">
        <v>133</v>
      </c>
      <c r="DJ44" s="36" t="s">
        <v>134</v>
      </c>
      <c r="DL44"/>
      <c r="DM44"/>
      <c r="DN44"/>
      <c r="DO44"/>
      <c r="DP44"/>
      <c r="DR44" s="36" t="s">
        <v>133</v>
      </c>
      <c r="DS44" s="36" t="s">
        <v>259</v>
      </c>
      <c r="DT44"/>
      <c r="DU44"/>
      <c r="DV44" t="s">
        <v>261</v>
      </c>
      <c r="DW44"/>
      <c r="DX44"/>
      <c r="DY44" s="36">
        <v>3</v>
      </c>
      <c r="DZ44" s="36" t="s">
        <v>134</v>
      </c>
      <c r="EB44" s="36" t="s">
        <v>262</v>
      </c>
      <c r="EC44" s="36" t="s">
        <v>267</v>
      </c>
      <c r="ED44" s="36">
        <v>27</v>
      </c>
      <c r="EE44" s="36" t="s">
        <v>291</v>
      </c>
      <c r="EF44" s="36" t="str">
        <f>Tabulacao!MC44</f>
        <v>Lagarto</v>
      </c>
      <c r="EG44" s="36" t="s">
        <v>291</v>
      </c>
      <c r="EH44" s="36" t="str">
        <f>Tabulacao!MG44</f>
        <v>Lagarto</v>
      </c>
      <c r="EI44" s="36" t="s">
        <v>413</v>
      </c>
      <c r="EJ44" s="36" t="str">
        <f>Tabulacao!MK44</f>
        <v>Belo Horizonte - MG</v>
      </c>
      <c r="EK44" s="36" t="s">
        <v>271</v>
      </c>
      <c r="EL44" s="36" t="s">
        <v>134</v>
      </c>
      <c r="EM44" s="36" t="s">
        <v>134</v>
      </c>
      <c r="EN44" s="36" t="s">
        <v>134</v>
      </c>
      <c r="EO44" s="36" t="s">
        <v>270</v>
      </c>
      <c r="EP44" s="36" t="s">
        <v>134</v>
      </c>
      <c r="EQ44" s="36" t="s">
        <v>275</v>
      </c>
      <c r="ER44" s="36" t="str">
        <f>IF(OR(EQ44=CaractAmostra!$BD$9,EQ44=CaractAmostra!$BD$10,EQ44=CaractAmostra!$BD$11,EQ44=CaractAmostra!$BD$12,EQ44=CaractAmostra!$BD$13),Respostas_Formatadas!EQ44,"Outros")</f>
        <v>Com os pais</v>
      </c>
      <c r="ES44" s="36" t="s">
        <v>277</v>
      </c>
      <c r="ET44" s="36" t="str">
        <f>IF(OR(ES44=CaractAmostra!$BH$9,ES44=CaractAmostra!$BH$10,ES44=CaractAmostra!$BH$11,ES44=CaractAmostra!$BH$12),Respostas_Formatadas!ES44,"Outros")</f>
        <v>Sozinho</v>
      </c>
      <c r="EU44" s="36" t="s">
        <v>134</v>
      </c>
      <c r="EV44" s="36" t="s">
        <v>192</v>
      </c>
      <c r="EW44" s="36" t="s">
        <v>287</v>
      </c>
      <c r="FE44" s="47">
        <v>2018</v>
      </c>
      <c r="FF44" s="97">
        <v>8.1380999999999997</v>
      </c>
      <c r="FI44" s="47" t="str">
        <f t="shared" si="0"/>
        <v>Lagarto</v>
      </c>
      <c r="FJ44" s="47" t="str">
        <f t="shared" si="1"/>
        <v>Bacharelado</v>
      </c>
    </row>
    <row r="45" spans="1:166" s="36" customFormat="1" ht="15.75" customHeight="1" x14ac:dyDescent="0.2">
      <c r="A45" s="38">
        <v>43406.02680950232</v>
      </c>
      <c r="C45" s="36" t="s">
        <v>119</v>
      </c>
      <c r="D45" s="47" t="s">
        <v>134</v>
      </c>
      <c r="M45" s="36" t="s">
        <v>146</v>
      </c>
      <c r="N45" s="36" t="s">
        <v>134</v>
      </c>
      <c r="O45" s="36" t="s">
        <v>134</v>
      </c>
      <c r="P45" s="36" t="s">
        <v>134</v>
      </c>
      <c r="Q45" s="36" t="s">
        <v>133</v>
      </c>
      <c r="R45" s="36" t="s">
        <v>151</v>
      </c>
      <c r="Y45" s="36" t="s">
        <v>166</v>
      </c>
      <c r="AC45" s="36" t="s">
        <v>186</v>
      </c>
      <c r="AD45" s="36" t="s">
        <v>414</v>
      </c>
      <c r="AE45" s="36">
        <v>2</v>
      </c>
      <c r="AF45" s="36" t="s">
        <v>190</v>
      </c>
      <c r="AG45" s="36" t="s">
        <v>190</v>
      </c>
      <c r="AH45" s="36" t="s">
        <v>134</v>
      </c>
      <c r="AI45" s="40">
        <v>1500</v>
      </c>
      <c r="AJ45" s="36">
        <v>2</v>
      </c>
      <c r="AK45" s="36">
        <v>2</v>
      </c>
      <c r="AL45" s="36" t="s">
        <v>133</v>
      </c>
      <c r="AP45" s="36" t="s">
        <v>415</v>
      </c>
      <c r="AQ45" s="40">
        <v>2300</v>
      </c>
      <c r="AR45" s="36">
        <v>2</v>
      </c>
      <c r="AS45" s="36">
        <v>2</v>
      </c>
      <c r="AT45" s="36">
        <v>2</v>
      </c>
      <c r="AU45" s="36">
        <v>2</v>
      </c>
      <c r="AV45" s="36">
        <v>1</v>
      </c>
      <c r="AW45" s="36" t="s">
        <v>198</v>
      </c>
      <c r="AX45" s="36" t="s">
        <v>206</v>
      </c>
      <c r="AY45" s="36" t="s">
        <v>210</v>
      </c>
      <c r="AZ45" s="36" t="s">
        <v>133</v>
      </c>
      <c r="BA45" s="36" t="s">
        <v>170</v>
      </c>
      <c r="BB45" s="36" t="s">
        <v>416</v>
      </c>
      <c r="BC45" s="36" t="s">
        <v>292</v>
      </c>
      <c r="BD45" s="36" t="s">
        <v>190</v>
      </c>
      <c r="BG45" s="36">
        <v>1</v>
      </c>
      <c r="BH45" s="36">
        <v>3</v>
      </c>
      <c r="BI45" s="36">
        <v>3</v>
      </c>
      <c r="BJ45" s="36">
        <v>1</v>
      </c>
      <c r="BK45" s="36">
        <v>3</v>
      </c>
      <c r="BL45" s="36">
        <v>2</v>
      </c>
      <c r="BM45" s="36">
        <v>1</v>
      </c>
      <c r="BN45" s="36">
        <v>3</v>
      </c>
      <c r="BO45" s="36">
        <v>2</v>
      </c>
      <c r="BP45" s="36">
        <v>2</v>
      </c>
      <c r="BQ45" s="36">
        <v>3</v>
      </c>
      <c r="BR45" s="36">
        <v>4</v>
      </c>
      <c r="BS45" s="36">
        <v>1</v>
      </c>
      <c r="BT45" s="36">
        <v>5</v>
      </c>
      <c r="BU45" s="36">
        <v>4</v>
      </c>
      <c r="BV45" s="36">
        <v>4</v>
      </c>
      <c r="BW45" s="36">
        <v>3</v>
      </c>
      <c r="BX45" s="36">
        <v>4</v>
      </c>
      <c r="BY45" s="36">
        <v>5</v>
      </c>
      <c r="BZ45" s="36">
        <v>4</v>
      </c>
      <c r="CA45" s="36">
        <v>5</v>
      </c>
      <c r="CB45" s="36">
        <v>4</v>
      </c>
      <c r="CC45" s="36">
        <v>4</v>
      </c>
      <c r="CD45" s="36">
        <v>5</v>
      </c>
      <c r="CE45" s="36">
        <v>5</v>
      </c>
      <c r="CF45" s="36">
        <v>4</v>
      </c>
      <c r="CG45" s="36">
        <v>1</v>
      </c>
      <c r="CH45" s="36" t="s">
        <v>222</v>
      </c>
      <c r="CI45" t="s">
        <v>225</v>
      </c>
      <c r="CJ45" t="s">
        <v>229</v>
      </c>
      <c r="CK45" s="36" t="s">
        <v>234</v>
      </c>
      <c r="CL45" t="s">
        <v>235</v>
      </c>
      <c r="CM45" t="s">
        <v>240</v>
      </c>
      <c r="CN45" s="36" t="s">
        <v>241</v>
      </c>
      <c r="CO45" s="36" t="s">
        <v>134</v>
      </c>
      <c r="CP45" s="36">
        <v>3</v>
      </c>
      <c r="CQ45" s="36">
        <v>4</v>
      </c>
      <c r="CR45" s="36" t="s">
        <v>249</v>
      </c>
      <c r="CS45" s="36">
        <v>3</v>
      </c>
      <c r="CT45" s="36">
        <v>4</v>
      </c>
      <c r="CU45" s="36">
        <v>3</v>
      </c>
      <c r="CV45" s="36">
        <v>2</v>
      </c>
      <c r="CW45" s="36">
        <v>4</v>
      </c>
      <c r="CX45" s="36">
        <v>4</v>
      </c>
      <c r="CY45" s="36">
        <v>4</v>
      </c>
      <c r="CZ45" s="36">
        <v>3</v>
      </c>
      <c r="DA45" s="36">
        <v>4</v>
      </c>
      <c r="DB45" s="36">
        <v>5</v>
      </c>
      <c r="DC45" s="36">
        <v>4</v>
      </c>
      <c r="DD45" s="36">
        <v>1</v>
      </c>
      <c r="DE45" s="36">
        <v>2</v>
      </c>
      <c r="DF45" s="36">
        <v>4</v>
      </c>
      <c r="DG45" s="36">
        <v>4</v>
      </c>
      <c r="DH45" s="36">
        <v>3</v>
      </c>
      <c r="DI45" s="36" t="s">
        <v>252</v>
      </c>
      <c r="DJ45" s="36" t="s">
        <v>133</v>
      </c>
      <c r="DK45" s="36" t="s">
        <v>254</v>
      </c>
      <c r="DL45" t="s">
        <v>255</v>
      </c>
      <c r="DM45"/>
      <c r="DN45"/>
      <c r="DO45"/>
      <c r="DP45"/>
      <c r="DQ45" s="36">
        <v>3</v>
      </c>
      <c r="DR45" s="36" t="s">
        <v>133</v>
      </c>
      <c r="DS45" s="36" t="s">
        <v>259</v>
      </c>
      <c r="DT45"/>
      <c r="DU45"/>
      <c r="DV45" t="s">
        <v>260</v>
      </c>
      <c r="DW45" t="s">
        <v>261</v>
      </c>
      <c r="DX45"/>
      <c r="DY45" s="36">
        <v>3</v>
      </c>
      <c r="DZ45" s="36" t="s">
        <v>134</v>
      </c>
      <c r="EB45" s="36" t="s">
        <v>262</v>
      </c>
      <c r="EC45" s="36" t="s">
        <v>265</v>
      </c>
      <c r="ED45" s="36">
        <v>25</v>
      </c>
      <c r="EE45" s="36" t="s">
        <v>292</v>
      </c>
      <c r="EF45" s="36" t="str">
        <f>Tabulacao!MC45</f>
        <v>Aracaju</v>
      </c>
      <c r="EG45" s="36" t="s">
        <v>292</v>
      </c>
      <c r="EH45" s="36" t="str">
        <f>Tabulacao!MG45</f>
        <v>Aracaju</v>
      </c>
      <c r="EI45" s="36" t="s">
        <v>292</v>
      </c>
      <c r="EJ45" s="36" t="str">
        <f>Tabulacao!MK45</f>
        <v>Aracaju</v>
      </c>
      <c r="EK45" s="36" t="s">
        <v>134</v>
      </c>
      <c r="EL45" s="36" t="s">
        <v>134</v>
      </c>
      <c r="EM45" s="36" t="s">
        <v>134</v>
      </c>
      <c r="EN45" s="36" t="s">
        <v>134</v>
      </c>
      <c r="EO45" s="36" t="s">
        <v>134</v>
      </c>
      <c r="EP45" s="36" t="s">
        <v>134</v>
      </c>
      <c r="EQ45" s="36" t="s">
        <v>275</v>
      </c>
      <c r="ER45" s="36" t="str">
        <f>IF(OR(EQ45=CaractAmostra!$BD$9,EQ45=CaractAmostra!$BD$10,EQ45=CaractAmostra!$BD$11,EQ45=CaractAmostra!$BD$12,EQ45=CaractAmostra!$BD$13),Respostas_Formatadas!EQ45,"Outros")</f>
        <v>Com os pais</v>
      </c>
      <c r="ES45" s="36" t="s">
        <v>275</v>
      </c>
      <c r="ET45" s="36" t="str">
        <f>IF(OR(ES45=CaractAmostra!$BH$9,ES45=CaractAmostra!$BH$10,ES45=CaractAmostra!$BH$11,ES45=CaractAmostra!$BH$12),Respostas_Formatadas!ES45,"Outros")</f>
        <v>Com os pais</v>
      </c>
      <c r="EU45" s="36" t="s">
        <v>134</v>
      </c>
      <c r="EV45" s="36" t="s">
        <v>287</v>
      </c>
      <c r="EW45" s="36" t="s">
        <v>287</v>
      </c>
      <c r="FE45" s="47">
        <v>2017</v>
      </c>
      <c r="FF45" s="97">
        <v>7.4306000000000001</v>
      </c>
      <c r="FI45" s="47" t="str">
        <f t="shared" si="0"/>
        <v>Aracaju</v>
      </c>
      <c r="FJ45" s="47" t="str">
        <f t="shared" si="1"/>
        <v>Bacharelado</v>
      </c>
    </row>
    <row r="46" spans="1:166" s="36" customFormat="1" ht="15.75" customHeight="1" x14ac:dyDescent="0.2">
      <c r="A46" s="38">
        <v>43406.094964525459</v>
      </c>
      <c r="C46" s="36" t="s">
        <v>128</v>
      </c>
      <c r="D46" s="47" t="s">
        <v>134</v>
      </c>
      <c r="M46" s="36" t="s">
        <v>146</v>
      </c>
      <c r="N46" s="36" t="s">
        <v>133</v>
      </c>
      <c r="O46" s="36" t="s">
        <v>134</v>
      </c>
      <c r="P46" s="36" t="s">
        <v>134</v>
      </c>
      <c r="Q46" s="36" t="s">
        <v>134</v>
      </c>
      <c r="R46" s="36" t="s">
        <v>151</v>
      </c>
      <c r="Y46" s="36" t="s">
        <v>165</v>
      </c>
      <c r="Z46" s="36" t="s">
        <v>168</v>
      </c>
      <c r="AA46" s="36" t="s">
        <v>173</v>
      </c>
      <c r="AB46" s="36" t="s">
        <v>182</v>
      </c>
      <c r="AD46" s="36" t="s">
        <v>417</v>
      </c>
      <c r="AE46" s="36">
        <v>5</v>
      </c>
      <c r="AF46" s="36" t="s">
        <v>187</v>
      </c>
      <c r="AG46" s="36" t="s">
        <v>187</v>
      </c>
      <c r="AH46" s="36" t="s">
        <v>134</v>
      </c>
      <c r="AI46" s="40">
        <v>1000</v>
      </c>
      <c r="AJ46" s="36">
        <v>5</v>
      </c>
      <c r="AK46" s="36">
        <v>5</v>
      </c>
      <c r="AL46" s="36" t="s">
        <v>134</v>
      </c>
      <c r="AM46" s="36" t="s">
        <v>167</v>
      </c>
      <c r="AN46" s="36">
        <v>2</v>
      </c>
      <c r="AO46" s="36" t="s">
        <v>133</v>
      </c>
      <c r="AP46" s="36" t="s">
        <v>418</v>
      </c>
      <c r="AQ46" s="40">
        <v>2000</v>
      </c>
      <c r="AR46" s="36">
        <v>4</v>
      </c>
      <c r="AS46" s="36">
        <v>5</v>
      </c>
      <c r="AT46" s="36">
        <v>3</v>
      </c>
      <c r="AU46" s="36">
        <v>4</v>
      </c>
      <c r="AV46" s="36">
        <v>4</v>
      </c>
      <c r="AW46" s="36" t="s">
        <v>419</v>
      </c>
      <c r="AX46" s="36" t="s">
        <v>207</v>
      </c>
      <c r="AY46" s="36" t="s">
        <v>210</v>
      </c>
      <c r="AZ46" s="36" t="s">
        <v>133</v>
      </c>
      <c r="BA46" s="36" t="s">
        <v>170</v>
      </c>
      <c r="BB46" s="36" t="s">
        <v>420</v>
      </c>
      <c r="BC46" s="36" t="s">
        <v>328</v>
      </c>
      <c r="BD46" s="36" t="s">
        <v>187</v>
      </c>
      <c r="BE46" s="36" t="s">
        <v>217</v>
      </c>
      <c r="BG46" s="36">
        <v>4</v>
      </c>
      <c r="BH46" s="36">
        <v>3</v>
      </c>
      <c r="BI46" s="36">
        <v>4</v>
      </c>
      <c r="BJ46" s="36">
        <v>4</v>
      </c>
      <c r="BK46" s="36">
        <v>5</v>
      </c>
      <c r="BL46" s="36">
        <v>5</v>
      </c>
      <c r="BM46" s="36">
        <v>5</v>
      </c>
      <c r="BN46" s="36">
        <v>5</v>
      </c>
      <c r="BO46" s="36">
        <v>4</v>
      </c>
      <c r="BP46" s="36">
        <v>5</v>
      </c>
      <c r="BQ46" s="36">
        <v>5</v>
      </c>
      <c r="BR46" s="36">
        <v>3</v>
      </c>
      <c r="BS46" s="36">
        <v>2</v>
      </c>
      <c r="BT46" s="36">
        <v>4</v>
      </c>
      <c r="BU46" s="36">
        <v>4</v>
      </c>
      <c r="BV46" s="36">
        <v>4</v>
      </c>
      <c r="BW46" s="36">
        <v>4</v>
      </c>
      <c r="BX46" s="36">
        <v>4</v>
      </c>
      <c r="BY46" s="36">
        <v>5</v>
      </c>
      <c r="BZ46" s="36">
        <v>5</v>
      </c>
      <c r="CA46" s="36">
        <v>4</v>
      </c>
      <c r="CB46" s="36">
        <v>5</v>
      </c>
      <c r="CC46" s="36">
        <v>4</v>
      </c>
      <c r="CD46" s="36">
        <v>5</v>
      </c>
      <c r="CE46" s="36">
        <v>2</v>
      </c>
      <c r="CF46" s="36">
        <v>2</v>
      </c>
      <c r="CG46" s="36">
        <v>4</v>
      </c>
      <c r="CH46" s="36" t="s">
        <v>222</v>
      </c>
      <c r="CI46" t="s">
        <v>226</v>
      </c>
      <c r="CJ46"/>
      <c r="CK46" s="36" t="s">
        <v>239</v>
      </c>
      <c r="CL46" t="s">
        <v>240</v>
      </c>
      <c r="CM46"/>
      <c r="CN46" s="36" t="s">
        <v>242</v>
      </c>
      <c r="CO46" s="36" t="s">
        <v>134</v>
      </c>
      <c r="CP46" s="36">
        <v>2</v>
      </c>
      <c r="CQ46" s="36">
        <v>5</v>
      </c>
      <c r="CR46" s="36" t="s">
        <v>248</v>
      </c>
      <c r="CS46" s="36">
        <v>3</v>
      </c>
      <c r="CT46" s="36">
        <v>4</v>
      </c>
      <c r="CU46" s="36">
        <v>3</v>
      </c>
      <c r="CV46" s="36">
        <v>2</v>
      </c>
      <c r="CW46" s="36">
        <v>4</v>
      </c>
      <c r="CX46" s="36">
        <v>5</v>
      </c>
      <c r="CY46" s="36">
        <v>5</v>
      </c>
      <c r="CZ46" s="36">
        <v>4</v>
      </c>
      <c r="DA46" s="36">
        <v>3</v>
      </c>
      <c r="DB46" s="36">
        <v>4</v>
      </c>
      <c r="DC46" s="36">
        <v>3</v>
      </c>
      <c r="DD46" s="36">
        <v>5</v>
      </c>
      <c r="DE46" s="36">
        <v>5</v>
      </c>
      <c r="DF46" s="36">
        <v>5</v>
      </c>
      <c r="DG46" s="36">
        <v>5</v>
      </c>
      <c r="DH46" s="36">
        <v>3</v>
      </c>
      <c r="DI46" s="36" t="s">
        <v>133</v>
      </c>
      <c r="DJ46" s="36" t="s">
        <v>133</v>
      </c>
      <c r="DK46" s="36" t="s">
        <v>255</v>
      </c>
      <c r="DL46"/>
      <c r="DM46"/>
      <c r="DN46" t="s">
        <v>256</v>
      </c>
      <c r="DO46" t="s">
        <v>257</v>
      </c>
      <c r="DP46"/>
      <c r="DQ46" s="36">
        <v>4</v>
      </c>
      <c r="DR46" s="36" t="s">
        <v>133</v>
      </c>
      <c r="DS46" s="36" t="s">
        <v>259</v>
      </c>
      <c r="DT46"/>
      <c r="DU46"/>
      <c r="DV46" t="s">
        <v>260</v>
      </c>
      <c r="DW46"/>
      <c r="DX46"/>
      <c r="DY46" s="36">
        <v>4</v>
      </c>
      <c r="DZ46" s="36" t="s">
        <v>133</v>
      </c>
      <c r="EA46" s="36">
        <v>5</v>
      </c>
      <c r="EB46" s="36" t="s">
        <v>262</v>
      </c>
      <c r="EC46" s="36" t="s">
        <v>267</v>
      </c>
      <c r="ED46" s="36">
        <v>32</v>
      </c>
      <c r="EE46" s="36" t="s">
        <v>421</v>
      </c>
      <c r="EF46" s="36" t="str">
        <f>Tabulacao!MC46</f>
        <v>Poço Redondo</v>
      </c>
      <c r="EG46" s="36" t="s">
        <v>328</v>
      </c>
      <c r="EH46" s="36" t="str">
        <f>Tabulacao!MG46</f>
        <v>Nossa Senhora da Glória</v>
      </c>
      <c r="EI46" s="36" t="s">
        <v>328</v>
      </c>
      <c r="EJ46" s="36" t="str">
        <f>Tabulacao!MK46</f>
        <v>Nossa Senhora da Glória</v>
      </c>
      <c r="EK46" s="36" t="s">
        <v>134</v>
      </c>
      <c r="EL46" s="36" t="s">
        <v>134</v>
      </c>
      <c r="EM46" s="36" t="s">
        <v>134</v>
      </c>
      <c r="EN46" s="36" t="s">
        <v>134</v>
      </c>
      <c r="EO46" s="36" t="s">
        <v>134</v>
      </c>
      <c r="EP46" s="36" t="s">
        <v>134</v>
      </c>
      <c r="EQ46" s="36" t="s">
        <v>273</v>
      </c>
      <c r="ER46" s="36" t="str">
        <f>IF(OR(EQ46=CaractAmostra!$BD$9,EQ46=CaractAmostra!$BD$10,EQ46=CaractAmostra!$BD$11,EQ46=CaractAmostra!$BD$12,EQ46=CaractAmostra!$BD$13),Respostas_Formatadas!EQ46,"Outros")</f>
        <v>Dividia residência com outras pessoas</v>
      </c>
      <c r="ES46" s="36" t="s">
        <v>274</v>
      </c>
      <c r="ET46" s="36" t="str">
        <f>IF(OR(ES46=CaractAmostra!$BH$9,ES46=CaractAmostra!$BH$10,ES46=CaractAmostra!$BH$11,ES46=CaractAmostra!$BH$12),Respostas_Formatadas!ES46,"Outros")</f>
        <v>Com um(a) parceiro(a)</v>
      </c>
      <c r="EU46" s="36" t="s">
        <v>134</v>
      </c>
      <c r="EV46" s="36" t="s">
        <v>282</v>
      </c>
      <c r="EW46" s="36" t="s">
        <v>283</v>
      </c>
      <c r="FE46" s="47">
        <v>2015</v>
      </c>
      <c r="FF46" s="97">
        <v>7.8341000000000003</v>
      </c>
      <c r="FI46" s="47" t="str">
        <f t="shared" si="0"/>
        <v>Nossa Senhora da Glória</v>
      </c>
      <c r="FJ46" s="47" t="str">
        <f t="shared" si="1"/>
        <v>Tecnologia</v>
      </c>
    </row>
    <row r="47" spans="1:166" s="36" customFormat="1" ht="15.75" customHeight="1" x14ac:dyDescent="0.2">
      <c r="A47" s="38">
        <v>43406.323580335651</v>
      </c>
      <c r="C47" s="36" t="s">
        <v>128</v>
      </c>
      <c r="D47" s="47" t="s">
        <v>133</v>
      </c>
      <c r="E47" s="36" t="s">
        <v>138</v>
      </c>
      <c r="H47" s="36" t="s">
        <v>144</v>
      </c>
      <c r="M47" s="36" t="s">
        <v>146</v>
      </c>
      <c r="N47" s="36" t="s">
        <v>134</v>
      </c>
      <c r="O47" s="36" t="s">
        <v>134</v>
      </c>
      <c r="P47" s="36" t="s">
        <v>134</v>
      </c>
      <c r="Q47" s="36" t="s">
        <v>134</v>
      </c>
      <c r="R47" s="36" t="s">
        <v>153</v>
      </c>
      <c r="S47" s="36" t="s">
        <v>422</v>
      </c>
      <c r="T47" s="36" t="s">
        <v>154</v>
      </c>
      <c r="U47" s="36" t="s">
        <v>156</v>
      </c>
      <c r="V47" s="36">
        <v>3</v>
      </c>
      <c r="W47" s="36">
        <v>5</v>
      </c>
      <c r="X47" s="36">
        <v>5</v>
      </c>
      <c r="Y47" s="36" t="s">
        <v>134</v>
      </c>
      <c r="AI47" s="40"/>
      <c r="AQ47" s="40"/>
      <c r="BT47" s="36">
        <v>5</v>
      </c>
      <c r="BU47" s="36">
        <v>3</v>
      </c>
      <c r="BV47" s="36">
        <v>5</v>
      </c>
      <c r="BW47" s="36">
        <v>2</v>
      </c>
      <c r="BX47" s="36">
        <v>3</v>
      </c>
      <c r="BY47" s="36">
        <v>3</v>
      </c>
      <c r="BZ47" s="36">
        <v>3</v>
      </c>
      <c r="CA47" s="36">
        <v>5</v>
      </c>
      <c r="CB47" s="36">
        <v>4</v>
      </c>
      <c r="CC47" s="36">
        <v>4</v>
      </c>
      <c r="CD47" s="36">
        <v>4</v>
      </c>
      <c r="CE47" s="36">
        <v>3</v>
      </c>
      <c r="CF47" s="36">
        <v>1</v>
      </c>
      <c r="CG47" s="36">
        <v>3</v>
      </c>
      <c r="CH47" s="36" t="s">
        <v>225</v>
      </c>
      <c r="CI47" t="s">
        <v>229</v>
      </c>
      <c r="CJ47"/>
      <c r="CK47" s="36" t="s">
        <v>239</v>
      </c>
      <c r="CL47"/>
      <c r="CM47"/>
      <c r="CN47" s="36" t="s">
        <v>242</v>
      </c>
      <c r="CO47" s="36" t="s">
        <v>134</v>
      </c>
      <c r="CP47" s="36">
        <v>4</v>
      </c>
      <c r="CQ47" s="36">
        <v>4</v>
      </c>
      <c r="CR47" s="36" t="s">
        <v>248</v>
      </c>
      <c r="CS47" s="36">
        <v>4</v>
      </c>
      <c r="CT47" s="36">
        <v>3</v>
      </c>
      <c r="CU47" s="36">
        <v>4</v>
      </c>
      <c r="CV47" s="36">
        <v>1</v>
      </c>
      <c r="CW47" s="36">
        <v>3</v>
      </c>
      <c r="CX47" s="36">
        <v>5</v>
      </c>
      <c r="CY47" s="36">
        <v>4</v>
      </c>
      <c r="CZ47" s="36">
        <v>4</v>
      </c>
      <c r="DA47" s="36">
        <v>3</v>
      </c>
      <c r="DB47" s="36">
        <v>2</v>
      </c>
      <c r="DC47" s="36">
        <v>2</v>
      </c>
      <c r="DD47" s="36">
        <v>1</v>
      </c>
      <c r="DE47" s="36">
        <v>5</v>
      </c>
      <c r="DF47" s="36">
        <v>5</v>
      </c>
      <c r="DG47" s="36">
        <v>5</v>
      </c>
      <c r="DH47" s="36">
        <v>2</v>
      </c>
      <c r="DI47" s="36" t="s">
        <v>250</v>
      </c>
      <c r="DJ47" s="36" t="s">
        <v>133</v>
      </c>
      <c r="DK47" s="36" t="s">
        <v>255</v>
      </c>
      <c r="DL47"/>
      <c r="DM47"/>
      <c r="DN47"/>
      <c r="DO47"/>
      <c r="DP47"/>
      <c r="DQ47" s="36">
        <v>5</v>
      </c>
      <c r="DR47" s="36" t="s">
        <v>134</v>
      </c>
      <c r="DT47"/>
      <c r="DU47"/>
      <c r="DV47"/>
      <c r="DW47"/>
      <c r="DX47"/>
      <c r="DZ47" s="36" t="s">
        <v>133</v>
      </c>
      <c r="EA47" s="36">
        <v>5</v>
      </c>
      <c r="EB47" s="36" t="s">
        <v>262</v>
      </c>
      <c r="EC47" s="36" t="s">
        <v>267</v>
      </c>
      <c r="ED47" s="36">
        <v>24</v>
      </c>
      <c r="EE47" s="36" t="s">
        <v>423</v>
      </c>
      <c r="EF47" s="36" t="str">
        <f>Tabulacao!MC47</f>
        <v>Monte Alegre de Sergipe</v>
      </c>
      <c r="EG47" s="36" t="s">
        <v>423</v>
      </c>
      <c r="EH47" s="36" t="str">
        <f>Tabulacao!MG47</f>
        <v>Monte Alegre de Sergipe</v>
      </c>
      <c r="EI47" s="36" t="s">
        <v>423</v>
      </c>
      <c r="EJ47" s="36" t="str">
        <f>Tabulacao!MK47</f>
        <v>Monte Alegre de Sergipe</v>
      </c>
      <c r="EK47" s="36" t="s">
        <v>134</v>
      </c>
      <c r="EL47" s="36" t="s">
        <v>134</v>
      </c>
      <c r="EM47" s="36" t="s">
        <v>134</v>
      </c>
      <c r="EN47" s="36" t="s">
        <v>134</v>
      </c>
      <c r="EO47" s="36" t="s">
        <v>134</v>
      </c>
      <c r="EP47" s="36" t="s">
        <v>134</v>
      </c>
      <c r="EQ47" s="36" t="s">
        <v>275</v>
      </c>
      <c r="ER47" s="36" t="str">
        <f>IF(OR(EQ47=CaractAmostra!$BD$9,EQ47=CaractAmostra!$BD$10,EQ47=CaractAmostra!$BD$11,EQ47=CaractAmostra!$BD$12,EQ47=CaractAmostra!$BD$13),Respostas_Formatadas!EQ47,"Outros")</f>
        <v>Com os pais</v>
      </c>
      <c r="ES47" s="36" t="s">
        <v>278</v>
      </c>
      <c r="ET47" s="36" t="str">
        <f>IF(OR(ES47=CaractAmostra!$BH$9,ES47=CaractAmostra!$BH$10,ES47=CaractAmostra!$BH$11,ES47=CaractAmostra!$BH$12),Respostas_Formatadas!ES47,"Outros")</f>
        <v>Divido residência com outras pessoas</v>
      </c>
      <c r="EU47" s="36" t="s">
        <v>134</v>
      </c>
      <c r="EV47" s="36" t="s">
        <v>282</v>
      </c>
      <c r="EW47" s="36" t="s">
        <v>282</v>
      </c>
      <c r="FE47" s="47">
        <v>2015</v>
      </c>
      <c r="FF47" s="97">
        <v>7.8113999999999999</v>
      </c>
      <c r="FI47" s="47" t="str">
        <f t="shared" si="0"/>
        <v>Nossa Senhora da Glória</v>
      </c>
      <c r="FJ47" s="47" t="str">
        <f t="shared" si="1"/>
        <v>Tecnologia</v>
      </c>
    </row>
    <row r="48" spans="1:166" s="36" customFormat="1" ht="15.75" customHeight="1" x14ac:dyDescent="0.2">
      <c r="A48" s="38">
        <v>43406.401439467591</v>
      </c>
      <c r="C48" s="36" t="s">
        <v>128</v>
      </c>
      <c r="D48" s="47" t="s">
        <v>134</v>
      </c>
      <c r="M48" s="36" t="s">
        <v>146</v>
      </c>
      <c r="N48" s="36" t="s">
        <v>134</v>
      </c>
      <c r="O48" s="36" t="s">
        <v>134</v>
      </c>
      <c r="P48" s="36" t="s">
        <v>134</v>
      </c>
      <c r="Q48" s="36" t="s">
        <v>134</v>
      </c>
      <c r="R48" s="36" t="s">
        <v>153</v>
      </c>
      <c r="S48" s="36" t="s">
        <v>390</v>
      </c>
      <c r="T48" s="36" t="s">
        <v>154</v>
      </c>
      <c r="U48" s="36" t="s">
        <v>157</v>
      </c>
      <c r="V48" s="36">
        <v>4</v>
      </c>
      <c r="W48" s="36">
        <v>1</v>
      </c>
      <c r="X48" s="36">
        <v>1</v>
      </c>
      <c r="Y48" s="36" t="s">
        <v>134</v>
      </c>
      <c r="AI48" s="40"/>
      <c r="AQ48" s="40"/>
      <c r="BT48" s="36">
        <v>3</v>
      </c>
      <c r="BU48" s="36">
        <v>4</v>
      </c>
      <c r="BV48" s="36">
        <v>4</v>
      </c>
      <c r="BW48" s="36">
        <v>3</v>
      </c>
      <c r="BX48" s="36">
        <v>3</v>
      </c>
      <c r="BY48" s="36">
        <v>4</v>
      </c>
      <c r="BZ48" s="36">
        <v>4</v>
      </c>
      <c r="CA48" s="36">
        <v>4</v>
      </c>
      <c r="CB48" s="36">
        <v>3</v>
      </c>
      <c r="CC48" s="36">
        <v>4</v>
      </c>
      <c r="CD48" s="36">
        <v>4</v>
      </c>
      <c r="CE48" s="36">
        <v>4</v>
      </c>
      <c r="CF48" s="36">
        <v>1</v>
      </c>
      <c r="CG48" s="36">
        <v>2</v>
      </c>
      <c r="CH48" s="36" t="s">
        <v>226</v>
      </c>
      <c r="CI48" t="s">
        <v>229</v>
      </c>
      <c r="CJ48"/>
      <c r="CK48" s="36" t="s">
        <v>232</v>
      </c>
      <c r="CL48"/>
      <c r="CM48"/>
      <c r="CN48" s="36" t="s">
        <v>242</v>
      </c>
      <c r="CO48" s="36" t="s">
        <v>134</v>
      </c>
      <c r="CP48" s="36">
        <v>4</v>
      </c>
      <c r="CQ48" s="36">
        <v>4</v>
      </c>
      <c r="CR48" s="36" t="s">
        <v>248</v>
      </c>
      <c r="CS48" s="36">
        <v>5</v>
      </c>
      <c r="CT48" s="36">
        <v>3</v>
      </c>
      <c r="CU48" s="36">
        <v>4</v>
      </c>
      <c r="CV48" s="36">
        <v>3</v>
      </c>
      <c r="CW48" s="36">
        <v>4</v>
      </c>
      <c r="CX48" s="36">
        <v>4</v>
      </c>
      <c r="CY48" s="36">
        <v>4</v>
      </c>
      <c r="CZ48" s="36">
        <v>5</v>
      </c>
      <c r="DA48" s="36">
        <v>4</v>
      </c>
      <c r="DB48" s="36">
        <v>3</v>
      </c>
      <c r="DC48" s="36">
        <v>4</v>
      </c>
      <c r="DD48" s="36">
        <v>5</v>
      </c>
      <c r="DE48" s="36">
        <v>3</v>
      </c>
      <c r="DF48" s="36">
        <v>4</v>
      </c>
      <c r="DG48" s="36">
        <v>5</v>
      </c>
      <c r="DH48" s="36">
        <v>4</v>
      </c>
      <c r="DI48" s="36" t="s">
        <v>133</v>
      </c>
      <c r="DJ48" s="36" t="s">
        <v>133</v>
      </c>
      <c r="DK48" s="36" t="s">
        <v>255</v>
      </c>
      <c r="DL48"/>
      <c r="DM48"/>
      <c r="DN48" t="s">
        <v>256</v>
      </c>
      <c r="DO48"/>
      <c r="DP48"/>
      <c r="DQ48" s="36">
        <v>3</v>
      </c>
      <c r="DR48" s="36" t="s">
        <v>134</v>
      </c>
      <c r="DT48"/>
      <c r="DU48"/>
      <c r="DV48"/>
      <c r="DW48"/>
      <c r="DX48"/>
      <c r="DZ48" s="36" t="s">
        <v>133</v>
      </c>
      <c r="EA48" s="36">
        <v>4</v>
      </c>
      <c r="EB48" s="36" t="s">
        <v>263</v>
      </c>
      <c r="EC48" s="36" t="s">
        <v>267</v>
      </c>
      <c r="ED48" s="36">
        <v>22</v>
      </c>
      <c r="EE48" s="36" t="s">
        <v>328</v>
      </c>
      <c r="EF48" s="36" t="str">
        <f>Tabulacao!MC48</f>
        <v>Nossa Senhora da Glória</v>
      </c>
      <c r="EG48" s="36" t="s">
        <v>328</v>
      </c>
      <c r="EH48" s="36" t="str">
        <f>Tabulacao!MG48</f>
        <v>Nossa Senhora da Glória</v>
      </c>
      <c r="EI48" s="36" t="s">
        <v>328</v>
      </c>
      <c r="EJ48" s="36" t="str">
        <f>Tabulacao!MK48</f>
        <v>Nossa Senhora da Glória</v>
      </c>
      <c r="EK48" s="36" t="s">
        <v>134</v>
      </c>
      <c r="EL48" s="36" t="s">
        <v>134</v>
      </c>
      <c r="EM48" s="36" t="s">
        <v>134</v>
      </c>
      <c r="EN48" s="36" t="s">
        <v>134</v>
      </c>
      <c r="EO48" s="36" t="s">
        <v>134</v>
      </c>
      <c r="EP48" s="36" t="s">
        <v>134</v>
      </c>
      <c r="EQ48" s="36" t="s">
        <v>275</v>
      </c>
      <c r="ER48" s="36" t="str">
        <f>IF(OR(EQ48=CaractAmostra!$BD$9,EQ48=CaractAmostra!$BD$10,EQ48=CaractAmostra!$BD$11,EQ48=CaractAmostra!$BD$12,EQ48=CaractAmostra!$BD$13),Respostas_Formatadas!EQ48,"Outros")</f>
        <v>Com os pais</v>
      </c>
      <c r="ES48" s="36" t="s">
        <v>274</v>
      </c>
      <c r="ET48" s="36" t="str">
        <f>IF(OR(ES48=CaractAmostra!$BH$9,ES48=CaractAmostra!$BH$10,ES48=CaractAmostra!$BH$11,ES48=CaractAmostra!$BH$12),Respostas_Formatadas!ES48,"Outros")</f>
        <v>Com um(a) parceiro(a)</v>
      </c>
      <c r="EU48" s="36" t="s">
        <v>134</v>
      </c>
      <c r="EV48" s="36" t="s">
        <v>282</v>
      </c>
      <c r="EW48" s="36" t="s">
        <v>284</v>
      </c>
      <c r="FE48" s="47">
        <v>2017</v>
      </c>
      <c r="FF48" s="97">
        <v>7.5864000000000003</v>
      </c>
      <c r="FI48" s="47" t="str">
        <f t="shared" si="0"/>
        <v>Nossa Senhora da Glória</v>
      </c>
      <c r="FJ48" s="47" t="str">
        <f t="shared" si="1"/>
        <v>Tecnologia</v>
      </c>
    </row>
    <row r="49" spans="1:166" s="36" customFormat="1" ht="15.75" customHeight="1" x14ac:dyDescent="0.2">
      <c r="A49" s="38">
        <v>43406.403664444442</v>
      </c>
      <c r="C49" s="36" t="s">
        <v>130</v>
      </c>
      <c r="D49" s="47" t="s">
        <v>134</v>
      </c>
      <c r="M49" s="36" t="s">
        <v>146</v>
      </c>
      <c r="N49" s="36" t="s">
        <v>134</v>
      </c>
      <c r="O49" s="36" t="s">
        <v>133</v>
      </c>
      <c r="P49" s="36" t="s">
        <v>134</v>
      </c>
      <c r="Q49" s="36" t="s">
        <v>134</v>
      </c>
      <c r="R49" s="36" t="s">
        <v>152</v>
      </c>
      <c r="S49" s="36" t="s">
        <v>544</v>
      </c>
      <c r="T49" s="36" t="s">
        <v>154</v>
      </c>
      <c r="U49" s="36" t="s">
        <v>159</v>
      </c>
      <c r="V49" s="36">
        <v>4</v>
      </c>
      <c r="W49" s="36">
        <v>1</v>
      </c>
      <c r="X49" s="36">
        <v>5</v>
      </c>
      <c r="Y49" s="36" t="s">
        <v>134</v>
      </c>
      <c r="AI49" s="40"/>
      <c r="AQ49" s="40"/>
      <c r="BT49" s="36">
        <v>2</v>
      </c>
      <c r="BU49" s="36">
        <v>2</v>
      </c>
      <c r="BV49" s="36">
        <v>2</v>
      </c>
      <c r="BW49" s="36">
        <v>1</v>
      </c>
      <c r="BX49" s="36">
        <v>1</v>
      </c>
      <c r="BY49" s="36">
        <v>1</v>
      </c>
      <c r="BZ49" s="36">
        <v>1</v>
      </c>
      <c r="CA49" s="36">
        <v>1</v>
      </c>
      <c r="CB49" s="36">
        <v>1</v>
      </c>
      <c r="CC49" s="36">
        <v>1</v>
      </c>
      <c r="CD49" s="36">
        <v>2</v>
      </c>
      <c r="CE49" s="36">
        <v>4</v>
      </c>
      <c r="CF49" s="36">
        <v>5</v>
      </c>
      <c r="CG49" s="36">
        <v>2</v>
      </c>
      <c r="CH49" s="36" t="s">
        <v>222</v>
      </c>
      <c r="CI49" t="s">
        <v>226</v>
      </c>
      <c r="CJ49" t="s">
        <v>227</v>
      </c>
      <c r="CK49" s="36" t="s">
        <v>233</v>
      </c>
      <c r="CL49"/>
      <c r="CM49"/>
      <c r="CN49" s="36" t="s">
        <v>242</v>
      </c>
      <c r="CO49" s="36" t="s">
        <v>134</v>
      </c>
      <c r="CP49" s="36">
        <v>3</v>
      </c>
      <c r="CQ49" s="36">
        <v>4</v>
      </c>
      <c r="CR49" s="36" t="s">
        <v>248</v>
      </c>
      <c r="CS49" s="36">
        <v>4</v>
      </c>
      <c r="CT49" s="36">
        <v>3</v>
      </c>
      <c r="CU49" s="36">
        <v>5</v>
      </c>
      <c r="CV49" s="36">
        <v>1</v>
      </c>
      <c r="CW49" s="36">
        <v>4</v>
      </c>
      <c r="CX49" s="36">
        <v>5</v>
      </c>
      <c r="CY49" s="36">
        <v>4</v>
      </c>
      <c r="CZ49" s="36">
        <v>4</v>
      </c>
      <c r="DA49" s="36">
        <v>2</v>
      </c>
      <c r="DB49" s="36">
        <v>4</v>
      </c>
      <c r="DC49" s="36">
        <v>4</v>
      </c>
      <c r="DD49" s="36">
        <v>4</v>
      </c>
      <c r="DE49" s="36">
        <v>5</v>
      </c>
      <c r="DF49" s="36">
        <v>4</v>
      </c>
      <c r="DG49" s="36">
        <v>5</v>
      </c>
      <c r="DH49" s="36">
        <v>4</v>
      </c>
      <c r="DI49" s="36" t="s">
        <v>250</v>
      </c>
      <c r="DJ49" s="36" t="s">
        <v>133</v>
      </c>
      <c r="DK49" s="36" t="s">
        <v>254</v>
      </c>
      <c r="DL49" t="s">
        <v>255</v>
      </c>
      <c r="DM49"/>
      <c r="DN49"/>
      <c r="DO49" t="s">
        <v>256</v>
      </c>
      <c r="DP49" t="s">
        <v>257</v>
      </c>
      <c r="DQ49" s="36">
        <v>5</v>
      </c>
      <c r="DR49" s="36" t="s">
        <v>133</v>
      </c>
      <c r="DS49" s="36" t="s">
        <v>259</v>
      </c>
      <c r="DT49"/>
      <c r="DU49"/>
      <c r="DV49" t="s">
        <v>261</v>
      </c>
      <c r="DW49"/>
      <c r="DX49"/>
      <c r="DY49" s="36">
        <v>4</v>
      </c>
      <c r="DZ49" s="36" t="s">
        <v>133</v>
      </c>
      <c r="EA49" s="36">
        <v>5</v>
      </c>
      <c r="EB49" s="36" t="s">
        <v>262</v>
      </c>
      <c r="EC49" s="36" t="s">
        <v>267</v>
      </c>
      <c r="ED49" s="36">
        <v>27</v>
      </c>
      <c r="EE49" s="36" t="s">
        <v>291</v>
      </c>
      <c r="EF49" s="36" t="str">
        <f>Tabulacao!MC49</f>
        <v>Lagarto</v>
      </c>
      <c r="EG49" s="36" t="s">
        <v>291</v>
      </c>
      <c r="EH49" s="36" t="str">
        <f>Tabulacao!MG49</f>
        <v>Lagarto</v>
      </c>
      <c r="EI49" s="36" t="s">
        <v>291</v>
      </c>
      <c r="EJ49" s="36" t="str">
        <f>Tabulacao!MK49</f>
        <v>Lagarto</v>
      </c>
      <c r="EK49" s="36" t="s">
        <v>134</v>
      </c>
      <c r="EL49" s="36" t="s">
        <v>134</v>
      </c>
      <c r="EM49" s="36" t="s">
        <v>134</v>
      </c>
      <c r="EN49" s="36" t="s">
        <v>134</v>
      </c>
      <c r="EO49" s="36" t="s">
        <v>134</v>
      </c>
      <c r="EP49" s="36" t="s">
        <v>134</v>
      </c>
      <c r="EQ49" s="36" t="s">
        <v>275</v>
      </c>
      <c r="ER49" s="36" t="str">
        <f>IF(OR(EQ49=CaractAmostra!$BD$9,EQ49=CaractAmostra!$BD$10,EQ49=CaractAmostra!$BD$11,EQ49=CaractAmostra!$BD$12,EQ49=CaractAmostra!$BD$13),Respostas_Formatadas!EQ49,"Outros")</f>
        <v>Com os pais</v>
      </c>
      <c r="ES49" s="36" t="s">
        <v>274</v>
      </c>
      <c r="ET49" s="36" t="str">
        <f>IF(OR(ES49=CaractAmostra!$BH$9,ES49=CaractAmostra!$BH$10,ES49=CaractAmostra!$BH$11,ES49=CaractAmostra!$BH$12),Respostas_Formatadas!ES49,"Outros")</f>
        <v>Com um(a) parceiro(a)</v>
      </c>
      <c r="EU49" s="36" t="s">
        <v>279</v>
      </c>
      <c r="EV49" s="36" t="s">
        <v>285</v>
      </c>
      <c r="EW49" s="36" t="s">
        <v>285</v>
      </c>
      <c r="FE49" s="47">
        <v>2016</v>
      </c>
      <c r="FF49" s="97">
        <v>7.33</v>
      </c>
      <c r="FI49" s="47" t="str">
        <f t="shared" si="0"/>
        <v>São Cristóvão</v>
      </c>
      <c r="FJ49" s="47" t="str">
        <f t="shared" si="1"/>
        <v>Tecnologia</v>
      </c>
    </row>
    <row r="50" spans="1:166" s="36" customFormat="1" ht="15.75" customHeight="1" x14ac:dyDescent="0.2">
      <c r="A50" s="38">
        <v>43406.412532754628</v>
      </c>
      <c r="C50" s="36" t="s">
        <v>124</v>
      </c>
      <c r="D50" s="47" t="s">
        <v>134</v>
      </c>
      <c r="M50" s="36" t="s">
        <v>146</v>
      </c>
      <c r="N50" s="36" t="s">
        <v>134</v>
      </c>
      <c r="O50" s="36" t="s">
        <v>134</v>
      </c>
      <c r="P50" s="36" t="s">
        <v>134</v>
      </c>
      <c r="Q50" s="36" t="s">
        <v>133</v>
      </c>
      <c r="R50" s="36" t="s">
        <v>153</v>
      </c>
      <c r="S50" s="36" t="s">
        <v>497</v>
      </c>
      <c r="T50" s="36" t="s">
        <v>154</v>
      </c>
      <c r="U50" s="36" t="s">
        <v>159</v>
      </c>
      <c r="V50" s="36">
        <v>1</v>
      </c>
      <c r="W50" s="36">
        <v>4</v>
      </c>
      <c r="X50" s="36">
        <v>3</v>
      </c>
      <c r="Y50" s="36" t="s">
        <v>134</v>
      </c>
      <c r="AI50" s="40"/>
      <c r="AQ50" s="40"/>
      <c r="BT50" s="36">
        <v>3</v>
      </c>
      <c r="BU50" s="36">
        <v>5</v>
      </c>
      <c r="BV50" s="36">
        <v>5</v>
      </c>
      <c r="BW50" s="36">
        <v>3</v>
      </c>
      <c r="BX50" s="36">
        <v>5</v>
      </c>
      <c r="BY50" s="36">
        <v>5</v>
      </c>
      <c r="BZ50" s="36">
        <v>5</v>
      </c>
      <c r="CA50" s="36">
        <v>5</v>
      </c>
      <c r="CB50" s="36">
        <v>5</v>
      </c>
      <c r="CC50" s="36">
        <v>5</v>
      </c>
      <c r="CD50" s="36">
        <v>5</v>
      </c>
      <c r="CE50" s="36">
        <v>5</v>
      </c>
      <c r="CF50" s="36">
        <v>3</v>
      </c>
      <c r="CG50" s="36">
        <v>1</v>
      </c>
      <c r="CH50" s="36" t="s">
        <v>222</v>
      </c>
      <c r="CI50" t="s">
        <v>226</v>
      </c>
      <c r="CJ50" t="s">
        <v>229</v>
      </c>
      <c r="CK50" s="36" t="s">
        <v>238</v>
      </c>
      <c r="CL50"/>
      <c r="CM50"/>
      <c r="CN50" s="36" t="s">
        <v>242</v>
      </c>
      <c r="CO50" s="36" t="s">
        <v>134</v>
      </c>
      <c r="CP50" s="36">
        <v>3</v>
      </c>
      <c r="CQ50" s="36">
        <v>5</v>
      </c>
      <c r="CR50" s="36" t="s">
        <v>248</v>
      </c>
      <c r="CS50" s="36">
        <v>3</v>
      </c>
      <c r="CT50" s="36">
        <v>5</v>
      </c>
      <c r="CU50" s="36">
        <v>5</v>
      </c>
      <c r="CV50" s="36">
        <v>1</v>
      </c>
      <c r="CW50" s="36">
        <v>3</v>
      </c>
      <c r="CX50" s="36">
        <v>5</v>
      </c>
      <c r="CY50" s="36">
        <v>5</v>
      </c>
      <c r="CZ50" s="36">
        <v>5</v>
      </c>
      <c r="DA50" s="36">
        <v>3</v>
      </c>
      <c r="DB50" s="36">
        <v>5</v>
      </c>
      <c r="DC50" s="36">
        <v>5</v>
      </c>
      <c r="DD50" s="36">
        <v>4</v>
      </c>
      <c r="DE50" s="36">
        <v>1</v>
      </c>
      <c r="DF50" s="36">
        <v>1</v>
      </c>
      <c r="DG50" s="36">
        <v>5</v>
      </c>
      <c r="DH50" s="36">
        <v>2</v>
      </c>
      <c r="DI50" s="36" t="s">
        <v>250</v>
      </c>
      <c r="DJ50" s="36" t="s">
        <v>133</v>
      </c>
      <c r="DK50" s="36" t="s">
        <v>254</v>
      </c>
      <c r="DL50" t="s">
        <v>255</v>
      </c>
      <c r="DM50"/>
      <c r="DN50"/>
      <c r="DO50" t="s">
        <v>256</v>
      </c>
      <c r="DP50"/>
      <c r="DQ50" s="36">
        <v>4</v>
      </c>
      <c r="DR50" s="36" t="s">
        <v>133</v>
      </c>
      <c r="DS50" s="36" t="s">
        <v>259</v>
      </c>
      <c r="DT50"/>
      <c r="DU50"/>
      <c r="DV50" t="s">
        <v>260</v>
      </c>
      <c r="DW50"/>
      <c r="DX50"/>
      <c r="DY50" s="36">
        <v>2</v>
      </c>
      <c r="DZ50" s="36" t="s">
        <v>133</v>
      </c>
      <c r="EA50" s="36">
        <v>5</v>
      </c>
      <c r="EB50" s="36" t="s">
        <v>263</v>
      </c>
      <c r="EC50" s="36" t="s">
        <v>264</v>
      </c>
      <c r="ED50" s="36">
        <v>25</v>
      </c>
      <c r="EE50" s="36" t="s">
        <v>292</v>
      </c>
      <c r="EF50" s="36" t="str">
        <f>Tabulacao!MC50</f>
        <v>Aracaju</v>
      </c>
      <c r="EG50" s="36" t="s">
        <v>292</v>
      </c>
      <c r="EH50" s="36" t="str">
        <f>Tabulacao!MG50</f>
        <v>Aracaju</v>
      </c>
      <c r="EI50" s="36" t="s">
        <v>292</v>
      </c>
      <c r="EJ50" s="36" t="str">
        <f>Tabulacao!MK50</f>
        <v>Aracaju</v>
      </c>
      <c r="EK50" s="36" t="s">
        <v>134</v>
      </c>
      <c r="EL50" s="36" t="s">
        <v>134</v>
      </c>
      <c r="EM50" s="36" t="s">
        <v>134</v>
      </c>
      <c r="EN50" s="36" t="s">
        <v>134</v>
      </c>
      <c r="EO50" s="36" t="s">
        <v>134</v>
      </c>
      <c r="EP50" s="36" t="s">
        <v>134</v>
      </c>
      <c r="EQ50" s="36" t="s">
        <v>275</v>
      </c>
      <c r="ER50" s="36" t="str">
        <f>IF(OR(EQ50=CaractAmostra!$BD$9,EQ50=CaractAmostra!$BD$10,EQ50=CaractAmostra!$BD$11,EQ50=CaractAmostra!$BD$12,EQ50=CaractAmostra!$BD$13),Respostas_Formatadas!EQ50,"Outros")</f>
        <v>Com os pais</v>
      </c>
      <c r="ES50" s="36" t="s">
        <v>275</v>
      </c>
      <c r="ET50" s="36" t="str">
        <f>IF(OR(ES50=CaractAmostra!$BH$9,ES50=CaractAmostra!$BH$10,ES50=CaractAmostra!$BH$11,ES50=CaractAmostra!$BH$12),Respostas_Formatadas!ES50,"Outros")</f>
        <v>Com os pais</v>
      </c>
      <c r="EU50" s="36" t="s">
        <v>134</v>
      </c>
      <c r="EV50" s="36" t="s">
        <v>282</v>
      </c>
      <c r="EW50" s="36" t="s">
        <v>283</v>
      </c>
      <c r="FE50" s="47">
        <v>2015</v>
      </c>
      <c r="FF50" s="97">
        <v>7.8471000000000002</v>
      </c>
      <c r="FI50" s="47" t="str">
        <f t="shared" si="0"/>
        <v>Aracaju</v>
      </c>
      <c r="FJ50" s="47" t="str">
        <f t="shared" si="1"/>
        <v>Tecnologia</v>
      </c>
    </row>
    <row r="51" spans="1:166" s="36" customFormat="1" ht="15.75" customHeight="1" x14ac:dyDescent="0.2">
      <c r="A51" s="38">
        <v>43406.41731498843</v>
      </c>
      <c r="C51" s="36" t="s">
        <v>119</v>
      </c>
      <c r="D51" s="47" t="s">
        <v>133</v>
      </c>
      <c r="E51" s="36" t="s">
        <v>135</v>
      </c>
      <c r="F51" s="36" t="s">
        <v>138</v>
      </c>
      <c r="H51" s="36" t="s">
        <v>142</v>
      </c>
      <c r="M51" s="36" t="s">
        <v>146</v>
      </c>
      <c r="N51" s="36" t="s">
        <v>134</v>
      </c>
      <c r="O51" s="36" t="s">
        <v>133</v>
      </c>
      <c r="P51" s="36" t="s">
        <v>134</v>
      </c>
      <c r="Q51" s="36" t="s">
        <v>134</v>
      </c>
      <c r="R51" s="36" t="s">
        <v>151</v>
      </c>
      <c r="Y51" s="36" t="s">
        <v>165</v>
      </c>
      <c r="Z51" s="36" t="s">
        <v>167</v>
      </c>
      <c r="AA51" s="36" t="s">
        <v>171</v>
      </c>
      <c r="AB51" s="36" t="s">
        <v>180</v>
      </c>
      <c r="AD51" s="36" t="s">
        <v>388</v>
      </c>
      <c r="AE51" s="36">
        <v>5</v>
      </c>
      <c r="AF51" s="36" t="s">
        <v>190</v>
      </c>
      <c r="AG51" s="36" t="s">
        <v>190</v>
      </c>
      <c r="AH51" s="36" t="s">
        <v>134</v>
      </c>
      <c r="AI51" s="40">
        <v>4500</v>
      </c>
      <c r="AJ51" s="36">
        <v>5</v>
      </c>
      <c r="AK51" s="36">
        <v>2</v>
      </c>
      <c r="AL51" s="36" t="s">
        <v>134</v>
      </c>
      <c r="AM51" s="36" t="s">
        <v>167</v>
      </c>
      <c r="AN51" s="36">
        <v>2</v>
      </c>
      <c r="AO51" s="36" t="s">
        <v>133</v>
      </c>
      <c r="AP51" s="36" t="s">
        <v>424</v>
      </c>
      <c r="AQ51" s="40">
        <v>4000</v>
      </c>
      <c r="AR51" s="36">
        <v>1</v>
      </c>
      <c r="AS51" s="36">
        <v>5</v>
      </c>
      <c r="AT51" s="36">
        <v>2</v>
      </c>
      <c r="AU51" s="36">
        <v>1</v>
      </c>
      <c r="AV51" s="36">
        <v>5</v>
      </c>
      <c r="AW51" s="36" t="s">
        <v>192</v>
      </c>
      <c r="AX51" s="36" t="s">
        <v>206</v>
      </c>
      <c r="AY51" s="36" t="s">
        <v>209</v>
      </c>
      <c r="AZ51" s="36" t="s">
        <v>134</v>
      </c>
      <c r="BA51" s="36" t="s">
        <v>212</v>
      </c>
      <c r="BB51" s="36" t="s">
        <v>292</v>
      </c>
      <c r="BC51" s="36" t="s">
        <v>292</v>
      </c>
      <c r="BD51" s="36" t="s">
        <v>189</v>
      </c>
      <c r="BF51" s="36" t="s">
        <v>219</v>
      </c>
      <c r="BG51" s="36">
        <v>5</v>
      </c>
      <c r="BH51" s="36">
        <v>2</v>
      </c>
      <c r="BI51" s="36">
        <v>5</v>
      </c>
      <c r="BJ51" s="36">
        <v>5</v>
      </c>
      <c r="BK51" s="36">
        <v>5</v>
      </c>
      <c r="BL51" s="36">
        <v>5</v>
      </c>
      <c r="BM51" s="36">
        <v>5</v>
      </c>
      <c r="BN51" s="36">
        <v>5</v>
      </c>
      <c r="BO51" s="36">
        <v>5</v>
      </c>
      <c r="BP51" s="36">
        <v>5</v>
      </c>
      <c r="BQ51" s="36">
        <v>5</v>
      </c>
      <c r="BR51" s="36">
        <v>5</v>
      </c>
      <c r="BS51" s="36">
        <v>1</v>
      </c>
      <c r="BT51" s="36">
        <v>4</v>
      </c>
      <c r="BU51" s="36">
        <v>2</v>
      </c>
      <c r="BV51" s="36">
        <v>4</v>
      </c>
      <c r="BW51" s="36">
        <v>4</v>
      </c>
      <c r="BX51" s="36">
        <v>4</v>
      </c>
      <c r="BY51" s="36">
        <v>4</v>
      </c>
      <c r="BZ51" s="36">
        <v>4</v>
      </c>
      <c r="CA51" s="36">
        <v>4</v>
      </c>
      <c r="CB51" s="36">
        <v>4</v>
      </c>
      <c r="CC51" s="36">
        <v>4</v>
      </c>
      <c r="CD51" s="36">
        <v>4</v>
      </c>
      <c r="CE51" s="36">
        <v>4</v>
      </c>
      <c r="CF51" s="36">
        <v>1</v>
      </c>
      <c r="CG51" s="36">
        <v>4</v>
      </c>
      <c r="CH51" s="36" t="s">
        <v>222</v>
      </c>
      <c r="CI51" t="s">
        <v>225</v>
      </c>
      <c r="CJ51"/>
      <c r="CK51" s="36" t="s">
        <v>235</v>
      </c>
      <c r="CL51"/>
      <c r="CM51"/>
      <c r="CN51" s="36" t="s">
        <v>241</v>
      </c>
      <c r="CO51" s="36" t="s">
        <v>134</v>
      </c>
      <c r="CP51" s="36">
        <v>2</v>
      </c>
      <c r="CQ51" s="36">
        <v>4</v>
      </c>
      <c r="CR51" s="36" t="s">
        <v>248</v>
      </c>
      <c r="CS51" s="36">
        <v>1</v>
      </c>
      <c r="CT51" s="36">
        <v>3</v>
      </c>
      <c r="CU51" s="36">
        <v>5</v>
      </c>
      <c r="CV51" s="36">
        <v>5</v>
      </c>
      <c r="CW51" s="36">
        <v>4</v>
      </c>
      <c r="CX51" s="36">
        <v>4</v>
      </c>
      <c r="CY51" s="36">
        <v>4</v>
      </c>
      <c r="CZ51" s="36">
        <v>3</v>
      </c>
      <c r="DA51" s="36">
        <v>2</v>
      </c>
      <c r="DB51" s="36">
        <v>5</v>
      </c>
      <c r="DC51" s="36">
        <v>2</v>
      </c>
      <c r="DD51" s="36">
        <v>4</v>
      </c>
      <c r="DE51" s="36">
        <v>4</v>
      </c>
      <c r="DF51" s="36">
        <v>4</v>
      </c>
      <c r="DG51" s="36">
        <v>4</v>
      </c>
      <c r="DH51" s="36">
        <v>4</v>
      </c>
      <c r="DI51" s="36" t="s">
        <v>133</v>
      </c>
      <c r="DJ51" s="36" t="s">
        <v>133</v>
      </c>
      <c r="DK51" s="36" t="s">
        <v>254</v>
      </c>
      <c r="DL51" t="s">
        <v>255</v>
      </c>
      <c r="DM51"/>
      <c r="DN51"/>
      <c r="DO51" t="s">
        <v>256</v>
      </c>
      <c r="DP51" t="s">
        <v>257</v>
      </c>
      <c r="DQ51" s="36">
        <v>3</v>
      </c>
      <c r="DR51" s="36" t="s">
        <v>133</v>
      </c>
      <c r="DS51" s="36" t="s">
        <v>258</v>
      </c>
      <c r="DT51" t="s">
        <v>259</v>
      </c>
      <c r="DU51"/>
      <c r="DV51"/>
      <c r="DW51" t="s">
        <v>260</v>
      </c>
      <c r="DX51" t="s">
        <v>261</v>
      </c>
      <c r="DY51" s="36">
        <v>3</v>
      </c>
      <c r="DZ51" s="36" t="s">
        <v>133</v>
      </c>
      <c r="EA51" s="36">
        <v>3</v>
      </c>
      <c r="EB51" s="36" t="s">
        <v>262</v>
      </c>
      <c r="EC51" s="36" t="s">
        <v>267</v>
      </c>
      <c r="ED51" s="36">
        <v>25</v>
      </c>
      <c r="EE51" s="36" t="s">
        <v>292</v>
      </c>
      <c r="EF51" s="36" t="str">
        <f>Tabulacao!MC51</f>
        <v>Aracaju</v>
      </c>
      <c r="EG51" s="36" t="s">
        <v>292</v>
      </c>
      <c r="EH51" s="36" t="str">
        <f>Tabulacao!MG51</f>
        <v>Aracaju</v>
      </c>
      <c r="EI51" s="36" t="s">
        <v>292</v>
      </c>
      <c r="EJ51" s="36" t="str">
        <f>Tabulacao!MK51</f>
        <v>Aracaju</v>
      </c>
      <c r="EK51" s="36" t="s">
        <v>134</v>
      </c>
      <c r="EL51" s="36" t="s">
        <v>134</v>
      </c>
      <c r="EM51" s="36" t="s">
        <v>134</v>
      </c>
      <c r="EN51" s="36" t="s">
        <v>134</v>
      </c>
      <c r="EO51" s="36" t="s">
        <v>134</v>
      </c>
      <c r="EP51" s="36" t="s">
        <v>134</v>
      </c>
      <c r="EQ51" s="36" t="s">
        <v>275</v>
      </c>
      <c r="ER51" s="36" t="str">
        <f>IF(OR(EQ51=CaractAmostra!$BD$9,EQ51=CaractAmostra!$BD$10,EQ51=CaractAmostra!$BD$11,EQ51=CaractAmostra!$BD$12,EQ51=CaractAmostra!$BD$13),Respostas_Formatadas!EQ51,"Outros")</f>
        <v>Com os pais</v>
      </c>
      <c r="ES51" s="36" t="s">
        <v>275</v>
      </c>
      <c r="ET51" s="36" t="str">
        <f>IF(OR(ES51=CaractAmostra!$BH$9,ES51=CaractAmostra!$BH$10,ES51=CaractAmostra!$BH$11,ES51=CaractAmostra!$BH$12),Respostas_Formatadas!ES51,"Outros")</f>
        <v>Com os pais</v>
      </c>
      <c r="EU51" s="36" t="s">
        <v>134</v>
      </c>
      <c r="EV51" s="36" t="s">
        <v>282</v>
      </c>
      <c r="EW51" s="36" t="s">
        <v>284</v>
      </c>
      <c r="FE51" s="47">
        <v>2017</v>
      </c>
      <c r="FF51" s="97">
        <v>8.4138999999999999</v>
      </c>
      <c r="FI51" s="47" t="str">
        <f t="shared" si="0"/>
        <v>Aracaju</v>
      </c>
      <c r="FJ51" s="47" t="str">
        <f t="shared" si="1"/>
        <v>Bacharelado</v>
      </c>
    </row>
    <row r="52" spans="1:166" s="36" customFormat="1" ht="15.75" customHeight="1" x14ac:dyDescent="0.2">
      <c r="A52" s="38">
        <v>43406.427444814813</v>
      </c>
      <c r="C52" s="36" t="s">
        <v>125</v>
      </c>
      <c r="D52" s="47" t="s">
        <v>133</v>
      </c>
      <c r="E52" s="36" t="s">
        <v>135</v>
      </c>
      <c r="H52" s="36" t="s">
        <v>144</v>
      </c>
      <c r="M52" s="36" t="s">
        <v>147</v>
      </c>
      <c r="N52" s="36" t="s">
        <v>133</v>
      </c>
      <c r="O52" s="36" t="s">
        <v>133</v>
      </c>
      <c r="P52" s="36" t="s">
        <v>134</v>
      </c>
      <c r="Q52" s="36" t="s">
        <v>134</v>
      </c>
      <c r="R52" s="36" t="s">
        <v>152</v>
      </c>
      <c r="S52" s="36" t="s">
        <v>390</v>
      </c>
      <c r="T52" s="36" t="s">
        <v>155</v>
      </c>
      <c r="U52" s="36" t="s">
        <v>159</v>
      </c>
      <c r="V52" s="36">
        <v>5</v>
      </c>
      <c r="W52" s="36">
        <v>1</v>
      </c>
      <c r="X52" s="36">
        <v>5</v>
      </c>
      <c r="Y52" s="36" t="s">
        <v>165</v>
      </c>
      <c r="Z52" s="36" t="s">
        <v>167</v>
      </c>
      <c r="AA52" s="36" t="s">
        <v>171</v>
      </c>
      <c r="AB52" s="36" t="s">
        <v>179</v>
      </c>
      <c r="AD52" s="36" t="s">
        <v>425</v>
      </c>
      <c r="AE52" s="36">
        <v>5</v>
      </c>
      <c r="AF52" s="36" t="s">
        <v>190</v>
      </c>
      <c r="AG52" s="36" t="s">
        <v>190</v>
      </c>
      <c r="AH52" s="36" t="s">
        <v>133</v>
      </c>
      <c r="AI52" s="40">
        <v>2500</v>
      </c>
      <c r="AJ52" s="36">
        <v>5</v>
      </c>
      <c r="AK52" s="36">
        <v>5</v>
      </c>
      <c r="AL52" s="36" t="s">
        <v>133</v>
      </c>
      <c r="AP52" s="36" t="s">
        <v>426</v>
      </c>
      <c r="AQ52" s="40">
        <v>3000</v>
      </c>
      <c r="AR52" s="36">
        <v>5</v>
      </c>
      <c r="AS52" s="36">
        <v>5</v>
      </c>
      <c r="AT52" s="36">
        <v>5</v>
      </c>
      <c r="AU52" s="36">
        <v>5</v>
      </c>
      <c r="AV52" s="36">
        <v>5</v>
      </c>
      <c r="AW52" s="36" t="s">
        <v>199</v>
      </c>
      <c r="AX52" s="36" t="s">
        <v>204</v>
      </c>
      <c r="AY52" s="36" t="s">
        <v>211</v>
      </c>
      <c r="BG52" s="36">
        <v>5</v>
      </c>
      <c r="BH52" s="36">
        <v>4</v>
      </c>
      <c r="BI52" s="36">
        <v>4</v>
      </c>
      <c r="BJ52" s="36">
        <v>4</v>
      </c>
      <c r="BK52" s="36">
        <v>5</v>
      </c>
      <c r="BL52" s="36">
        <v>5</v>
      </c>
      <c r="BM52" s="36">
        <v>5</v>
      </c>
      <c r="BN52" s="36">
        <v>5</v>
      </c>
      <c r="BO52" s="36">
        <v>5</v>
      </c>
      <c r="BP52" s="36">
        <v>4</v>
      </c>
      <c r="BQ52" s="36">
        <v>4</v>
      </c>
      <c r="BR52" s="36">
        <v>4</v>
      </c>
      <c r="BS52" s="36">
        <v>5</v>
      </c>
      <c r="BT52" s="36">
        <v>4</v>
      </c>
      <c r="BU52" s="36">
        <v>3</v>
      </c>
      <c r="BV52" s="36">
        <v>4</v>
      </c>
      <c r="BW52" s="36">
        <v>4</v>
      </c>
      <c r="BX52" s="36">
        <v>5</v>
      </c>
      <c r="BY52" s="36">
        <v>5</v>
      </c>
      <c r="BZ52" s="36">
        <v>4</v>
      </c>
      <c r="CA52" s="36">
        <v>5</v>
      </c>
      <c r="CB52" s="36">
        <v>4</v>
      </c>
      <c r="CC52" s="36">
        <v>4</v>
      </c>
      <c r="CD52" s="36">
        <v>5</v>
      </c>
      <c r="CE52" s="36">
        <v>4</v>
      </c>
      <c r="CF52" s="36">
        <v>5</v>
      </c>
      <c r="CG52" s="36">
        <v>5</v>
      </c>
      <c r="CH52" s="36" t="s">
        <v>222</v>
      </c>
      <c r="CI52"/>
      <c r="CJ52"/>
      <c r="CK52" s="36" t="s">
        <v>237</v>
      </c>
      <c r="CL52" t="s">
        <v>239</v>
      </c>
      <c r="CM52" t="s">
        <v>240</v>
      </c>
      <c r="CN52" s="36" t="s">
        <v>242</v>
      </c>
      <c r="CO52" s="36" t="s">
        <v>134</v>
      </c>
      <c r="CP52" s="36">
        <v>4</v>
      </c>
      <c r="CQ52" s="36">
        <v>5</v>
      </c>
      <c r="CR52" s="36" t="s">
        <v>248</v>
      </c>
      <c r="CS52" s="36">
        <v>5</v>
      </c>
      <c r="CT52" s="36">
        <v>5</v>
      </c>
      <c r="CU52" s="36">
        <v>4</v>
      </c>
      <c r="CV52" s="36">
        <v>5</v>
      </c>
      <c r="CW52" s="36">
        <v>5</v>
      </c>
      <c r="CX52" s="36">
        <v>5</v>
      </c>
      <c r="CY52" s="36">
        <v>5</v>
      </c>
      <c r="CZ52" s="36">
        <v>5</v>
      </c>
      <c r="DA52" s="36">
        <v>4</v>
      </c>
      <c r="DB52" s="36">
        <v>4</v>
      </c>
      <c r="DC52" s="36">
        <v>5</v>
      </c>
      <c r="DD52" s="36">
        <v>5</v>
      </c>
      <c r="DE52" s="36">
        <v>5</v>
      </c>
      <c r="DF52" s="36">
        <v>5</v>
      </c>
      <c r="DG52" s="36">
        <v>5</v>
      </c>
      <c r="DH52" s="36">
        <v>5</v>
      </c>
      <c r="DI52" s="36" t="s">
        <v>133</v>
      </c>
      <c r="DJ52" s="36" t="s">
        <v>133</v>
      </c>
      <c r="DK52" s="36" t="s">
        <v>254</v>
      </c>
      <c r="DL52"/>
      <c r="DM52"/>
      <c r="DN52"/>
      <c r="DO52"/>
      <c r="DP52"/>
      <c r="DQ52" s="36">
        <v>5</v>
      </c>
      <c r="DR52" s="36" t="s">
        <v>133</v>
      </c>
      <c r="DS52" s="36" t="s">
        <v>258</v>
      </c>
      <c r="DT52" t="s">
        <v>260</v>
      </c>
      <c r="DU52"/>
      <c r="DV52"/>
      <c r="DW52"/>
      <c r="DX52"/>
      <c r="DY52" s="36">
        <v>5</v>
      </c>
      <c r="DZ52" s="36" t="s">
        <v>134</v>
      </c>
      <c r="EB52" s="36" t="s">
        <v>262</v>
      </c>
      <c r="EC52" s="36" t="s">
        <v>267</v>
      </c>
      <c r="ED52" s="36">
        <v>31</v>
      </c>
      <c r="EE52" s="36" t="s">
        <v>292</v>
      </c>
      <c r="EF52" s="36" t="str">
        <f>Tabulacao!MC52</f>
        <v>Aracaju</v>
      </c>
      <c r="EG52" s="36" t="s">
        <v>292</v>
      </c>
      <c r="EH52" s="36" t="str">
        <f>Tabulacao!MG52</f>
        <v>Aracaju</v>
      </c>
      <c r="EI52" s="36" t="s">
        <v>292</v>
      </c>
      <c r="EJ52" s="36" t="str">
        <f>Tabulacao!MK52</f>
        <v>Aracaju</v>
      </c>
      <c r="EK52" s="36" t="s">
        <v>134</v>
      </c>
      <c r="EL52" s="36" t="s">
        <v>134</v>
      </c>
      <c r="EM52" s="36" t="s">
        <v>134</v>
      </c>
      <c r="EN52" s="36" t="s">
        <v>134</v>
      </c>
      <c r="EO52" s="36" t="s">
        <v>270</v>
      </c>
      <c r="EP52" s="36" t="s">
        <v>134</v>
      </c>
      <c r="EQ52" s="36" t="s">
        <v>275</v>
      </c>
      <c r="ER52" s="36" t="str">
        <f>IF(OR(EQ52=CaractAmostra!$BD$9,EQ52=CaractAmostra!$BD$10,EQ52=CaractAmostra!$BD$11,EQ52=CaractAmostra!$BD$12,EQ52=CaractAmostra!$BD$13),Respostas_Formatadas!EQ52,"Outros")</f>
        <v>Com os pais</v>
      </c>
      <c r="ES52" s="36" t="s">
        <v>275</v>
      </c>
      <c r="ET52" s="36" t="str">
        <f>IF(OR(ES52=CaractAmostra!$BH$9,ES52=CaractAmostra!$BH$10,ES52=CaractAmostra!$BH$11,ES52=CaractAmostra!$BH$12),Respostas_Formatadas!ES52,"Outros")</f>
        <v>Com os pais</v>
      </c>
      <c r="EU52" s="36" t="s">
        <v>134</v>
      </c>
      <c r="EV52" s="36" t="s">
        <v>284</v>
      </c>
      <c r="EW52" s="36" t="s">
        <v>282</v>
      </c>
      <c r="FD52" s="36" t="s">
        <v>427</v>
      </c>
      <c r="FE52" s="47">
        <v>2017</v>
      </c>
      <c r="FF52" s="97">
        <v>7.7541000000000002</v>
      </c>
      <c r="FI52" s="47" t="str">
        <f t="shared" si="0"/>
        <v>Aracaju</v>
      </c>
      <c r="FJ52" s="47" t="str">
        <f t="shared" si="1"/>
        <v>Tecnologia</v>
      </c>
    </row>
    <row r="53" spans="1:166" s="36" customFormat="1" ht="15.75" customHeight="1" x14ac:dyDescent="0.2">
      <c r="A53" s="38">
        <v>43406.537102268514</v>
      </c>
      <c r="C53" s="36" t="s">
        <v>122</v>
      </c>
      <c r="D53" s="47" t="s">
        <v>134</v>
      </c>
      <c r="M53" s="36" t="s">
        <v>146</v>
      </c>
      <c r="N53" s="36" t="s">
        <v>134</v>
      </c>
      <c r="O53" s="36" t="s">
        <v>133</v>
      </c>
      <c r="P53" s="36" t="s">
        <v>133</v>
      </c>
      <c r="Q53" s="36" t="s">
        <v>134</v>
      </c>
      <c r="R53" s="36" t="s">
        <v>151</v>
      </c>
      <c r="Y53" s="36" t="s">
        <v>165</v>
      </c>
      <c r="Z53" s="36" t="s">
        <v>167</v>
      </c>
      <c r="AA53" s="36" t="s">
        <v>171</v>
      </c>
      <c r="AB53" s="36" t="s">
        <v>184</v>
      </c>
      <c r="AD53" s="36" t="s">
        <v>428</v>
      </c>
      <c r="AE53" s="36">
        <v>5</v>
      </c>
      <c r="AF53" s="36" t="s">
        <v>190</v>
      </c>
      <c r="AG53" s="36" t="s">
        <v>190</v>
      </c>
      <c r="AH53" s="36" t="s">
        <v>133</v>
      </c>
      <c r="AI53" s="40">
        <v>2000</v>
      </c>
      <c r="AJ53" s="36">
        <v>5</v>
      </c>
      <c r="AK53" s="36">
        <v>4</v>
      </c>
      <c r="AL53" s="36" t="s">
        <v>133</v>
      </c>
      <c r="AP53" s="36" t="s">
        <v>428</v>
      </c>
      <c r="AQ53" s="40">
        <v>3300</v>
      </c>
      <c r="AR53" s="36">
        <v>4</v>
      </c>
      <c r="AS53" s="36">
        <v>5</v>
      </c>
      <c r="AT53" s="36">
        <v>3</v>
      </c>
      <c r="AU53" s="36">
        <v>5</v>
      </c>
      <c r="AV53" s="36">
        <v>5</v>
      </c>
      <c r="AW53" s="36" t="s">
        <v>192</v>
      </c>
      <c r="AX53" s="36" t="s">
        <v>204</v>
      </c>
      <c r="AY53" s="36" t="s">
        <v>208</v>
      </c>
      <c r="AZ53" s="36" t="s">
        <v>133</v>
      </c>
      <c r="BA53" s="36" t="s">
        <v>170</v>
      </c>
      <c r="BB53" s="36" t="s">
        <v>347</v>
      </c>
      <c r="BC53" s="36" t="s">
        <v>358</v>
      </c>
      <c r="BD53" s="36" t="s">
        <v>190</v>
      </c>
      <c r="BG53" s="36">
        <v>5</v>
      </c>
      <c r="BH53" s="36">
        <v>4</v>
      </c>
      <c r="BI53" s="36">
        <v>5</v>
      </c>
      <c r="BJ53" s="36">
        <v>5</v>
      </c>
      <c r="BK53" s="36">
        <v>5</v>
      </c>
      <c r="BL53" s="36">
        <v>5</v>
      </c>
      <c r="BM53" s="36">
        <v>5</v>
      </c>
      <c r="BN53" s="36">
        <v>4</v>
      </c>
      <c r="BO53" s="36">
        <v>5</v>
      </c>
      <c r="BP53" s="36">
        <v>5</v>
      </c>
      <c r="BQ53" s="36">
        <v>5</v>
      </c>
      <c r="BR53" s="36">
        <v>5</v>
      </c>
      <c r="BS53" s="36">
        <v>1</v>
      </c>
      <c r="BT53" s="36">
        <v>4</v>
      </c>
      <c r="BU53" s="36">
        <v>4</v>
      </c>
      <c r="BV53" s="36">
        <v>5</v>
      </c>
      <c r="BW53" s="36">
        <v>5</v>
      </c>
      <c r="BX53" s="36">
        <v>5</v>
      </c>
      <c r="BY53" s="36">
        <v>5</v>
      </c>
      <c r="BZ53" s="36">
        <v>5</v>
      </c>
      <c r="CA53" s="36">
        <v>3</v>
      </c>
      <c r="CB53" s="36">
        <v>5</v>
      </c>
      <c r="CC53" s="36">
        <v>5</v>
      </c>
      <c r="CD53" s="36">
        <v>5</v>
      </c>
      <c r="CE53" s="36">
        <v>5</v>
      </c>
      <c r="CF53" s="36">
        <v>1</v>
      </c>
      <c r="CG53" s="36">
        <v>5</v>
      </c>
      <c r="CH53" s="36" t="s">
        <v>429</v>
      </c>
      <c r="CI53"/>
      <c r="CJ53"/>
      <c r="CK53" s="36" t="s">
        <v>232</v>
      </c>
      <c r="CL53" t="s">
        <v>234</v>
      </c>
      <c r="CM53"/>
      <c r="CN53" s="36" t="s">
        <v>242</v>
      </c>
      <c r="CO53" s="36" t="s">
        <v>134</v>
      </c>
      <c r="CP53" s="36">
        <v>2</v>
      </c>
      <c r="CQ53" s="36">
        <v>5</v>
      </c>
      <c r="CR53" s="36" t="s">
        <v>248</v>
      </c>
      <c r="CS53" s="36">
        <v>5</v>
      </c>
      <c r="CT53" s="36">
        <v>5</v>
      </c>
      <c r="CU53" s="36">
        <v>5</v>
      </c>
      <c r="CV53" s="36">
        <v>5</v>
      </c>
      <c r="CW53" s="36">
        <v>5</v>
      </c>
      <c r="CX53" s="36">
        <v>5</v>
      </c>
      <c r="CY53" s="36">
        <v>5</v>
      </c>
      <c r="CZ53" s="36">
        <v>4</v>
      </c>
      <c r="DA53" s="36">
        <v>4</v>
      </c>
      <c r="DB53" s="36">
        <v>5</v>
      </c>
      <c r="DC53" s="36">
        <v>5</v>
      </c>
      <c r="DD53" s="36">
        <v>5</v>
      </c>
      <c r="DE53" s="36">
        <v>5</v>
      </c>
      <c r="DF53" s="36">
        <v>5</v>
      </c>
      <c r="DG53" s="36">
        <v>5</v>
      </c>
      <c r="DH53" s="36">
        <v>5</v>
      </c>
      <c r="DI53" s="36" t="s">
        <v>133</v>
      </c>
      <c r="DJ53" s="36" t="s">
        <v>133</v>
      </c>
      <c r="DK53" s="36" t="s">
        <v>254</v>
      </c>
      <c r="DL53" t="s">
        <v>255</v>
      </c>
      <c r="DM53"/>
      <c r="DN53"/>
      <c r="DO53" t="s">
        <v>256</v>
      </c>
      <c r="DP53" t="s">
        <v>257</v>
      </c>
      <c r="DQ53" s="36">
        <v>5</v>
      </c>
      <c r="DR53" s="36" t="s">
        <v>133</v>
      </c>
      <c r="DS53" s="36" t="s">
        <v>258</v>
      </c>
      <c r="DT53" t="s">
        <v>259</v>
      </c>
      <c r="DU53"/>
      <c r="DV53"/>
      <c r="DW53" t="s">
        <v>261</v>
      </c>
      <c r="DX53"/>
      <c r="DY53" s="36">
        <v>5</v>
      </c>
      <c r="DZ53" s="36" t="s">
        <v>133</v>
      </c>
      <c r="EA53" s="36">
        <v>5</v>
      </c>
      <c r="EB53" s="36" t="s">
        <v>263</v>
      </c>
      <c r="EC53" s="36" t="s">
        <v>264</v>
      </c>
      <c r="ED53" s="36">
        <v>29</v>
      </c>
      <c r="EE53" s="36" t="s">
        <v>430</v>
      </c>
      <c r="EF53" s="36" t="str">
        <f>Tabulacao!MC53</f>
        <v>Piranhas - AL</v>
      </c>
      <c r="EG53" s="36" t="s">
        <v>292</v>
      </c>
      <c r="EH53" s="36" t="str">
        <f>Tabulacao!MG53</f>
        <v>Aracaju</v>
      </c>
      <c r="EI53" s="36" t="s">
        <v>347</v>
      </c>
      <c r="EJ53" s="36" t="str">
        <f>Tabulacao!MK53</f>
        <v>Nossa Senhora do Socorro</v>
      </c>
      <c r="EK53" s="36" t="s">
        <v>134</v>
      </c>
      <c r="EL53" s="36" t="s">
        <v>134</v>
      </c>
      <c r="EM53" s="36" t="s">
        <v>134</v>
      </c>
      <c r="EN53" s="36" t="s">
        <v>134</v>
      </c>
      <c r="EO53" s="36" t="s">
        <v>134</v>
      </c>
      <c r="EP53" s="36" t="s">
        <v>134</v>
      </c>
      <c r="EQ53" s="36" t="s">
        <v>274</v>
      </c>
      <c r="ER53" s="36" t="str">
        <f>IF(OR(EQ53=CaractAmostra!$BD$9,EQ53=CaractAmostra!$BD$10,EQ53=CaractAmostra!$BD$11,EQ53=CaractAmostra!$BD$12,EQ53=CaractAmostra!$BD$13),Respostas_Formatadas!EQ53,"Outros")</f>
        <v>Com um(a) parceiro(a)</v>
      </c>
      <c r="ES53" s="36" t="s">
        <v>274</v>
      </c>
      <c r="ET53" s="36" t="str">
        <f>IF(OR(ES53=CaractAmostra!$BH$9,ES53=CaractAmostra!$BH$10,ES53=CaractAmostra!$BH$11,ES53=CaractAmostra!$BH$12),Respostas_Formatadas!ES53,"Outros")</f>
        <v>Com um(a) parceiro(a)</v>
      </c>
      <c r="EU53" s="36" t="s">
        <v>280</v>
      </c>
      <c r="EV53" s="36" t="s">
        <v>282</v>
      </c>
      <c r="EW53" s="36" t="s">
        <v>282</v>
      </c>
      <c r="FE53" s="115" t="s">
        <v>1246</v>
      </c>
      <c r="FF53" s="97">
        <v>7.6463000000000001</v>
      </c>
      <c r="FI53" s="47" t="str">
        <f t="shared" si="0"/>
        <v>Aracaju</v>
      </c>
      <c r="FJ53" s="47" t="str">
        <f t="shared" si="1"/>
        <v>Licenciatura</v>
      </c>
    </row>
    <row r="54" spans="1:166" s="36" customFormat="1" ht="15.75" customHeight="1" x14ac:dyDescent="0.2">
      <c r="A54" s="38">
        <v>43406.578423009254</v>
      </c>
      <c r="C54" s="36" t="s">
        <v>120</v>
      </c>
      <c r="D54" s="47" t="s">
        <v>134</v>
      </c>
      <c r="M54" s="36" t="s">
        <v>146</v>
      </c>
      <c r="N54" s="36" t="s">
        <v>134</v>
      </c>
      <c r="O54" s="36" t="s">
        <v>134</v>
      </c>
      <c r="P54" s="36" t="s">
        <v>133</v>
      </c>
      <c r="Q54" s="36" t="s">
        <v>133</v>
      </c>
      <c r="R54" s="36" t="s">
        <v>151</v>
      </c>
      <c r="Y54" s="36" t="s">
        <v>165</v>
      </c>
      <c r="Z54" s="36" t="s">
        <v>167</v>
      </c>
      <c r="AA54" s="36" t="s">
        <v>174</v>
      </c>
      <c r="AB54" s="36" t="s">
        <v>181</v>
      </c>
      <c r="AD54" s="36" t="s">
        <v>431</v>
      </c>
      <c r="AE54" s="36">
        <v>3</v>
      </c>
      <c r="AF54" s="36" t="s">
        <v>190</v>
      </c>
      <c r="AG54" s="36" t="s">
        <v>190</v>
      </c>
      <c r="AH54" s="36" t="s">
        <v>134</v>
      </c>
      <c r="AI54" s="40">
        <v>2700</v>
      </c>
      <c r="AJ54" s="36">
        <v>5</v>
      </c>
      <c r="AK54" s="36">
        <v>2</v>
      </c>
      <c r="AL54" s="36" t="s">
        <v>133</v>
      </c>
      <c r="AP54" s="36" t="s">
        <v>432</v>
      </c>
      <c r="AQ54" s="40">
        <v>4200</v>
      </c>
      <c r="AR54" s="36">
        <v>5</v>
      </c>
      <c r="AS54" s="36">
        <v>4</v>
      </c>
      <c r="AT54" s="36">
        <v>1</v>
      </c>
      <c r="AU54" s="36">
        <v>5</v>
      </c>
      <c r="AV54" s="36">
        <v>5</v>
      </c>
      <c r="AW54" s="36" t="s">
        <v>194</v>
      </c>
      <c r="AX54" s="36" t="s">
        <v>205</v>
      </c>
      <c r="AY54" s="36" t="s">
        <v>433</v>
      </c>
      <c r="AZ54" s="36" t="s">
        <v>134</v>
      </c>
      <c r="BA54" s="36" t="s">
        <v>170</v>
      </c>
      <c r="BB54" s="36" t="s">
        <v>292</v>
      </c>
      <c r="BC54" s="36" t="s">
        <v>292</v>
      </c>
      <c r="BD54" s="36" t="s">
        <v>190</v>
      </c>
      <c r="BG54" s="36">
        <v>4</v>
      </c>
      <c r="BH54" s="36">
        <v>5</v>
      </c>
      <c r="BI54" s="36">
        <v>5</v>
      </c>
      <c r="BJ54" s="36">
        <v>4</v>
      </c>
      <c r="BK54" s="36">
        <v>5</v>
      </c>
      <c r="BL54" s="36">
        <v>5</v>
      </c>
      <c r="BM54" s="36">
        <v>5</v>
      </c>
      <c r="BN54" s="36">
        <v>5</v>
      </c>
      <c r="BO54" s="36">
        <v>4</v>
      </c>
      <c r="BP54" s="36">
        <v>4</v>
      </c>
      <c r="BQ54" s="36">
        <v>4</v>
      </c>
      <c r="BR54" s="36">
        <v>5</v>
      </c>
      <c r="BS54" s="36">
        <v>3</v>
      </c>
      <c r="BT54" s="36">
        <v>5</v>
      </c>
      <c r="BU54" s="36">
        <v>5</v>
      </c>
      <c r="BV54" s="36">
        <v>4</v>
      </c>
      <c r="BW54" s="36">
        <v>4</v>
      </c>
      <c r="BX54" s="36">
        <v>5</v>
      </c>
      <c r="BY54" s="36">
        <v>5</v>
      </c>
      <c r="BZ54" s="36">
        <v>5</v>
      </c>
      <c r="CA54" s="36">
        <v>5</v>
      </c>
      <c r="CB54" s="36">
        <v>4</v>
      </c>
      <c r="CC54" s="36">
        <v>4</v>
      </c>
      <c r="CD54" s="36">
        <v>4</v>
      </c>
      <c r="CE54" s="36">
        <v>4</v>
      </c>
      <c r="CF54" s="36">
        <v>4</v>
      </c>
      <c r="CG54" s="36">
        <v>4</v>
      </c>
      <c r="CH54" s="36" t="s">
        <v>229</v>
      </c>
      <c r="CI54"/>
      <c r="CJ54"/>
      <c r="CK54" s="36" t="s">
        <v>233</v>
      </c>
      <c r="CL54"/>
      <c r="CM54"/>
      <c r="CN54" s="36" t="s">
        <v>242</v>
      </c>
      <c r="CO54" s="36" t="s">
        <v>134</v>
      </c>
      <c r="CP54" s="36">
        <v>3</v>
      </c>
      <c r="CQ54" s="36">
        <v>5</v>
      </c>
      <c r="CR54" s="36" t="s">
        <v>249</v>
      </c>
      <c r="CS54" s="36">
        <v>5</v>
      </c>
      <c r="CT54" s="36">
        <v>3</v>
      </c>
      <c r="CU54" s="36">
        <v>3</v>
      </c>
      <c r="CV54" s="36">
        <v>5</v>
      </c>
      <c r="CW54" s="36">
        <v>5</v>
      </c>
      <c r="CX54" s="36">
        <v>5</v>
      </c>
      <c r="CY54" s="36">
        <v>5</v>
      </c>
      <c r="CZ54" s="36">
        <v>2</v>
      </c>
      <c r="DA54" s="36">
        <v>4</v>
      </c>
      <c r="DB54" s="36">
        <v>4</v>
      </c>
      <c r="DC54" s="36">
        <v>4</v>
      </c>
      <c r="DD54" s="36">
        <v>5</v>
      </c>
      <c r="DE54" s="36">
        <v>5</v>
      </c>
      <c r="DF54" s="36">
        <v>5</v>
      </c>
      <c r="DG54" s="36">
        <v>5</v>
      </c>
      <c r="DH54" s="36">
        <v>4</v>
      </c>
      <c r="DI54" s="36" t="s">
        <v>133</v>
      </c>
      <c r="DJ54" s="36" t="s">
        <v>133</v>
      </c>
      <c r="DK54" s="36" t="s">
        <v>257</v>
      </c>
      <c r="DL54"/>
      <c r="DM54"/>
      <c r="DN54"/>
      <c r="DO54"/>
      <c r="DP54"/>
      <c r="DQ54" s="36">
        <v>4</v>
      </c>
      <c r="DR54" s="36" t="s">
        <v>134</v>
      </c>
      <c r="DT54"/>
      <c r="DU54"/>
      <c r="DV54"/>
      <c r="DW54"/>
      <c r="DX54"/>
      <c r="DZ54" s="36" t="s">
        <v>134</v>
      </c>
      <c r="EB54" s="36" t="s">
        <v>262</v>
      </c>
      <c r="EC54" s="36" t="s">
        <v>267</v>
      </c>
      <c r="ED54" s="36">
        <v>29</v>
      </c>
      <c r="EE54" s="36" t="s">
        <v>434</v>
      </c>
      <c r="EF54" s="36" t="str">
        <f>Tabulacao!MC54</f>
        <v>Tobias Barreto</v>
      </c>
      <c r="EG54" s="36" t="s">
        <v>434</v>
      </c>
      <c r="EH54" s="36" t="str">
        <f>Tabulacao!MG54</f>
        <v>Tobias Barreto</v>
      </c>
      <c r="EI54" s="36" t="s">
        <v>292</v>
      </c>
      <c r="EJ54" s="36" t="str">
        <f>Tabulacao!MK54</f>
        <v>Aracaju</v>
      </c>
      <c r="EK54" s="36" t="s">
        <v>134</v>
      </c>
      <c r="EL54" s="36" t="s">
        <v>134</v>
      </c>
      <c r="EM54" s="36" t="s">
        <v>134</v>
      </c>
      <c r="EN54" s="36" t="s">
        <v>134</v>
      </c>
      <c r="EO54" s="36" t="s">
        <v>134</v>
      </c>
      <c r="EP54" s="36" t="s">
        <v>134</v>
      </c>
      <c r="EQ54" s="36" t="s">
        <v>275</v>
      </c>
      <c r="ER54" s="36" t="str">
        <f>IF(OR(EQ54=CaractAmostra!$BD$9,EQ54=CaractAmostra!$BD$10,EQ54=CaractAmostra!$BD$11,EQ54=CaractAmostra!$BD$12,EQ54=CaractAmostra!$BD$13),Respostas_Formatadas!EQ54,"Outros")</f>
        <v>Com os pais</v>
      </c>
      <c r="ES54" s="36" t="s">
        <v>277</v>
      </c>
      <c r="ET54" s="36" t="str">
        <f>IF(OR(ES54=CaractAmostra!$BH$9,ES54=CaractAmostra!$BH$10,ES54=CaractAmostra!$BH$11,ES54=CaractAmostra!$BH$12),Respostas_Formatadas!ES54,"Outros")</f>
        <v>Sozinho</v>
      </c>
      <c r="EU54" s="36" t="s">
        <v>279</v>
      </c>
      <c r="EV54" s="36" t="s">
        <v>283</v>
      </c>
      <c r="EW54" s="36" t="s">
        <v>285</v>
      </c>
      <c r="FE54" s="47">
        <v>2016</v>
      </c>
      <c r="FF54" s="97">
        <v>8.3142999999999994</v>
      </c>
      <c r="FI54" s="47" t="str">
        <f t="shared" si="0"/>
        <v>Lagarto</v>
      </c>
      <c r="FJ54" s="47" t="str">
        <f t="shared" si="1"/>
        <v>Bacharelado</v>
      </c>
    </row>
    <row r="55" spans="1:166" s="36" customFormat="1" ht="15.75" customHeight="1" x14ac:dyDescent="0.2">
      <c r="A55" s="38">
        <v>43406.631835671295</v>
      </c>
      <c r="C55" s="36" t="s">
        <v>121</v>
      </c>
      <c r="D55" s="47" t="s">
        <v>133</v>
      </c>
      <c r="E55" s="36" t="s">
        <v>138</v>
      </c>
      <c r="F55" s="36" t="s">
        <v>139</v>
      </c>
      <c r="H55" s="36" t="s">
        <v>144</v>
      </c>
      <c r="M55" s="36" t="s">
        <v>146</v>
      </c>
      <c r="N55" s="36" t="s">
        <v>134</v>
      </c>
      <c r="O55" s="36" t="s">
        <v>134</v>
      </c>
      <c r="P55" s="36" t="s">
        <v>134</v>
      </c>
      <c r="Q55" s="36" t="s">
        <v>134</v>
      </c>
      <c r="R55" s="36" t="s">
        <v>151</v>
      </c>
      <c r="Y55" s="36" t="s">
        <v>165</v>
      </c>
      <c r="Z55" s="36" t="s">
        <v>170</v>
      </c>
      <c r="AA55" s="36" t="s">
        <v>174</v>
      </c>
      <c r="AB55" s="36" t="s">
        <v>184</v>
      </c>
      <c r="AD55" s="36" t="s">
        <v>388</v>
      </c>
      <c r="AE55" s="36">
        <v>5</v>
      </c>
      <c r="AF55" s="36" t="s">
        <v>190</v>
      </c>
      <c r="AG55" s="36" t="s">
        <v>190</v>
      </c>
      <c r="AH55" s="36" t="s">
        <v>134</v>
      </c>
      <c r="AI55" s="40">
        <v>3400</v>
      </c>
      <c r="AJ55" s="36">
        <v>5</v>
      </c>
      <c r="AK55" s="36">
        <v>1</v>
      </c>
      <c r="AL55" s="36" t="s">
        <v>133</v>
      </c>
      <c r="AP55" s="36" t="s">
        <v>388</v>
      </c>
      <c r="AQ55" s="40">
        <v>3400</v>
      </c>
      <c r="AR55" s="36">
        <v>3</v>
      </c>
      <c r="AS55" s="36">
        <v>5</v>
      </c>
      <c r="AT55" s="36">
        <v>1</v>
      </c>
      <c r="AU55" s="36">
        <v>3</v>
      </c>
      <c r="AV55" s="36">
        <v>3</v>
      </c>
      <c r="AW55" s="36" t="s">
        <v>192</v>
      </c>
      <c r="AX55" s="36" t="s">
        <v>204</v>
      </c>
      <c r="AY55" s="36" t="s">
        <v>208</v>
      </c>
      <c r="AZ55" s="36" t="s">
        <v>134</v>
      </c>
      <c r="BA55" s="36" t="s">
        <v>170</v>
      </c>
      <c r="BB55" s="36" t="s">
        <v>435</v>
      </c>
      <c r="BC55" s="36" t="s">
        <v>358</v>
      </c>
      <c r="BD55" s="36" t="s">
        <v>190</v>
      </c>
      <c r="BG55" s="36">
        <v>5</v>
      </c>
      <c r="BH55" s="36">
        <v>3</v>
      </c>
      <c r="BI55" s="36">
        <v>4</v>
      </c>
      <c r="BJ55" s="36">
        <v>3</v>
      </c>
      <c r="BK55" s="36">
        <v>4</v>
      </c>
      <c r="BL55" s="36">
        <v>3</v>
      </c>
      <c r="BM55" s="36">
        <v>5</v>
      </c>
      <c r="BN55" s="36">
        <v>5</v>
      </c>
      <c r="BO55" s="36">
        <v>4</v>
      </c>
      <c r="BP55" s="36">
        <v>4</v>
      </c>
      <c r="BQ55" s="36">
        <v>5</v>
      </c>
      <c r="BR55" s="36">
        <v>5</v>
      </c>
      <c r="BS55" s="36">
        <v>2</v>
      </c>
      <c r="BT55" s="36">
        <v>4</v>
      </c>
      <c r="BU55" s="36">
        <v>3</v>
      </c>
      <c r="BV55" s="36">
        <v>5</v>
      </c>
      <c r="BW55" s="36">
        <v>4</v>
      </c>
      <c r="BX55" s="36">
        <v>4</v>
      </c>
      <c r="BY55" s="36">
        <v>5</v>
      </c>
      <c r="BZ55" s="36">
        <v>5</v>
      </c>
      <c r="CA55" s="36">
        <v>5</v>
      </c>
      <c r="CB55" s="36">
        <v>5</v>
      </c>
      <c r="CC55" s="36">
        <v>5</v>
      </c>
      <c r="CD55" s="36">
        <v>5</v>
      </c>
      <c r="CE55" s="36">
        <v>5</v>
      </c>
      <c r="CF55" s="36">
        <v>3</v>
      </c>
      <c r="CG55" s="36">
        <v>5</v>
      </c>
      <c r="CH55" s="36" t="s">
        <v>222</v>
      </c>
      <c r="CI55" t="s">
        <v>225</v>
      </c>
      <c r="CJ55" t="s">
        <v>226</v>
      </c>
      <c r="CK55" s="36" t="s">
        <v>234</v>
      </c>
      <c r="CL55" t="s">
        <v>240</v>
      </c>
      <c r="CM55"/>
      <c r="CN55" s="36" t="s">
        <v>241</v>
      </c>
      <c r="CO55" s="36" t="s">
        <v>134</v>
      </c>
      <c r="CP55" s="36">
        <v>2</v>
      </c>
      <c r="CQ55" s="36">
        <v>5</v>
      </c>
      <c r="CR55" s="36" t="s">
        <v>248</v>
      </c>
      <c r="CS55" s="36">
        <v>3</v>
      </c>
      <c r="CT55" s="36">
        <v>2</v>
      </c>
      <c r="CU55" s="36">
        <v>4</v>
      </c>
      <c r="CV55" s="36">
        <v>3</v>
      </c>
      <c r="CW55" s="36">
        <v>3</v>
      </c>
      <c r="CX55" s="36">
        <v>4</v>
      </c>
      <c r="CY55" s="36">
        <v>4</v>
      </c>
      <c r="CZ55" s="36">
        <v>4</v>
      </c>
      <c r="DA55" s="36">
        <v>2</v>
      </c>
      <c r="DB55" s="36">
        <v>2</v>
      </c>
      <c r="DC55" s="36">
        <v>2</v>
      </c>
      <c r="DD55" s="36">
        <v>5</v>
      </c>
      <c r="DE55" s="36">
        <v>5</v>
      </c>
      <c r="DF55" s="36">
        <v>5</v>
      </c>
      <c r="DG55" s="36">
        <v>5</v>
      </c>
      <c r="DH55" s="36">
        <v>3</v>
      </c>
      <c r="DI55" s="36" t="s">
        <v>133</v>
      </c>
      <c r="DJ55" s="36" t="s">
        <v>133</v>
      </c>
      <c r="DK55" s="36" t="s">
        <v>255</v>
      </c>
      <c r="DL55"/>
      <c r="DM55"/>
      <c r="DN55" t="s">
        <v>257</v>
      </c>
      <c r="DO55"/>
      <c r="DP55"/>
      <c r="DQ55" s="36">
        <v>4</v>
      </c>
      <c r="DR55" s="36" t="s">
        <v>133</v>
      </c>
      <c r="DS55" s="36" t="s">
        <v>258</v>
      </c>
      <c r="DT55" t="s">
        <v>259</v>
      </c>
      <c r="DU55"/>
      <c r="DV55"/>
      <c r="DW55" t="s">
        <v>261</v>
      </c>
      <c r="DX55"/>
      <c r="DY55" s="36">
        <v>4</v>
      </c>
      <c r="DZ55" s="36" t="s">
        <v>133</v>
      </c>
      <c r="EA55" s="36">
        <v>5</v>
      </c>
      <c r="EB55" s="36" t="s">
        <v>263</v>
      </c>
      <c r="EC55" s="36" t="s">
        <v>267</v>
      </c>
      <c r="ED55" s="36">
        <v>26</v>
      </c>
      <c r="EE55" s="36" t="s">
        <v>358</v>
      </c>
      <c r="EF55" s="36" t="str">
        <f>Tabulacao!MC55</f>
        <v>Nossa Senhora do Socorro</v>
      </c>
      <c r="EG55" s="36" t="s">
        <v>358</v>
      </c>
      <c r="EH55" s="36" t="str">
        <f>Tabulacao!MG55</f>
        <v>Nossa Senhora do Socorro</v>
      </c>
      <c r="EI55" s="36" t="s">
        <v>358</v>
      </c>
      <c r="EJ55" s="36" t="str">
        <f>Tabulacao!MK55</f>
        <v>Nossa Senhora do Socorro</v>
      </c>
      <c r="EK55" s="36" t="s">
        <v>134</v>
      </c>
      <c r="EL55" s="36" t="s">
        <v>134</v>
      </c>
      <c r="EM55" s="36" t="s">
        <v>134</v>
      </c>
      <c r="EN55" s="36" t="s">
        <v>134</v>
      </c>
      <c r="EO55" s="36" t="s">
        <v>134</v>
      </c>
      <c r="EP55" s="36" t="s">
        <v>134</v>
      </c>
      <c r="EQ55" s="36" t="s">
        <v>436</v>
      </c>
      <c r="ER55" s="36" t="str">
        <f>IF(OR(EQ55=CaractAmostra!$BD$9,EQ55=CaractAmostra!$BD$10,EQ55=CaractAmostra!$BD$11,EQ55=CaractAmostra!$BD$12,EQ55=CaractAmostra!$BD$13),Respostas_Formatadas!EQ55,"Outros")</f>
        <v>Outros</v>
      </c>
      <c r="ES55" s="36" t="s">
        <v>274</v>
      </c>
      <c r="ET55" s="36" t="str">
        <f>IF(OR(ES55=CaractAmostra!$BH$9,ES55=CaractAmostra!$BH$10,ES55=CaractAmostra!$BH$11,ES55=CaractAmostra!$BH$12),Respostas_Formatadas!ES55,"Outros")</f>
        <v>Com um(a) parceiro(a)</v>
      </c>
      <c r="EU55" s="36" t="s">
        <v>134</v>
      </c>
      <c r="EV55" s="36" t="s">
        <v>285</v>
      </c>
      <c r="EW55" s="36" t="s">
        <v>282</v>
      </c>
      <c r="FE55" s="47">
        <v>2014</v>
      </c>
      <c r="FF55" s="97">
        <v>8.1710999999999991</v>
      </c>
      <c r="FI55" s="47" t="str">
        <f t="shared" si="0"/>
        <v>Aracaju</v>
      </c>
      <c r="FJ55" s="47" t="str">
        <f t="shared" si="1"/>
        <v>Licenciatura</v>
      </c>
    </row>
    <row r="56" spans="1:166" s="36" customFormat="1" ht="15.75" customHeight="1" x14ac:dyDescent="0.2">
      <c r="A56" s="38">
        <v>43406.64540228009</v>
      </c>
      <c r="C56" s="36" t="s">
        <v>120</v>
      </c>
      <c r="D56" s="47" t="s">
        <v>133</v>
      </c>
      <c r="E56" s="36" t="s">
        <v>136</v>
      </c>
      <c r="H56" s="36" t="s">
        <v>141</v>
      </c>
      <c r="I56" s="36" t="s">
        <v>142</v>
      </c>
      <c r="J56" s="36" t="s">
        <v>144</v>
      </c>
      <c r="M56" s="36" t="s">
        <v>146</v>
      </c>
      <c r="N56" s="36" t="s">
        <v>133</v>
      </c>
      <c r="O56" s="36" t="s">
        <v>133</v>
      </c>
      <c r="P56" s="36" t="s">
        <v>133</v>
      </c>
      <c r="Q56" s="36" t="s">
        <v>133</v>
      </c>
      <c r="R56" s="36" t="s">
        <v>151</v>
      </c>
      <c r="Y56" s="36" t="s">
        <v>166</v>
      </c>
      <c r="AC56" s="36" t="s">
        <v>181</v>
      </c>
      <c r="AD56" s="36" t="s">
        <v>298</v>
      </c>
      <c r="AE56" s="36">
        <v>5</v>
      </c>
      <c r="AF56" s="36" t="s">
        <v>189</v>
      </c>
      <c r="AG56" s="36" t="s">
        <v>189</v>
      </c>
      <c r="AH56" s="36" t="s">
        <v>134</v>
      </c>
      <c r="AI56" s="40">
        <v>1500</v>
      </c>
      <c r="AJ56" s="36">
        <v>5</v>
      </c>
      <c r="AK56" s="36">
        <v>5</v>
      </c>
      <c r="AL56" s="36" t="s">
        <v>133</v>
      </c>
      <c r="AP56" s="36" t="s">
        <v>298</v>
      </c>
      <c r="AQ56" s="40">
        <v>1800</v>
      </c>
      <c r="AR56" s="36">
        <v>2</v>
      </c>
      <c r="AS56" s="36">
        <v>5</v>
      </c>
      <c r="AT56" s="36">
        <v>3</v>
      </c>
      <c r="AU56" s="36">
        <v>3</v>
      </c>
      <c r="AV56" s="36">
        <v>3</v>
      </c>
      <c r="AW56" s="36" t="s">
        <v>192</v>
      </c>
      <c r="AX56" s="36" t="s">
        <v>206</v>
      </c>
      <c r="AY56" s="36" t="s">
        <v>210</v>
      </c>
      <c r="AZ56" s="36" t="s">
        <v>133</v>
      </c>
      <c r="BA56" s="36" t="s">
        <v>170</v>
      </c>
      <c r="BB56" s="36" t="s">
        <v>437</v>
      </c>
      <c r="BC56" s="36" t="s">
        <v>325</v>
      </c>
      <c r="BD56" s="36" t="s">
        <v>189</v>
      </c>
      <c r="BF56" s="36" t="s">
        <v>218</v>
      </c>
      <c r="BG56" s="36">
        <v>5</v>
      </c>
      <c r="BH56" s="36">
        <v>4</v>
      </c>
      <c r="BI56" s="36">
        <v>5</v>
      </c>
      <c r="BJ56" s="36">
        <v>1</v>
      </c>
      <c r="BK56" s="36">
        <v>5</v>
      </c>
      <c r="BL56" s="36">
        <v>5</v>
      </c>
      <c r="BM56" s="36">
        <v>5</v>
      </c>
      <c r="BN56" s="36">
        <v>5</v>
      </c>
      <c r="BO56" s="36">
        <v>5</v>
      </c>
      <c r="BP56" s="36">
        <v>5</v>
      </c>
      <c r="BQ56" s="36">
        <v>1</v>
      </c>
      <c r="BR56" s="36">
        <v>5</v>
      </c>
      <c r="BS56" s="36">
        <v>1</v>
      </c>
      <c r="BT56" s="36">
        <v>5</v>
      </c>
      <c r="BU56" s="36">
        <v>3</v>
      </c>
      <c r="BV56" s="36">
        <v>5</v>
      </c>
      <c r="BW56" s="36">
        <v>3</v>
      </c>
      <c r="BX56" s="36">
        <v>5</v>
      </c>
      <c r="BY56" s="36">
        <v>5</v>
      </c>
      <c r="BZ56" s="36">
        <v>4</v>
      </c>
      <c r="CA56" s="36">
        <v>5</v>
      </c>
      <c r="CB56" s="36">
        <v>5</v>
      </c>
      <c r="CC56" s="36">
        <v>5</v>
      </c>
      <c r="CD56" s="36">
        <v>2</v>
      </c>
      <c r="CE56" s="36">
        <v>3</v>
      </c>
      <c r="CF56" s="36">
        <v>5</v>
      </c>
      <c r="CG56" s="36">
        <v>5</v>
      </c>
      <c r="CH56" s="36" t="s">
        <v>222</v>
      </c>
      <c r="CI56" t="s">
        <v>225</v>
      </c>
      <c r="CJ56" t="s">
        <v>229</v>
      </c>
      <c r="CK56" s="36" t="s">
        <v>233</v>
      </c>
      <c r="CL56" t="s">
        <v>234</v>
      </c>
      <c r="CM56"/>
      <c r="CN56" s="36" t="s">
        <v>242</v>
      </c>
      <c r="CO56" s="36" t="s">
        <v>134</v>
      </c>
      <c r="CP56" s="36">
        <v>1</v>
      </c>
      <c r="CQ56" s="36">
        <v>5</v>
      </c>
      <c r="CR56" s="36" t="s">
        <v>249</v>
      </c>
      <c r="CS56" s="36">
        <v>3</v>
      </c>
      <c r="CT56" s="36">
        <v>2</v>
      </c>
      <c r="CU56" s="36">
        <v>5</v>
      </c>
      <c r="CV56" s="36">
        <v>3</v>
      </c>
      <c r="CW56" s="36">
        <v>5</v>
      </c>
      <c r="CX56" s="36">
        <v>5</v>
      </c>
      <c r="CY56" s="36">
        <v>5</v>
      </c>
      <c r="CZ56" s="36">
        <v>5</v>
      </c>
      <c r="DA56" s="36">
        <v>3</v>
      </c>
      <c r="DB56" s="36">
        <v>3</v>
      </c>
      <c r="DC56" s="36">
        <v>4</v>
      </c>
      <c r="DD56" s="36">
        <v>5</v>
      </c>
      <c r="DE56" s="36">
        <v>5</v>
      </c>
      <c r="DF56" s="36">
        <v>5</v>
      </c>
      <c r="DG56" s="36">
        <v>5</v>
      </c>
      <c r="DH56" s="36">
        <v>5</v>
      </c>
      <c r="DI56" s="36" t="s">
        <v>133</v>
      </c>
      <c r="DJ56" s="36" t="s">
        <v>133</v>
      </c>
      <c r="DK56" s="36" t="s">
        <v>254</v>
      </c>
      <c r="DL56" t="s">
        <v>255</v>
      </c>
      <c r="DM56"/>
      <c r="DN56"/>
      <c r="DO56" t="s">
        <v>256</v>
      </c>
      <c r="DP56" t="s">
        <v>257</v>
      </c>
      <c r="DQ56" s="36">
        <v>2</v>
      </c>
      <c r="DR56" s="36" t="s">
        <v>133</v>
      </c>
      <c r="DS56" s="36" t="s">
        <v>259</v>
      </c>
      <c r="DT56"/>
      <c r="DU56"/>
      <c r="DV56"/>
      <c r="DW56"/>
      <c r="DX56"/>
      <c r="DY56" s="36">
        <v>5</v>
      </c>
      <c r="DZ56" s="36" t="s">
        <v>133</v>
      </c>
      <c r="EA56" s="36">
        <v>5</v>
      </c>
      <c r="EB56" s="36" t="s">
        <v>262</v>
      </c>
      <c r="EC56" s="36" t="s">
        <v>267</v>
      </c>
      <c r="ED56" s="36">
        <v>29</v>
      </c>
      <c r="EE56" s="36" t="s">
        <v>325</v>
      </c>
      <c r="EF56" s="36" t="str">
        <f>Tabulacao!MC56</f>
        <v>Estância</v>
      </c>
      <c r="EG56" s="36" t="s">
        <v>291</v>
      </c>
      <c r="EH56" s="36" t="str">
        <f>Tabulacao!MG56</f>
        <v>Lagarto</v>
      </c>
      <c r="EI56" s="36" t="s">
        <v>325</v>
      </c>
      <c r="EJ56" s="36" t="str">
        <f>Tabulacao!MK56</f>
        <v>Estância</v>
      </c>
      <c r="EK56" s="36" t="s">
        <v>134</v>
      </c>
      <c r="EL56" s="36" t="s">
        <v>134</v>
      </c>
      <c r="EM56" s="36" t="s">
        <v>134</v>
      </c>
      <c r="EN56" s="36" t="s">
        <v>134</v>
      </c>
      <c r="EO56" s="36" t="s">
        <v>134</v>
      </c>
      <c r="EP56" s="36" t="s">
        <v>134</v>
      </c>
      <c r="EQ56" s="36" t="s">
        <v>273</v>
      </c>
      <c r="ER56" s="36" t="str">
        <f>IF(OR(EQ56=CaractAmostra!$BD$9,EQ56=CaractAmostra!$BD$10,EQ56=CaractAmostra!$BD$11,EQ56=CaractAmostra!$BD$12,EQ56=CaractAmostra!$BD$13),Respostas_Formatadas!EQ56,"Outros")</f>
        <v>Dividia residência com outras pessoas</v>
      </c>
      <c r="ES56" s="36" t="s">
        <v>274</v>
      </c>
      <c r="ET56" s="36" t="str">
        <f>IF(OR(ES56=CaractAmostra!$BH$9,ES56=CaractAmostra!$BH$10,ES56=CaractAmostra!$BH$11,ES56=CaractAmostra!$BH$12),Respostas_Formatadas!ES56,"Outros")</f>
        <v>Com um(a) parceiro(a)</v>
      </c>
      <c r="EU56" s="36" t="s">
        <v>134</v>
      </c>
      <c r="EV56" s="36" t="s">
        <v>282</v>
      </c>
      <c r="EW56" s="36" t="s">
        <v>288</v>
      </c>
      <c r="FE56" s="47">
        <v>2017</v>
      </c>
      <c r="FF56" s="97">
        <v>8.0830000000000002</v>
      </c>
      <c r="FI56" s="47" t="str">
        <f t="shared" si="0"/>
        <v>Lagarto</v>
      </c>
      <c r="FJ56" s="47" t="str">
        <f t="shared" si="1"/>
        <v>Bacharelado</v>
      </c>
    </row>
    <row r="57" spans="1:166" s="36" customFormat="1" ht="15.75" customHeight="1" x14ac:dyDescent="0.2">
      <c r="A57" s="38">
        <v>43406.670055601848</v>
      </c>
      <c r="C57" s="36" t="s">
        <v>119</v>
      </c>
      <c r="D57" s="47" t="s">
        <v>134</v>
      </c>
      <c r="M57" s="36" t="s">
        <v>146</v>
      </c>
      <c r="N57" s="36" t="s">
        <v>134</v>
      </c>
      <c r="O57" s="36" t="s">
        <v>134</v>
      </c>
      <c r="P57" s="36" t="s">
        <v>133</v>
      </c>
      <c r="Q57" s="36" t="s">
        <v>134</v>
      </c>
      <c r="R57" s="36" t="s">
        <v>151</v>
      </c>
      <c r="Y57" s="36" t="s">
        <v>134</v>
      </c>
      <c r="AI57" s="40"/>
      <c r="AQ57" s="40"/>
      <c r="BT57" s="36">
        <v>4</v>
      </c>
      <c r="BU57" s="36">
        <v>4</v>
      </c>
      <c r="BV57" s="36">
        <v>5</v>
      </c>
      <c r="BW57" s="36">
        <v>3</v>
      </c>
      <c r="BX57" s="36">
        <v>4</v>
      </c>
      <c r="BY57" s="36">
        <v>3</v>
      </c>
      <c r="BZ57" s="36">
        <v>4</v>
      </c>
      <c r="CA57" s="36">
        <v>5</v>
      </c>
      <c r="CB57" s="36">
        <v>5</v>
      </c>
      <c r="CC57" s="36">
        <v>5</v>
      </c>
      <c r="CD57" s="36">
        <v>5</v>
      </c>
      <c r="CE57" s="36">
        <v>3</v>
      </c>
      <c r="CF57" s="36">
        <v>5</v>
      </c>
      <c r="CG57" s="36">
        <v>1</v>
      </c>
      <c r="CH57" s="36" t="s">
        <v>222</v>
      </c>
      <c r="CI57" t="s">
        <v>226</v>
      </c>
      <c r="CJ57" t="s">
        <v>229</v>
      </c>
      <c r="CK57" s="36" t="s">
        <v>233</v>
      </c>
      <c r="CL57" t="s">
        <v>236</v>
      </c>
      <c r="CM57"/>
      <c r="CN57" s="36" t="s">
        <v>241</v>
      </c>
      <c r="CO57" s="36" t="s">
        <v>134</v>
      </c>
      <c r="CP57" s="36">
        <v>2</v>
      </c>
      <c r="CQ57" s="36">
        <v>5</v>
      </c>
      <c r="CR57" s="36" t="s">
        <v>248</v>
      </c>
      <c r="CS57" s="36">
        <v>3</v>
      </c>
      <c r="CT57" s="36">
        <v>4</v>
      </c>
      <c r="CU57" s="36">
        <v>2</v>
      </c>
      <c r="CV57" s="36">
        <v>1</v>
      </c>
      <c r="CW57" s="36">
        <v>3</v>
      </c>
      <c r="CX57" s="36">
        <v>5</v>
      </c>
      <c r="CY57" s="36">
        <v>5</v>
      </c>
      <c r="CZ57" s="36">
        <v>4</v>
      </c>
      <c r="DA57" s="36">
        <v>3</v>
      </c>
      <c r="DB57" s="36">
        <v>3</v>
      </c>
      <c r="DC57" s="36">
        <v>2</v>
      </c>
      <c r="DD57" s="36">
        <v>3</v>
      </c>
      <c r="DE57" s="36">
        <v>4</v>
      </c>
      <c r="DF57" s="36">
        <v>4</v>
      </c>
      <c r="DG57" s="36">
        <v>3</v>
      </c>
      <c r="DH57" s="36">
        <v>3</v>
      </c>
      <c r="DI57" s="36" t="s">
        <v>133</v>
      </c>
      <c r="DJ57" s="36" t="s">
        <v>133</v>
      </c>
      <c r="DK57" s="36" t="s">
        <v>255</v>
      </c>
      <c r="DL57"/>
      <c r="DM57"/>
      <c r="DN57"/>
      <c r="DO57"/>
      <c r="DP57"/>
      <c r="DQ57" s="36">
        <v>5</v>
      </c>
      <c r="DR57" s="36" t="s">
        <v>134</v>
      </c>
      <c r="DT57"/>
      <c r="DU57"/>
      <c r="DV57"/>
      <c r="DW57"/>
      <c r="DX57"/>
      <c r="DZ57" s="36" t="s">
        <v>133</v>
      </c>
      <c r="EA57" s="36">
        <v>5</v>
      </c>
      <c r="EB57" s="36" t="s">
        <v>262</v>
      </c>
      <c r="EC57" s="36" t="s">
        <v>267</v>
      </c>
      <c r="ED57" s="36">
        <v>22</v>
      </c>
      <c r="EE57" s="36" t="s">
        <v>322</v>
      </c>
      <c r="EF57" s="36" t="str">
        <f>Tabulacao!MC57</f>
        <v>Itabaiana</v>
      </c>
      <c r="EG57" s="36" t="s">
        <v>322</v>
      </c>
      <c r="EH57" s="36" t="str">
        <f>Tabulacao!MG57</f>
        <v>Itabaiana</v>
      </c>
      <c r="EI57" s="36" t="s">
        <v>322</v>
      </c>
      <c r="EJ57" s="36" t="str">
        <f>Tabulacao!MK57</f>
        <v>Itabaiana</v>
      </c>
      <c r="EK57" s="36" t="s">
        <v>134</v>
      </c>
      <c r="EL57" s="36" t="s">
        <v>134</v>
      </c>
      <c r="EM57" s="36" t="s">
        <v>134</v>
      </c>
      <c r="EN57" s="36" t="s">
        <v>134</v>
      </c>
      <c r="EO57" s="36" t="s">
        <v>134</v>
      </c>
      <c r="EP57" s="36" t="s">
        <v>134</v>
      </c>
      <c r="EQ57" s="36" t="s">
        <v>275</v>
      </c>
      <c r="ER57" s="36" t="str">
        <f>IF(OR(EQ57=CaractAmostra!$BD$9,EQ57=CaractAmostra!$BD$10,EQ57=CaractAmostra!$BD$11,EQ57=CaractAmostra!$BD$12,EQ57=CaractAmostra!$BD$13),Respostas_Formatadas!EQ57,"Outros")</f>
        <v>Com os pais</v>
      </c>
      <c r="ES57" s="36" t="s">
        <v>275</v>
      </c>
      <c r="ET57" s="36" t="str">
        <f>IF(OR(ES57=CaractAmostra!$BH$9,ES57=CaractAmostra!$BH$10,ES57=CaractAmostra!$BH$11,ES57=CaractAmostra!$BH$12),Respostas_Formatadas!ES57,"Outros")</f>
        <v>Com os pais</v>
      </c>
      <c r="EU57" s="36" t="s">
        <v>134</v>
      </c>
      <c r="EV57" s="36" t="s">
        <v>282</v>
      </c>
      <c r="EW57" s="36" t="s">
        <v>192</v>
      </c>
      <c r="FD57" s="36" t="s">
        <v>438</v>
      </c>
      <c r="FE57" s="47">
        <v>2018</v>
      </c>
      <c r="FF57" s="97">
        <v>7.9298999999999999</v>
      </c>
      <c r="FI57" s="47" t="str">
        <f t="shared" si="0"/>
        <v>Aracaju</v>
      </c>
      <c r="FJ57" s="47" t="str">
        <f t="shared" si="1"/>
        <v>Bacharelado</v>
      </c>
    </row>
    <row r="58" spans="1:166" s="36" customFormat="1" ht="15.75" customHeight="1" x14ac:dyDescent="0.2">
      <c r="A58" s="38">
        <v>43406.720171493056</v>
      </c>
      <c r="C58" s="36" t="s">
        <v>125</v>
      </c>
      <c r="D58" s="47" t="s">
        <v>134</v>
      </c>
      <c r="M58" s="36" t="s">
        <v>147</v>
      </c>
      <c r="N58" s="36" t="s">
        <v>134</v>
      </c>
      <c r="O58" s="36" t="s">
        <v>133</v>
      </c>
      <c r="P58" s="36" t="s">
        <v>133</v>
      </c>
      <c r="Q58" s="36" t="s">
        <v>133</v>
      </c>
      <c r="R58" s="36" t="s">
        <v>151</v>
      </c>
      <c r="Y58" s="36" t="s">
        <v>134</v>
      </c>
      <c r="AI58" s="40"/>
      <c r="AQ58" s="40"/>
      <c r="BT58" s="36">
        <v>5</v>
      </c>
      <c r="BU58" s="36">
        <v>4</v>
      </c>
      <c r="BV58" s="36">
        <v>4</v>
      </c>
      <c r="BW58" s="36">
        <v>5</v>
      </c>
      <c r="BX58" s="36">
        <v>5</v>
      </c>
      <c r="BY58" s="36">
        <v>5</v>
      </c>
      <c r="BZ58" s="36">
        <v>4</v>
      </c>
      <c r="CA58" s="36">
        <v>5</v>
      </c>
      <c r="CB58" s="36">
        <v>4</v>
      </c>
      <c r="CC58" s="36">
        <v>5</v>
      </c>
      <c r="CD58" s="36">
        <v>4</v>
      </c>
      <c r="CE58" s="36">
        <v>4</v>
      </c>
      <c r="CF58" s="36">
        <v>3</v>
      </c>
      <c r="CG58" s="36">
        <v>2</v>
      </c>
      <c r="CH58" s="36" t="s">
        <v>222</v>
      </c>
      <c r="CI58"/>
      <c r="CJ58"/>
      <c r="CK58" s="36" t="s">
        <v>233</v>
      </c>
      <c r="CL58"/>
      <c r="CM58"/>
      <c r="CN58" s="36" t="s">
        <v>241</v>
      </c>
      <c r="CO58" s="36" t="s">
        <v>134</v>
      </c>
      <c r="CP58" s="36">
        <v>4</v>
      </c>
      <c r="CQ58" s="36">
        <v>5</v>
      </c>
      <c r="CR58" s="36" t="s">
        <v>248</v>
      </c>
      <c r="CS58" s="36">
        <v>5</v>
      </c>
      <c r="CT58" s="36">
        <v>3</v>
      </c>
      <c r="CU58" s="36">
        <v>4</v>
      </c>
      <c r="CV58" s="36">
        <v>3</v>
      </c>
      <c r="CW58" s="36">
        <v>5</v>
      </c>
      <c r="CX58" s="36">
        <v>5</v>
      </c>
      <c r="CY58" s="36">
        <v>5</v>
      </c>
      <c r="CZ58" s="36">
        <v>4</v>
      </c>
      <c r="DA58" s="36">
        <v>4</v>
      </c>
      <c r="DB58" s="36">
        <v>5</v>
      </c>
      <c r="DC58" s="36">
        <v>5</v>
      </c>
      <c r="DD58" s="36">
        <v>5</v>
      </c>
      <c r="DE58" s="36">
        <v>4</v>
      </c>
      <c r="DF58" s="36">
        <v>4</v>
      </c>
      <c r="DG58" s="36">
        <v>5</v>
      </c>
      <c r="DH58" s="36">
        <v>4</v>
      </c>
      <c r="DI58" s="36" t="s">
        <v>133</v>
      </c>
      <c r="DJ58" s="36" t="s">
        <v>133</v>
      </c>
      <c r="DK58" s="36" t="s">
        <v>257</v>
      </c>
      <c r="DL58"/>
      <c r="DM58"/>
      <c r="DN58"/>
      <c r="DO58"/>
      <c r="DP58"/>
      <c r="DQ58" s="36">
        <v>5</v>
      </c>
      <c r="DR58" s="36" t="s">
        <v>133</v>
      </c>
      <c r="DS58" s="36" t="s">
        <v>260</v>
      </c>
      <c r="DT58" t="s">
        <v>261</v>
      </c>
      <c r="DU58"/>
      <c r="DV58"/>
      <c r="DW58"/>
      <c r="DX58"/>
      <c r="DY58" s="36">
        <v>4</v>
      </c>
      <c r="DZ58" s="36" t="s">
        <v>133</v>
      </c>
      <c r="EA58" s="36">
        <v>5</v>
      </c>
      <c r="EB58" s="36" t="s">
        <v>263</v>
      </c>
      <c r="EC58" s="36" t="s">
        <v>267</v>
      </c>
      <c r="ED58" s="36">
        <v>27</v>
      </c>
      <c r="EE58" s="36" t="s">
        <v>292</v>
      </c>
      <c r="EF58" s="36" t="str">
        <f>Tabulacao!MC58</f>
        <v>Aracaju</v>
      </c>
      <c r="EG58" s="36" t="s">
        <v>292</v>
      </c>
      <c r="EH58" s="36" t="str">
        <f>Tabulacao!MG58</f>
        <v>Aracaju</v>
      </c>
      <c r="EI58" s="36" t="s">
        <v>292</v>
      </c>
      <c r="EJ58" s="36" t="str">
        <f>Tabulacao!MK58</f>
        <v>Aracaju</v>
      </c>
      <c r="EK58" s="36" t="s">
        <v>134</v>
      </c>
      <c r="EL58" s="36" t="s">
        <v>134</v>
      </c>
      <c r="EM58" s="36" t="s">
        <v>134</v>
      </c>
      <c r="EN58" s="36" t="s">
        <v>134</v>
      </c>
      <c r="EO58" s="36" t="s">
        <v>134</v>
      </c>
      <c r="EP58" s="36" t="s">
        <v>134</v>
      </c>
      <c r="EQ58" s="36" t="s">
        <v>275</v>
      </c>
      <c r="ER58" s="36" t="str">
        <f>IF(OR(EQ58=CaractAmostra!$BD$9,EQ58=CaractAmostra!$BD$10,EQ58=CaractAmostra!$BD$11,EQ58=CaractAmostra!$BD$12,EQ58=CaractAmostra!$BD$13),Respostas_Formatadas!EQ58,"Outros")</f>
        <v>Com os pais</v>
      </c>
      <c r="ES58" s="36" t="s">
        <v>275</v>
      </c>
      <c r="ET58" s="36" t="str">
        <f>IF(OR(ES58=CaractAmostra!$BH$9,ES58=CaractAmostra!$BH$10,ES58=CaractAmostra!$BH$11,ES58=CaractAmostra!$BH$12),Respostas_Formatadas!ES58,"Outros")</f>
        <v>Com os pais</v>
      </c>
      <c r="EU58" s="36" t="s">
        <v>134</v>
      </c>
      <c r="EV58" s="36" t="s">
        <v>282</v>
      </c>
      <c r="EW58" s="36" t="s">
        <v>192</v>
      </c>
      <c r="FE58" s="47">
        <v>2015</v>
      </c>
      <c r="FF58" s="97">
        <v>7.4729999999999999</v>
      </c>
      <c r="FI58" s="47" t="str">
        <f t="shared" si="0"/>
        <v>Aracaju</v>
      </c>
      <c r="FJ58" s="47" t="str">
        <f t="shared" si="1"/>
        <v>Tecnologia</v>
      </c>
    </row>
    <row r="59" spans="1:166" s="36" customFormat="1" ht="15.75" customHeight="1" x14ac:dyDescent="0.2">
      <c r="A59" s="38">
        <v>43406.746924988431</v>
      </c>
      <c r="C59" s="36" t="s">
        <v>121</v>
      </c>
      <c r="D59" s="47" t="s">
        <v>134</v>
      </c>
      <c r="M59" s="36" t="s">
        <v>147</v>
      </c>
      <c r="N59" s="36" t="s">
        <v>134</v>
      </c>
      <c r="O59" s="36" t="s">
        <v>134</v>
      </c>
      <c r="P59" s="36" t="s">
        <v>133</v>
      </c>
      <c r="Q59" s="36" t="s">
        <v>133</v>
      </c>
      <c r="R59" s="36" t="s">
        <v>151</v>
      </c>
      <c r="Y59" s="36" t="s">
        <v>165</v>
      </c>
      <c r="Z59" s="36" t="s">
        <v>168</v>
      </c>
      <c r="AA59" s="36" t="s">
        <v>172</v>
      </c>
      <c r="AB59" s="36" t="s">
        <v>184</v>
      </c>
      <c r="AD59" s="36" t="s">
        <v>439</v>
      </c>
      <c r="AE59" s="36">
        <v>1</v>
      </c>
      <c r="AF59" s="36" t="s">
        <v>190</v>
      </c>
      <c r="AG59" s="36" t="s">
        <v>190</v>
      </c>
      <c r="AH59" s="36" t="s">
        <v>134</v>
      </c>
      <c r="AI59" s="40">
        <v>1700</v>
      </c>
      <c r="AJ59" s="36">
        <v>1</v>
      </c>
      <c r="AK59" s="36">
        <v>3</v>
      </c>
      <c r="AL59" s="36" t="s">
        <v>134</v>
      </c>
      <c r="AM59" s="36" t="s">
        <v>169</v>
      </c>
      <c r="AN59" s="36">
        <v>2</v>
      </c>
      <c r="AO59" s="36" t="s">
        <v>133</v>
      </c>
      <c r="AP59" s="36" t="s">
        <v>409</v>
      </c>
      <c r="AQ59" s="40">
        <v>4500</v>
      </c>
      <c r="AR59" s="36">
        <v>3</v>
      </c>
      <c r="AS59" s="36">
        <v>2</v>
      </c>
      <c r="AT59" s="36">
        <v>3</v>
      </c>
      <c r="AU59" s="36">
        <v>4</v>
      </c>
      <c r="AV59" s="36">
        <v>2</v>
      </c>
      <c r="AW59" s="36" t="s">
        <v>199</v>
      </c>
      <c r="AX59" s="36" t="s">
        <v>206</v>
      </c>
      <c r="AY59" s="36" t="s">
        <v>208</v>
      </c>
      <c r="AZ59" s="36" t="s">
        <v>133</v>
      </c>
      <c r="BA59" s="36" t="s">
        <v>170</v>
      </c>
      <c r="BB59" s="36" t="s">
        <v>336</v>
      </c>
      <c r="BC59" s="36" t="s">
        <v>292</v>
      </c>
      <c r="BD59" s="36" t="s">
        <v>190</v>
      </c>
      <c r="BG59" s="36">
        <v>2</v>
      </c>
      <c r="BH59" s="36">
        <v>3</v>
      </c>
      <c r="BI59" s="36">
        <v>4</v>
      </c>
      <c r="BJ59" s="36">
        <v>5</v>
      </c>
      <c r="BK59" s="36">
        <v>3</v>
      </c>
      <c r="BL59" s="36">
        <v>4</v>
      </c>
      <c r="BM59" s="36">
        <v>5</v>
      </c>
      <c r="BN59" s="36">
        <v>3</v>
      </c>
      <c r="BO59" s="36">
        <v>3</v>
      </c>
      <c r="BP59" s="36">
        <v>3</v>
      </c>
      <c r="BQ59" s="36">
        <v>2</v>
      </c>
      <c r="BR59" s="36">
        <v>4</v>
      </c>
      <c r="BS59" s="36">
        <v>1</v>
      </c>
      <c r="BT59" s="36">
        <v>3</v>
      </c>
      <c r="BU59" s="36">
        <v>4</v>
      </c>
      <c r="BV59" s="36">
        <v>3</v>
      </c>
      <c r="BW59" s="36">
        <v>4</v>
      </c>
      <c r="BX59" s="36">
        <v>3</v>
      </c>
      <c r="BY59" s="36">
        <v>4</v>
      </c>
      <c r="BZ59" s="36">
        <v>3</v>
      </c>
      <c r="CA59" s="36">
        <v>3</v>
      </c>
      <c r="CB59" s="36">
        <v>3</v>
      </c>
      <c r="CC59" s="36">
        <v>4</v>
      </c>
      <c r="CD59" s="36">
        <v>2</v>
      </c>
      <c r="CE59" s="36">
        <v>3</v>
      </c>
      <c r="CF59" s="36">
        <v>1</v>
      </c>
      <c r="CG59" s="36">
        <v>2</v>
      </c>
      <c r="CH59" s="36" t="s">
        <v>229</v>
      </c>
      <c r="CI59"/>
      <c r="CJ59"/>
      <c r="CK59" s="36" t="s">
        <v>440</v>
      </c>
      <c r="CL59"/>
      <c r="CM59"/>
      <c r="CN59" s="36" t="s">
        <v>242</v>
      </c>
      <c r="CO59" s="36" t="s">
        <v>134</v>
      </c>
      <c r="CP59" s="36">
        <v>3</v>
      </c>
      <c r="CQ59" s="36">
        <v>4</v>
      </c>
      <c r="CR59" s="36" t="s">
        <v>248</v>
      </c>
      <c r="CS59" s="36">
        <v>2</v>
      </c>
      <c r="CT59" s="36">
        <v>2</v>
      </c>
      <c r="CU59" s="36">
        <v>2</v>
      </c>
      <c r="CV59" s="36">
        <v>2</v>
      </c>
      <c r="CW59" s="36">
        <v>3</v>
      </c>
      <c r="CX59" s="36">
        <v>3</v>
      </c>
      <c r="CY59" s="36">
        <v>4</v>
      </c>
      <c r="CZ59" s="36">
        <v>4</v>
      </c>
      <c r="DA59" s="36">
        <v>3</v>
      </c>
      <c r="DB59" s="36">
        <v>2</v>
      </c>
      <c r="DC59" s="36">
        <v>3</v>
      </c>
      <c r="DD59" s="36">
        <v>4</v>
      </c>
      <c r="DE59" s="36">
        <v>2</v>
      </c>
      <c r="DF59" s="36">
        <v>3</v>
      </c>
      <c r="DG59" s="36">
        <v>4</v>
      </c>
      <c r="DH59" s="36">
        <v>2</v>
      </c>
      <c r="DI59" s="36" t="s">
        <v>133</v>
      </c>
      <c r="DJ59" s="36" t="s">
        <v>133</v>
      </c>
      <c r="DK59" s="36" t="s">
        <v>255</v>
      </c>
      <c r="DL59"/>
      <c r="DM59"/>
      <c r="DN59"/>
      <c r="DO59"/>
      <c r="DP59"/>
      <c r="DQ59" s="36">
        <v>1</v>
      </c>
      <c r="DR59" s="36" t="s">
        <v>133</v>
      </c>
      <c r="DS59" s="36" t="s">
        <v>259</v>
      </c>
      <c r="DT59"/>
      <c r="DU59"/>
      <c r="DV59"/>
      <c r="DW59"/>
      <c r="DX59"/>
      <c r="DY59" s="36">
        <v>1</v>
      </c>
      <c r="DZ59" s="36" t="s">
        <v>133</v>
      </c>
      <c r="EA59" s="36">
        <v>5</v>
      </c>
      <c r="EB59" s="36" t="s">
        <v>262</v>
      </c>
      <c r="EC59" s="36" t="s">
        <v>264</v>
      </c>
      <c r="ED59" s="36">
        <v>34</v>
      </c>
      <c r="EE59" s="36" t="s">
        <v>292</v>
      </c>
      <c r="EF59" s="36" t="str">
        <f>Tabulacao!MC59</f>
        <v>Aracaju</v>
      </c>
      <c r="EG59" s="36" t="s">
        <v>292</v>
      </c>
      <c r="EH59" s="36" t="str">
        <f>Tabulacao!MG59</f>
        <v>Aracaju</v>
      </c>
      <c r="EI59" s="36" t="s">
        <v>292</v>
      </c>
      <c r="EJ59" s="36" t="str">
        <f>Tabulacao!MK59</f>
        <v>Aracaju</v>
      </c>
      <c r="EK59" s="36" t="s">
        <v>134</v>
      </c>
      <c r="EL59" s="36" t="s">
        <v>134</v>
      </c>
      <c r="EM59" s="36" t="s">
        <v>134</v>
      </c>
      <c r="EN59" s="36" t="s">
        <v>134</v>
      </c>
      <c r="EO59" s="36" t="s">
        <v>134</v>
      </c>
      <c r="EP59" s="36" t="s">
        <v>134</v>
      </c>
      <c r="EQ59" s="36" t="s">
        <v>274</v>
      </c>
      <c r="ER59" s="36" t="str">
        <f>IF(OR(EQ59=CaractAmostra!$BD$9,EQ59=CaractAmostra!$BD$10,EQ59=CaractAmostra!$BD$11,EQ59=CaractAmostra!$BD$12,EQ59=CaractAmostra!$BD$13),Respostas_Formatadas!EQ59,"Outros")</f>
        <v>Com um(a) parceiro(a)</v>
      </c>
      <c r="ES59" s="36" t="s">
        <v>274</v>
      </c>
      <c r="ET59" s="36" t="str">
        <f>IF(OR(ES59=CaractAmostra!$BH$9,ES59=CaractAmostra!$BH$10,ES59=CaractAmostra!$BH$11,ES59=CaractAmostra!$BH$12),Respostas_Formatadas!ES59,"Outros")</f>
        <v>Com um(a) parceiro(a)</v>
      </c>
      <c r="EU59" s="36" t="s">
        <v>134</v>
      </c>
      <c r="EV59" s="36" t="s">
        <v>192</v>
      </c>
      <c r="EW59" s="36" t="s">
        <v>284</v>
      </c>
      <c r="FE59" s="47">
        <v>2013</v>
      </c>
      <c r="FF59" s="97">
        <v>7.4832999999999998</v>
      </c>
      <c r="FI59" s="47" t="str">
        <f t="shared" si="0"/>
        <v>Aracaju</v>
      </c>
      <c r="FJ59" s="47" t="str">
        <f t="shared" si="1"/>
        <v>Licenciatura</v>
      </c>
    </row>
    <row r="60" spans="1:166" s="36" customFormat="1" ht="15.75" customHeight="1" x14ac:dyDescent="0.2">
      <c r="A60" s="38">
        <v>43406.833874907403</v>
      </c>
      <c r="C60" s="36" t="s">
        <v>119</v>
      </c>
      <c r="D60" s="47" t="s">
        <v>133</v>
      </c>
      <c r="E60" s="36" t="s">
        <v>135</v>
      </c>
      <c r="H60" s="36" t="s">
        <v>142</v>
      </c>
      <c r="I60" s="36" t="s">
        <v>144</v>
      </c>
      <c r="J60" s="36" t="s">
        <v>958</v>
      </c>
      <c r="M60" s="36" t="s">
        <v>146</v>
      </c>
      <c r="N60" s="36" t="s">
        <v>134</v>
      </c>
      <c r="O60" s="36" t="s">
        <v>133</v>
      </c>
      <c r="P60" s="36" t="s">
        <v>133</v>
      </c>
      <c r="Q60" s="36" t="s">
        <v>133</v>
      </c>
      <c r="R60" s="36" t="s">
        <v>151</v>
      </c>
      <c r="Y60" s="36" t="s">
        <v>165</v>
      </c>
      <c r="Z60" s="36" t="s">
        <v>168</v>
      </c>
      <c r="AA60" s="36" t="s">
        <v>173</v>
      </c>
      <c r="AB60" s="36" t="s">
        <v>181</v>
      </c>
      <c r="AD60" s="36" t="s">
        <v>424</v>
      </c>
      <c r="AE60" s="36">
        <v>4</v>
      </c>
      <c r="AF60" s="36" t="s">
        <v>189</v>
      </c>
      <c r="AG60" s="36" t="s">
        <v>189</v>
      </c>
      <c r="AH60" s="36" t="s">
        <v>133</v>
      </c>
      <c r="AI60" s="40">
        <v>1500</v>
      </c>
      <c r="AJ60" s="36">
        <v>4</v>
      </c>
      <c r="AK60" s="36">
        <v>3</v>
      </c>
      <c r="AL60" s="36" t="s">
        <v>133</v>
      </c>
      <c r="AP60" s="36" t="s">
        <v>424</v>
      </c>
      <c r="AQ60" s="40">
        <v>2000</v>
      </c>
      <c r="AR60" s="36">
        <v>3</v>
      </c>
      <c r="AS60" s="36">
        <v>4</v>
      </c>
      <c r="AT60" s="36">
        <v>4</v>
      </c>
      <c r="AU60" s="36">
        <v>3</v>
      </c>
      <c r="AV60" s="36">
        <v>4</v>
      </c>
      <c r="AW60" s="36" t="s">
        <v>192</v>
      </c>
      <c r="AX60" s="36" t="s">
        <v>206</v>
      </c>
      <c r="AY60" s="36" t="s">
        <v>211</v>
      </c>
      <c r="BG60" s="36">
        <v>4</v>
      </c>
      <c r="BH60" s="36">
        <v>2</v>
      </c>
      <c r="BI60" s="36">
        <v>3</v>
      </c>
      <c r="BJ60" s="36">
        <v>5</v>
      </c>
      <c r="BK60" s="36">
        <v>5</v>
      </c>
      <c r="BL60" s="36">
        <v>5</v>
      </c>
      <c r="BM60" s="36">
        <v>5</v>
      </c>
      <c r="BN60" s="36">
        <v>5</v>
      </c>
      <c r="BO60" s="36">
        <v>5</v>
      </c>
      <c r="BP60" s="36">
        <v>5</v>
      </c>
      <c r="BQ60" s="36">
        <v>4</v>
      </c>
      <c r="BR60" s="36">
        <v>4</v>
      </c>
      <c r="BS60" s="36">
        <v>1</v>
      </c>
      <c r="BT60" s="36">
        <v>3</v>
      </c>
      <c r="BU60" s="36">
        <v>3</v>
      </c>
      <c r="BV60" s="36">
        <v>3</v>
      </c>
      <c r="BW60" s="36">
        <v>4</v>
      </c>
      <c r="BX60" s="36">
        <v>3</v>
      </c>
      <c r="BY60" s="36">
        <v>4</v>
      </c>
      <c r="BZ60" s="36">
        <v>4</v>
      </c>
      <c r="CA60" s="36">
        <v>4</v>
      </c>
      <c r="CB60" s="36">
        <v>3</v>
      </c>
      <c r="CC60" s="36">
        <v>3</v>
      </c>
      <c r="CD60" s="36">
        <v>3</v>
      </c>
      <c r="CE60" s="36">
        <v>4</v>
      </c>
      <c r="CF60" s="36">
        <v>3</v>
      </c>
      <c r="CG60" s="36">
        <v>3</v>
      </c>
      <c r="CH60" s="36" t="s">
        <v>225</v>
      </c>
      <c r="CI60" t="s">
        <v>226</v>
      </c>
      <c r="CJ60" t="s">
        <v>229</v>
      </c>
      <c r="CK60" s="36" t="s">
        <v>234</v>
      </c>
      <c r="CL60" t="s">
        <v>240</v>
      </c>
      <c r="CM60"/>
      <c r="CN60" s="36" t="s">
        <v>241</v>
      </c>
      <c r="CO60" s="36" t="s">
        <v>133</v>
      </c>
      <c r="CP60" s="36">
        <v>2</v>
      </c>
      <c r="CQ60" s="36">
        <v>4</v>
      </c>
      <c r="CR60" s="36" t="s">
        <v>248</v>
      </c>
      <c r="CS60" s="36">
        <v>2</v>
      </c>
      <c r="CT60" s="36">
        <v>3</v>
      </c>
      <c r="CU60" s="36">
        <v>3</v>
      </c>
      <c r="CV60" s="36">
        <v>2</v>
      </c>
      <c r="CW60" s="36">
        <v>3</v>
      </c>
      <c r="CX60" s="36">
        <v>5</v>
      </c>
      <c r="CY60" s="36">
        <v>5</v>
      </c>
      <c r="CZ60" s="36">
        <v>5</v>
      </c>
      <c r="DA60" s="36">
        <v>3</v>
      </c>
      <c r="DB60" s="36">
        <v>3</v>
      </c>
      <c r="DC60" s="36">
        <v>4</v>
      </c>
      <c r="DD60" s="36">
        <v>4</v>
      </c>
      <c r="DE60" s="36">
        <v>4</v>
      </c>
      <c r="DF60" s="36">
        <v>4</v>
      </c>
      <c r="DG60" s="36">
        <v>4</v>
      </c>
      <c r="DH60" s="36">
        <v>3</v>
      </c>
      <c r="DI60" s="36" t="s">
        <v>133</v>
      </c>
      <c r="DJ60" s="36" t="s">
        <v>133</v>
      </c>
      <c r="DK60" s="36" t="s">
        <v>254</v>
      </c>
      <c r="DL60" t="s">
        <v>255</v>
      </c>
      <c r="DM60"/>
      <c r="DN60"/>
      <c r="DO60"/>
      <c r="DP60"/>
      <c r="DQ60" s="36">
        <v>3</v>
      </c>
      <c r="DR60" s="36" t="s">
        <v>133</v>
      </c>
      <c r="DS60" s="36" t="s">
        <v>258</v>
      </c>
      <c r="DT60" t="s">
        <v>260</v>
      </c>
      <c r="DU60" t="s">
        <v>1049</v>
      </c>
      <c r="DV60"/>
      <c r="DW60"/>
      <c r="DX60"/>
      <c r="DY60" s="36">
        <v>3</v>
      </c>
      <c r="DZ60" s="36" t="s">
        <v>133</v>
      </c>
      <c r="EA60" s="36">
        <v>5</v>
      </c>
      <c r="EB60" s="36" t="s">
        <v>262</v>
      </c>
      <c r="EC60" s="36" t="s">
        <v>267</v>
      </c>
      <c r="ED60" s="36">
        <v>26</v>
      </c>
      <c r="EE60" s="36" t="s">
        <v>441</v>
      </c>
      <c r="EF60" s="36" t="str">
        <f>Tabulacao!MC60</f>
        <v>Vitória da Conquista - BA</v>
      </c>
      <c r="EG60" s="36" t="s">
        <v>292</v>
      </c>
      <c r="EH60" s="36" t="str">
        <f>Tabulacao!MG60</f>
        <v>Aracaju</v>
      </c>
      <c r="EI60" s="36" t="s">
        <v>441</v>
      </c>
      <c r="EJ60" s="36" t="str">
        <f>Tabulacao!MK60</f>
        <v>Vitória da Conquista - BA</v>
      </c>
      <c r="EK60" s="36" t="s">
        <v>271</v>
      </c>
      <c r="EL60" s="36" t="s">
        <v>134</v>
      </c>
      <c r="EM60" s="36" t="s">
        <v>134</v>
      </c>
      <c r="EN60" s="36" t="s">
        <v>134</v>
      </c>
      <c r="EO60" s="36" t="s">
        <v>134</v>
      </c>
      <c r="EP60" s="36" t="s">
        <v>134</v>
      </c>
      <c r="EQ60" s="36" t="s">
        <v>273</v>
      </c>
      <c r="ER60" s="36" t="str">
        <f>IF(OR(EQ60=CaractAmostra!$BD$9,EQ60=CaractAmostra!$BD$10,EQ60=CaractAmostra!$BD$11,EQ60=CaractAmostra!$BD$12,EQ60=CaractAmostra!$BD$13),Respostas_Formatadas!EQ60,"Outros")</f>
        <v>Dividia residência com outras pessoas</v>
      </c>
      <c r="ES60" s="36" t="s">
        <v>275</v>
      </c>
      <c r="ET60" s="36" t="str">
        <f>IF(OR(ES60=CaractAmostra!$BH$9,ES60=CaractAmostra!$BH$10,ES60=CaractAmostra!$BH$11,ES60=CaractAmostra!$BH$12),Respostas_Formatadas!ES60,"Outros")</f>
        <v>Com os pais</v>
      </c>
      <c r="EU60" s="36" t="s">
        <v>134</v>
      </c>
      <c r="EV60" s="36" t="s">
        <v>285</v>
      </c>
      <c r="EW60" s="36" t="s">
        <v>285</v>
      </c>
      <c r="FE60" s="47">
        <v>2017</v>
      </c>
      <c r="FF60" s="97">
        <v>7.7801999999999998</v>
      </c>
      <c r="FI60" s="47" t="str">
        <f t="shared" si="0"/>
        <v>Aracaju</v>
      </c>
      <c r="FJ60" s="47" t="str">
        <f t="shared" si="1"/>
        <v>Bacharelado</v>
      </c>
    </row>
    <row r="61" spans="1:166" s="36" customFormat="1" ht="15.75" customHeight="1" x14ac:dyDescent="0.2">
      <c r="A61" s="38">
        <v>43406.872890104161</v>
      </c>
      <c r="C61" s="36" t="s">
        <v>126</v>
      </c>
      <c r="D61" s="47" t="s">
        <v>134</v>
      </c>
      <c r="M61" s="36" t="s">
        <v>146</v>
      </c>
      <c r="N61" s="36" t="s">
        <v>134</v>
      </c>
      <c r="O61" s="36" t="s">
        <v>134</v>
      </c>
      <c r="P61" s="36" t="s">
        <v>134</v>
      </c>
      <c r="Q61" s="36" t="s">
        <v>133</v>
      </c>
      <c r="R61" s="36" t="s">
        <v>151</v>
      </c>
      <c r="Y61" s="36" t="s">
        <v>166</v>
      </c>
      <c r="AC61" s="36" t="s">
        <v>186</v>
      </c>
      <c r="AE61" s="36">
        <v>1</v>
      </c>
      <c r="AF61" s="36" t="s">
        <v>190</v>
      </c>
      <c r="AG61" s="36" t="s">
        <v>190</v>
      </c>
      <c r="AH61" s="36" t="s">
        <v>134</v>
      </c>
      <c r="AI61" s="40"/>
      <c r="AJ61" s="36">
        <v>4</v>
      </c>
      <c r="AK61" s="36">
        <v>4</v>
      </c>
      <c r="AL61" s="36" t="s">
        <v>133</v>
      </c>
      <c r="AP61" s="36" t="s">
        <v>442</v>
      </c>
      <c r="AQ61" s="40"/>
      <c r="AR61" s="36">
        <v>2</v>
      </c>
      <c r="AS61" s="36">
        <v>2</v>
      </c>
      <c r="AT61" s="36">
        <v>3</v>
      </c>
      <c r="AU61" s="36">
        <v>3</v>
      </c>
      <c r="AV61" s="36">
        <v>1</v>
      </c>
      <c r="AW61" s="36" t="s">
        <v>192</v>
      </c>
      <c r="AX61" s="36" t="s">
        <v>204</v>
      </c>
      <c r="AY61" s="36" t="s">
        <v>208</v>
      </c>
      <c r="AZ61" s="36" t="s">
        <v>133</v>
      </c>
      <c r="BA61" s="36" t="s">
        <v>170</v>
      </c>
      <c r="BB61" s="36" t="s">
        <v>443</v>
      </c>
      <c r="BC61" s="36" t="s">
        <v>627</v>
      </c>
      <c r="BD61" s="36" t="s">
        <v>190</v>
      </c>
      <c r="BG61" s="36">
        <v>3</v>
      </c>
      <c r="BH61" s="36">
        <v>3</v>
      </c>
      <c r="BI61" s="36">
        <v>3</v>
      </c>
      <c r="BJ61" s="36">
        <v>3</v>
      </c>
      <c r="BK61" s="36">
        <v>3</v>
      </c>
      <c r="BL61" s="36">
        <v>3</v>
      </c>
      <c r="BM61" s="36">
        <v>3</v>
      </c>
      <c r="BN61" s="36">
        <v>3</v>
      </c>
      <c r="BO61" s="36">
        <v>2</v>
      </c>
      <c r="BP61" s="36">
        <v>3</v>
      </c>
      <c r="BQ61" s="36">
        <v>2</v>
      </c>
      <c r="BR61" s="36">
        <v>2</v>
      </c>
      <c r="BS61" s="36">
        <v>1</v>
      </c>
      <c r="BT61" s="36">
        <v>3</v>
      </c>
      <c r="BU61" s="36">
        <v>3</v>
      </c>
      <c r="BV61" s="36">
        <v>3</v>
      </c>
      <c r="BW61" s="36">
        <v>3</v>
      </c>
      <c r="BX61" s="36">
        <v>3</v>
      </c>
      <c r="BY61" s="36">
        <v>3</v>
      </c>
      <c r="BZ61" s="36">
        <v>3</v>
      </c>
      <c r="CA61" s="36">
        <v>3</v>
      </c>
      <c r="CB61" s="36">
        <v>3</v>
      </c>
      <c r="CC61" s="36">
        <v>3</v>
      </c>
      <c r="CD61" s="36">
        <v>2</v>
      </c>
      <c r="CE61" s="36">
        <v>2</v>
      </c>
      <c r="CF61" s="36">
        <v>1</v>
      </c>
      <c r="CG61" s="36">
        <v>2</v>
      </c>
      <c r="CH61" s="36" t="s">
        <v>224</v>
      </c>
      <c r="CI61"/>
      <c r="CJ61"/>
      <c r="CK61" s="36" t="s">
        <v>239</v>
      </c>
      <c r="CL61"/>
      <c r="CM61"/>
      <c r="CN61" s="36" t="s">
        <v>242</v>
      </c>
      <c r="CO61" s="36" t="s">
        <v>134</v>
      </c>
      <c r="CP61" s="36">
        <v>3</v>
      </c>
      <c r="CQ61" s="36">
        <v>3</v>
      </c>
      <c r="CR61" s="36" t="s">
        <v>248</v>
      </c>
      <c r="CS61" s="36">
        <v>3</v>
      </c>
      <c r="CT61" s="36">
        <v>2</v>
      </c>
      <c r="CU61" s="36">
        <v>5</v>
      </c>
      <c r="CV61" s="36">
        <v>2</v>
      </c>
      <c r="CW61" s="36">
        <v>3</v>
      </c>
      <c r="CX61" s="36">
        <v>4</v>
      </c>
      <c r="CY61" s="36">
        <v>3</v>
      </c>
      <c r="CZ61" s="36">
        <v>5</v>
      </c>
      <c r="DA61" s="36">
        <v>4</v>
      </c>
      <c r="DB61" s="36">
        <v>3</v>
      </c>
      <c r="DC61" s="36">
        <v>3</v>
      </c>
      <c r="DD61" s="36">
        <v>3</v>
      </c>
      <c r="DE61" s="36">
        <v>4</v>
      </c>
      <c r="DF61" s="36">
        <v>5</v>
      </c>
      <c r="DG61" s="36">
        <v>5</v>
      </c>
      <c r="DH61" s="36">
        <v>5</v>
      </c>
      <c r="DI61" s="36" t="s">
        <v>250</v>
      </c>
      <c r="DJ61" s="36" t="s">
        <v>133</v>
      </c>
      <c r="DK61" s="36" t="s">
        <v>255</v>
      </c>
      <c r="DL61"/>
      <c r="DM61"/>
      <c r="DN61"/>
      <c r="DO61"/>
      <c r="DP61"/>
      <c r="DQ61" s="36">
        <v>4</v>
      </c>
      <c r="DR61" s="36" t="s">
        <v>133</v>
      </c>
      <c r="DS61" s="36" t="s">
        <v>261</v>
      </c>
      <c r="DT61"/>
      <c r="DU61"/>
      <c r="DV61"/>
      <c r="DW61"/>
      <c r="DX61"/>
      <c r="DY61" s="36">
        <v>4</v>
      </c>
      <c r="DZ61" s="36" t="s">
        <v>133</v>
      </c>
      <c r="EA61" s="36">
        <v>5</v>
      </c>
      <c r="EB61" s="36" t="s">
        <v>263</v>
      </c>
      <c r="EC61" s="36" t="s">
        <v>265</v>
      </c>
      <c r="ED61" s="36">
        <v>36</v>
      </c>
      <c r="EE61" s="36" t="s">
        <v>341</v>
      </c>
      <c r="EF61" s="36" t="str">
        <f>Tabulacao!MC61</f>
        <v>Salgado</v>
      </c>
      <c r="EG61" s="36" t="s">
        <v>341</v>
      </c>
      <c r="EH61" s="36" t="str">
        <f>Tabulacao!MG61</f>
        <v>Salgado</v>
      </c>
      <c r="EI61" s="36" t="s">
        <v>341</v>
      </c>
      <c r="EJ61" s="36" t="str">
        <f>Tabulacao!MK61</f>
        <v>Salgado</v>
      </c>
      <c r="EK61" s="36" t="s">
        <v>134</v>
      </c>
      <c r="EL61" s="36" t="s">
        <v>134</v>
      </c>
      <c r="EM61" s="36" t="s">
        <v>134</v>
      </c>
      <c r="EN61" s="36" t="s">
        <v>134</v>
      </c>
      <c r="EO61" s="36" t="s">
        <v>134</v>
      </c>
      <c r="EP61" s="36" t="s">
        <v>134</v>
      </c>
      <c r="EQ61" s="36" t="s">
        <v>275</v>
      </c>
      <c r="ER61" s="36" t="str">
        <f>IF(OR(EQ61=CaractAmostra!$BD$9,EQ61=CaractAmostra!$BD$10,EQ61=CaractAmostra!$BD$11,EQ61=CaractAmostra!$BD$12,EQ61=CaractAmostra!$BD$13),Respostas_Formatadas!EQ61,"Outros")</f>
        <v>Com os pais</v>
      </c>
      <c r="ES61" s="36" t="s">
        <v>275</v>
      </c>
      <c r="ET61" s="36" t="str">
        <f>IF(OR(ES61=CaractAmostra!$BH$9,ES61=CaractAmostra!$BH$10,ES61=CaractAmostra!$BH$11,ES61=CaractAmostra!$BH$12),Respostas_Formatadas!ES61,"Outros")</f>
        <v>Com os pais</v>
      </c>
      <c r="EU61" s="36" t="s">
        <v>134</v>
      </c>
      <c r="EV61" s="36" t="s">
        <v>282</v>
      </c>
      <c r="EW61" s="36" t="s">
        <v>282</v>
      </c>
      <c r="FA61" s="39"/>
      <c r="FD61" s="36" t="s">
        <v>444</v>
      </c>
      <c r="FE61" s="47">
        <v>2016</v>
      </c>
      <c r="FF61" s="97">
        <v>7.3807999999999998</v>
      </c>
      <c r="FI61" s="47" t="str">
        <f t="shared" si="0"/>
        <v>Lagarto</v>
      </c>
      <c r="FJ61" s="47" t="str">
        <f t="shared" si="1"/>
        <v>Tecnologia</v>
      </c>
    </row>
    <row r="62" spans="1:166" s="36" customFormat="1" ht="15.75" customHeight="1" x14ac:dyDescent="0.2">
      <c r="A62" s="38">
        <v>43406.889771747687</v>
      </c>
      <c r="C62" s="36" t="s">
        <v>124</v>
      </c>
      <c r="D62" s="47" t="s">
        <v>133</v>
      </c>
      <c r="E62" s="36" t="s">
        <v>135</v>
      </c>
      <c r="F62" s="36" t="s">
        <v>138</v>
      </c>
      <c r="G62" s="36" t="s">
        <v>139</v>
      </c>
      <c r="H62" s="36" t="s">
        <v>141</v>
      </c>
      <c r="I62" s="36" t="s">
        <v>142</v>
      </c>
      <c r="J62" s="36" t="s">
        <v>143</v>
      </c>
      <c r="K62" s="36" t="s">
        <v>144</v>
      </c>
      <c r="L62" s="36" t="s">
        <v>960</v>
      </c>
      <c r="M62" s="36" t="s">
        <v>147</v>
      </c>
      <c r="N62" s="36" t="s">
        <v>134</v>
      </c>
      <c r="O62" s="36" t="s">
        <v>134</v>
      </c>
      <c r="P62" s="36" t="s">
        <v>133</v>
      </c>
      <c r="Q62" s="36" t="s">
        <v>133</v>
      </c>
      <c r="R62" s="36" t="s">
        <v>153</v>
      </c>
      <c r="S62" s="36" t="s">
        <v>390</v>
      </c>
      <c r="T62" s="36" t="s">
        <v>154</v>
      </c>
      <c r="U62" s="36" t="s">
        <v>159</v>
      </c>
      <c r="V62" s="36">
        <v>3</v>
      </c>
      <c r="W62" s="36">
        <v>3</v>
      </c>
      <c r="X62" s="36">
        <v>3</v>
      </c>
      <c r="Y62" s="36" t="s">
        <v>165</v>
      </c>
      <c r="Z62" s="36" t="s">
        <v>167</v>
      </c>
      <c r="AA62" s="36" t="s">
        <v>171</v>
      </c>
      <c r="AB62" s="36" t="s">
        <v>184</v>
      </c>
      <c r="AD62" s="36" t="s">
        <v>445</v>
      </c>
      <c r="AE62" s="36">
        <v>3</v>
      </c>
      <c r="AF62" s="36" t="s">
        <v>190</v>
      </c>
      <c r="AG62" s="36" t="s">
        <v>190</v>
      </c>
      <c r="AH62" s="36" t="s">
        <v>133</v>
      </c>
      <c r="AI62" s="40">
        <v>2300</v>
      </c>
      <c r="AJ62" s="36">
        <v>4</v>
      </c>
      <c r="AK62" s="36">
        <v>3</v>
      </c>
      <c r="AL62" s="36" t="s">
        <v>134</v>
      </c>
      <c r="AM62" s="36" t="s">
        <v>170</v>
      </c>
      <c r="AN62" s="36">
        <v>3</v>
      </c>
      <c r="AO62" s="36" t="s">
        <v>133</v>
      </c>
      <c r="AP62" s="36" t="s">
        <v>446</v>
      </c>
      <c r="AQ62" s="40">
        <v>7500</v>
      </c>
      <c r="AR62" s="36">
        <v>3</v>
      </c>
      <c r="AS62" s="36">
        <v>5</v>
      </c>
      <c r="AT62" s="36">
        <v>4</v>
      </c>
      <c r="AU62" s="36">
        <v>3</v>
      </c>
      <c r="AV62" s="36">
        <v>4</v>
      </c>
      <c r="AW62" s="36" t="s">
        <v>194</v>
      </c>
      <c r="AX62" s="36" t="s">
        <v>207</v>
      </c>
      <c r="AY62" s="36" t="s">
        <v>208</v>
      </c>
      <c r="AZ62" s="36" t="s">
        <v>133</v>
      </c>
      <c r="BA62" s="36" t="s">
        <v>212</v>
      </c>
      <c r="BB62" s="36" t="s">
        <v>447</v>
      </c>
      <c r="BC62" s="36" t="s">
        <v>1317</v>
      </c>
      <c r="BD62" s="36" t="s">
        <v>190</v>
      </c>
      <c r="BG62" s="36">
        <v>5</v>
      </c>
      <c r="BH62" s="36">
        <v>5</v>
      </c>
      <c r="BI62" s="36">
        <v>5</v>
      </c>
      <c r="BJ62" s="36">
        <v>5</v>
      </c>
      <c r="BK62" s="36">
        <v>5</v>
      </c>
      <c r="BL62" s="36">
        <v>4</v>
      </c>
      <c r="BM62" s="36">
        <v>5</v>
      </c>
      <c r="BN62" s="36">
        <v>5</v>
      </c>
      <c r="BO62" s="36">
        <v>5</v>
      </c>
      <c r="BP62" s="36">
        <v>3</v>
      </c>
      <c r="BQ62" s="36">
        <v>5</v>
      </c>
      <c r="BR62" s="36">
        <v>5</v>
      </c>
      <c r="BS62" s="36">
        <v>2</v>
      </c>
      <c r="BT62" s="36">
        <v>3</v>
      </c>
      <c r="BU62" s="36">
        <v>3</v>
      </c>
      <c r="BV62" s="36">
        <v>4</v>
      </c>
      <c r="BW62" s="36">
        <v>3</v>
      </c>
      <c r="BX62" s="36">
        <v>3</v>
      </c>
      <c r="BY62" s="36">
        <v>2</v>
      </c>
      <c r="BZ62" s="36">
        <v>4</v>
      </c>
      <c r="CA62" s="36">
        <v>3</v>
      </c>
      <c r="CB62" s="36">
        <v>2</v>
      </c>
      <c r="CC62" s="36">
        <v>2</v>
      </c>
      <c r="CD62" s="36">
        <v>4</v>
      </c>
      <c r="CE62" s="36">
        <v>4</v>
      </c>
      <c r="CF62" s="36">
        <v>1</v>
      </c>
      <c r="CG62" s="36">
        <v>3</v>
      </c>
      <c r="CH62" s="36" t="s">
        <v>225</v>
      </c>
      <c r="CI62" t="s">
        <v>226</v>
      </c>
      <c r="CJ62"/>
      <c r="CK62" s="36" t="s">
        <v>233</v>
      </c>
      <c r="CL62" t="s">
        <v>1021</v>
      </c>
      <c r="CM62"/>
      <c r="CN62" s="36" t="s">
        <v>242</v>
      </c>
      <c r="CO62" s="36" t="s">
        <v>134</v>
      </c>
      <c r="CP62" s="36">
        <v>2</v>
      </c>
      <c r="CQ62" s="36">
        <v>5</v>
      </c>
      <c r="CR62" s="36" t="s">
        <v>249</v>
      </c>
      <c r="CS62" s="36">
        <v>3</v>
      </c>
      <c r="CT62" s="36">
        <v>1</v>
      </c>
      <c r="CU62" s="36">
        <v>2</v>
      </c>
      <c r="CV62" s="36">
        <v>2</v>
      </c>
      <c r="CW62" s="36">
        <v>3</v>
      </c>
      <c r="CX62" s="36">
        <v>4</v>
      </c>
      <c r="CY62" s="36">
        <v>3</v>
      </c>
      <c r="CZ62" s="36">
        <v>5</v>
      </c>
      <c r="DA62" s="36">
        <v>3</v>
      </c>
      <c r="DB62" s="36">
        <v>3</v>
      </c>
      <c r="DC62" s="36">
        <v>3</v>
      </c>
      <c r="DD62" s="36">
        <v>3</v>
      </c>
      <c r="DE62" s="36">
        <v>5</v>
      </c>
      <c r="DF62" s="36">
        <v>5</v>
      </c>
      <c r="DG62" s="36">
        <v>5</v>
      </c>
      <c r="DH62" s="36">
        <v>2</v>
      </c>
      <c r="DI62" s="36" t="s">
        <v>250</v>
      </c>
      <c r="DJ62" s="36" t="s">
        <v>133</v>
      </c>
      <c r="DK62" s="36" t="s">
        <v>256</v>
      </c>
      <c r="DL62" t="s">
        <v>257</v>
      </c>
      <c r="DM62"/>
      <c r="DN62"/>
      <c r="DO62"/>
      <c r="DP62"/>
      <c r="DQ62" s="36">
        <v>5</v>
      </c>
      <c r="DR62" s="36" t="s">
        <v>134</v>
      </c>
      <c r="DT62"/>
      <c r="DU62"/>
      <c r="DV62"/>
      <c r="DW62"/>
      <c r="DX62"/>
      <c r="DZ62" s="36" t="s">
        <v>133</v>
      </c>
      <c r="EA62" s="36">
        <v>3</v>
      </c>
      <c r="EB62" s="36" t="s">
        <v>263</v>
      </c>
      <c r="EC62" s="36" t="s">
        <v>267</v>
      </c>
      <c r="ED62" s="36">
        <v>41</v>
      </c>
      <c r="EE62" s="36" t="s">
        <v>448</v>
      </c>
      <c r="EF62" s="36" t="str">
        <f>Tabulacao!MC62</f>
        <v>Santos - SP</v>
      </c>
      <c r="EG62" s="36" t="s">
        <v>449</v>
      </c>
      <c r="EH62" s="36" t="str">
        <f>Tabulacao!MG62</f>
        <v>Lagarto</v>
      </c>
      <c r="EI62" s="36" t="s">
        <v>450</v>
      </c>
      <c r="EJ62" s="36" t="str">
        <f>Tabulacao!MK62</f>
        <v xml:space="preserve">Teixeira de Freitas - BA </v>
      </c>
      <c r="EK62" s="36" t="s">
        <v>134</v>
      </c>
      <c r="EL62" s="36" t="s">
        <v>134</v>
      </c>
      <c r="EM62" s="36" t="s">
        <v>134</v>
      </c>
      <c r="EN62" s="36" t="s">
        <v>134</v>
      </c>
      <c r="EO62" s="36" t="s">
        <v>134</v>
      </c>
      <c r="EP62" s="36" t="s">
        <v>134</v>
      </c>
      <c r="EQ62" s="36" t="s">
        <v>275</v>
      </c>
      <c r="ER62" s="36" t="str">
        <f>IF(OR(EQ62=CaractAmostra!$BD$9,EQ62=CaractAmostra!$BD$10,EQ62=CaractAmostra!$BD$11,EQ62=CaractAmostra!$BD$12,EQ62=CaractAmostra!$BD$13),Respostas_Formatadas!EQ62,"Outros")</f>
        <v>Com os pais</v>
      </c>
      <c r="ES62" s="36" t="s">
        <v>277</v>
      </c>
      <c r="ET62" s="36" t="str">
        <f>IF(OR(ES62=CaractAmostra!$BH$9,ES62=CaractAmostra!$BH$10,ES62=CaractAmostra!$BH$11,ES62=CaractAmostra!$BH$12),Respostas_Formatadas!ES62,"Outros")</f>
        <v>Sozinho</v>
      </c>
      <c r="EU62" s="36" t="s">
        <v>134</v>
      </c>
      <c r="EV62" s="36" t="s">
        <v>283</v>
      </c>
      <c r="EW62" s="36" t="s">
        <v>282</v>
      </c>
      <c r="FD62" s="36" t="s">
        <v>451</v>
      </c>
      <c r="FE62" s="115" t="s">
        <v>1247</v>
      </c>
      <c r="FF62" s="97" t="s">
        <v>933</v>
      </c>
      <c r="FI62" s="47" t="str">
        <f t="shared" si="0"/>
        <v>Aracaju</v>
      </c>
      <c r="FJ62" s="47" t="str">
        <f t="shared" si="1"/>
        <v>Tecnologia</v>
      </c>
    </row>
    <row r="63" spans="1:166" s="36" customFormat="1" ht="15.75" customHeight="1" x14ac:dyDescent="0.2">
      <c r="A63" s="38">
        <v>43406.908913530089</v>
      </c>
      <c r="C63" s="36" t="s">
        <v>125</v>
      </c>
      <c r="D63" s="47" t="s">
        <v>134</v>
      </c>
      <c r="M63" s="36" t="s">
        <v>147</v>
      </c>
      <c r="N63" s="36" t="s">
        <v>134</v>
      </c>
      <c r="O63" s="36" t="s">
        <v>133</v>
      </c>
      <c r="P63" s="36" t="s">
        <v>133</v>
      </c>
      <c r="Q63" s="36" t="s">
        <v>133</v>
      </c>
      <c r="R63" s="36" t="s">
        <v>151</v>
      </c>
      <c r="Y63" s="36" t="s">
        <v>165</v>
      </c>
      <c r="Z63" s="36" t="s">
        <v>168</v>
      </c>
      <c r="AA63" s="36" t="s">
        <v>173</v>
      </c>
      <c r="AB63" s="36" t="s">
        <v>181</v>
      </c>
      <c r="AE63" s="36">
        <v>1</v>
      </c>
      <c r="AF63" s="36" t="s">
        <v>188</v>
      </c>
      <c r="AG63" s="36" t="s">
        <v>188</v>
      </c>
      <c r="AH63" s="36" t="s">
        <v>134</v>
      </c>
      <c r="AI63" s="40"/>
      <c r="AJ63" s="36">
        <v>1</v>
      </c>
      <c r="AK63" s="36">
        <v>1</v>
      </c>
      <c r="AL63" s="36" t="s">
        <v>134</v>
      </c>
      <c r="AM63" s="36" t="s">
        <v>167</v>
      </c>
      <c r="AO63" s="36" t="s">
        <v>134</v>
      </c>
      <c r="AQ63" s="40"/>
      <c r="BT63" s="36">
        <v>5</v>
      </c>
      <c r="BU63" s="36">
        <v>5</v>
      </c>
      <c r="BV63" s="36">
        <v>4</v>
      </c>
      <c r="BW63" s="36">
        <v>4</v>
      </c>
      <c r="BX63" s="36">
        <v>4</v>
      </c>
      <c r="BY63" s="36">
        <v>4</v>
      </c>
      <c r="BZ63" s="36">
        <v>3</v>
      </c>
      <c r="CA63" s="36">
        <v>5</v>
      </c>
      <c r="CB63" s="36">
        <v>4</v>
      </c>
      <c r="CC63" s="36">
        <v>4</v>
      </c>
      <c r="CD63" s="36">
        <v>4</v>
      </c>
      <c r="CE63" s="36">
        <v>5</v>
      </c>
      <c r="CF63" s="36">
        <v>5</v>
      </c>
      <c r="CG63" s="36">
        <v>3</v>
      </c>
      <c r="CH63" s="36" t="s">
        <v>222</v>
      </c>
      <c r="CI63" t="s">
        <v>226</v>
      </c>
      <c r="CJ63" t="s">
        <v>229</v>
      </c>
      <c r="CK63" s="36" t="s">
        <v>232</v>
      </c>
      <c r="CL63" t="s">
        <v>234</v>
      </c>
      <c r="CM63" t="s">
        <v>236</v>
      </c>
      <c r="CN63" s="36" t="s">
        <v>242</v>
      </c>
      <c r="CO63" s="36" t="s">
        <v>133</v>
      </c>
      <c r="CP63" s="36">
        <v>4</v>
      </c>
      <c r="CQ63" s="36">
        <v>5</v>
      </c>
      <c r="CR63" s="36" t="s">
        <v>248</v>
      </c>
      <c r="CS63" s="36">
        <v>4</v>
      </c>
      <c r="CT63" s="36">
        <v>3</v>
      </c>
      <c r="CU63" s="36">
        <v>3</v>
      </c>
      <c r="CV63" s="36">
        <v>4</v>
      </c>
      <c r="CW63" s="36">
        <v>5</v>
      </c>
      <c r="CX63" s="36">
        <v>5</v>
      </c>
      <c r="CY63" s="36">
        <v>5</v>
      </c>
      <c r="CZ63" s="36">
        <v>5</v>
      </c>
      <c r="DA63" s="36">
        <v>4</v>
      </c>
      <c r="DB63" s="36">
        <v>5</v>
      </c>
      <c r="DC63" s="36">
        <v>5</v>
      </c>
      <c r="DD63" s="36">
        <v>4</v>
      </c>
      <c r="DE63" s="36">
        <v>4</v>
      </c>
      <c r="DF63" s="36">
        <v>4</v>
      </c>
      <c r="DG63" s="36">
        <v>5</v>
      </c>
      <c r="DH63" s="36">
        <v>5</v>
      </c>
      <c r="DI63" s="36" t="s">
        <v>250</v>
      </c>
      <c r="DJ63" s="36" t="s">
        <v>133</v>
      </c>
      <c r="DK63" s="36" t="s">
        <v>254</v>
      </c>
      <c r="DL63"/>
      <c r="DM63"/>
      <c r="DN63"/>
      <c r="DO63"/>
      <c r="DP63"/>
      <c r="DQ63" s="36">
        <v>5</v>
      </c>
      <c r="DR63" s="36" t="s">
        <v>134</v>
      </c>
      <c r="DT63"/>
      <c r="DU63"/>
      <c r="DV63"/>
      <c r="DW63"/>
      <c r="DX63"/>
      <c r="DZ63" s="36" t="s">
        <v>133</v>
      </c>
      <c r="EA63" s="36">
        <v>5</v>
      </c>
      <c r="EB63" s="36" t="s">
        <v>263</v>
      </c>
      <c r="EC63" s="36" t="s">
        <v>264</v>
      </c>
      <c r="ED63" s="36">
        <v>24</v>
      </c>
      <c r="EE63" s="36" t="s">
        <v>292</v>
      </c>
      <c r="EF63" s="36" t="str">
        <f>Tabulacao!MC63</f>
        <v>Aracaju</v>
      </c>
      <c r="EG63" s="36" t="s">
        <v>292</v>
      </c>
      <c r="EH63" s="36" t="str">
        <f>Tabulacao!MG63</f>
        <v>Aracaju</v>
      </c>
      <c r="EI63" s="36" t="s">
        <v>292</v>
      </c>
      <c r="EJ63" s="36" t="str">
        <f>Tabulacao!MK63</f>
        <v>Aracaju</v>
      </c>
      <c r="EK63" s="36" t="s">
        <v>134</v>
      </c>
      <c r="EL63" s="36" t="s">
        <v>134</v>
      </c>
      <c r="EM63" s="36" t="s">
        <v>134</v>
      </c>
      <c r="EN63" s="36" t="s">
        <v>134</v>
      </c>
      <c r="EO63" s="36" t="s">
        <v>134</v>
      </c>
      <c r="EP63" s="36" t="s">
        <v>134</v>
      </c>
      <c r="EQ63" s="36" t="s">
        <v>275</v>
      </c>
      <c r="ER63" s="36" t="str">
        <f>IF(OR(EQ63=CaractAmostra!$BD$9,EQ63=CaractAmostra!$BD$10,EQ63=CaractAmostra!$BD$11,EQ63=CaractAmostra!$BD$12,EQ63=CaractAmostra!$BD$13),Respostas_Formatadas!EQ63,"Outros")</f>
        <v>Com os pais</v>
      </c>
      <c r="ES63" s="36" t="s">
        <v>275</v>
      </c>
      <c r="ET63" s="36" t="str">
        <f>IF(OR(ES63=CaractAmostra!$BH$9,ES63=CaractAmostra!$BH$10,ES63=CaractAmostra!$BH$11,ES63=CaractAmostra!$BH$12),Respostas_Formatadas!ES63,"Outros")</f>
        <v>Com os pais</v>
      </c>
      <c r="EU63" s="36" t="s">
        <v>134</v>
      </c>
      <c r="EV63" s="36" t="s">
        <v>285</v>
      </c>
      <c r="EW63" s="36" t="s">
        <v>285</v>
      </c>
      <c r="FE63" s="47">
        <v>2017</v>
      </c>
      <c r="FF63" s="97">
        <v>7.0505000000000004</v>
      </c>
      <c r="FI63" s="47" t="str">
        <f t="shared" si="0"/>
        <v>Aracaju</v>
      </c>
      <c r="FJ63" s="47" t="str">
        <f t="shared" si="1"/>
        <v>Tecnologia</v>
      </c>
    </row>
    <row r="64" spans="1:166" s="36" customFormat="1" ht="15.75" customHeight="1" x14ac:dyDescent="0.2">
      <c r="A64" s="38">
        <v>43406.973573888885</v>
      </c>
      <c r="C64" s="36" t="s">
        <v>119</v>
      </c>
      <c r="D64" s="47" t="s">
        <v>133</v>
      </c>
      <c r="E64" s="36" t="s">
        <v>135</v>
      </c>
      <c r="H64" s="36" t="s">
        <v>142</v>
      </c>
      <c r="I64" s="36" t="s">
        <v>144</v>
      </c>
      <c r="M64" s="36" t="s">
        <v>148</v>
      </c>
      <c r="N64" s="36" t="s">
        <v>134</v>
      </c>
      <c r="O64" s="36" t="s">
        <v>133</v>
      </c>
      <c r="P64" s="36" t="s">
        <v>134</v>
      </c>
      <c r="Q64" s="36" t="s">
        <v>134</v>
      </c>
      <c r="R64" s="36" t="s">
        <v>151</v>
      </c>
      <c r="Y64" s="36" t="s">
        <v>165</v>
      </c>
      <c r="Z64" s="36" t="s">
        <v>168</v>
      </c>
      <c r="AA64" s="36" t="s">
        <v>173</v>
      </c>
      <c r="AB64" s="36" t="s">
        <v>178</v>
      </c>
      <c r="AD64" s="36" t="s">
        <v>452</v>
      </c>
      <c r="AE64" s="36">
        <v>4</v>
      </c>
      <c r="AF64" s="36" t="s">
        <v>187</v>
      </c>
      <c r="AG64" s="36" t="s">
        <v>187</v>
      </c>
      <c r="AH64" s="36" t="s">
        <v>134</v>
      </c>
      <c r="AI64" s="40">
        <v>2900</v>
      </c>
      <c r="AJ64" s="36">
        <v>4</v>
      </c>
      <c r="AK64" s="36">
        <v>2</v>
      </c>
      <c r="AL64" s="36" t="s">
        <v>133</v>
      </c>
      <c r="AP64" s="36" t="s">
        <v>452</v>
      </c>
      <c r="AQ64" s="40">
        <v>2900</v>
      </c>
      <c r="AR64" s="36">
        <v>3</v>
      </c>
      <c r="AS64" s="36">
        <v>3</v>
      </c>
      <c r="AT64" s="36">
        <v>2</v>
      </c>
      <c r="AU64" s="36">
        <v>4</v>
      </c>
      <c r="AV64" s="36">
        <v>3</v>
      </c>
      <c r="AW64" s="36" t="s">
        <v>192</v>
      </c>
      <c r="AX64" s="36" t="s">
        <v>206</v>
      </c>
      <c r="AY64" s="36" t="s">
        <v>210</v>
      </c>
      <c r="AZ64" s="36" t="s">
        <v>133</v>
      </c>
      <c r="BA64" s="36" t="s">
        <v>212</v>
      </c>
      <c r="BB64" s="36" t="s">
        <v>453</v>
      </c>
      <c r="BC64" s="36" t="s">
        <v>358</v>
      </c>
      <c r="BD64" s="36" t="s">
        <v>187</v>
      </c>
      <c r="BE64" s="36" t="s">
        <v>214</v>
      </c>
      <c r="BG64" s="36">
        <v>3</v>
      </c>
      <c r="BH64" s="36">
        <v>3</v>
      </c>
      <c r="BI64" s="36">
        <v>4</v>
      </c>
      <c r="BJ64" s="36">
        <v>4</v>
      </c>
      <c r="BK64" s="36">
        <v>5</v>
      </c>
      <c r="BL64" s="36">
        <v>5</v>
      </c>
      <c r="BM64" s="36">
        <v>5</v>
      </c>
      <c r="BN64" s="36">
        <v>3</v>
      </c>
      <c r="BO64" s="36">
        <v>3</v>
      </c>
      <c r="BP64" s="36">
        <v>3</v>
      </c>
      <c r="BQ64" s="36">
        <v>4</v>
      </c>
      <c r="BR64" s="36">
        <v>3</v>
      </c>
      <c r="BS64" s="36">
        <v>1</v>
      </c>
      <c r="BT64" s="36">
        <v>5</v>
      </c>
      <c r="BU64" s="36">
        <v>4</v>
      </c>
      <c r="BV64" s="36">
        <v>4</v>
      </c>
      <c r="BW64" s="36">
        <v>4</v>
      </c>
      <c r="BX64" s="36">
        <v>4</v>
      </c>
      <c r="BY64" s="36">
        <v>4</v>
      </c>
      <c r="BZ64" s="36">
        <v>4</v>
      </c>
      <c r="CA64" s="36">
        <v>5</v>
      </c>
      <c r="CB64" s="36">
        <v>4</v>
      </c>
      <c r="CC64" s="36">
        <v>4</v>
      </c>
      <c r="CD64" s="36">
        <v>4</v>
      </c>
      <c r="CE64" s="36">
        <v>4</v>
      </c>
      <c r="CF64" s="36">
        <v>4</v>
      </c>
      <c r="CG64" s="36">
        <v>4</v>
      </c>
      <c r="CH64" s="36" t="s">
        <v>222</v>
      </c>
      <c r="CI64" t="s">
        <v>225</v>
      </c>
      <c r="CJ64" t="s">
        <v>229</v>
      </c>
      <c r="CK64" s="36" t="s">
        <v>233</v>
      </c>
      <c r="CL64" t="s">
        <v>235</v>
      </c>
      <c r="CM64"/>
      <c r="CN64" s="36" t="s">
        <v>242</v>
      </c>
      <c r="CO64" s="36" t="s">
        <v>134</v>
      </c>
      <c r="CP64" s="36">
        <v>3</v>
      </c>
      <c r="CQ64" s="36">
        <v>3</v>
      </c>
      <c r="CR64" s="36" t="s">
        <v>248</v>
      </c>
      <c r="CS64" s="36">
        <v>2</v>
      </c>
      <c r="CT64" s="36">
        <v>2</v>
      </c>
      <c r="CU64" s="36">
        <v>2</v>
      </c>
      <c r="CV64" s="36">
        <v>3</v>
      </c>
      <c r="CW64" s="36">
        <v>3</v>
      </c>
      <c r="CX64" s="36">
        <v>4</v>
      </c>
      <c r="CY64" s="36">
        <v>4</v>
      </c>
      <c r="CZ64" s="36">
        <v>4</v>
      </c>
      <c r="DA64" s="36">
        <v>3</v>
      </c>
      <c r="DB64" s="36">
        <v>2</v>
      </c>
      <c r="DC64" s="36">
        <v>3</v>
      </c>
      <c r="DD64" s="36">
        <v>5</v>
      </c>
      <c r="DE64" s="36">
        <v>5</v>
      </c>
      <c r="DF64" s="36">
        <v>5</v>
      </c>
      <c r="DG64" s="36">
        <v>4</v>
      </c>
      <c r="DH64" s="36">
        <v>3</v>
      </c>
      <c r="DI64" s="36" t="s">
        <v>133</v>
      </c>
      <c r="DJ64" s="36" t="s">
        <v>134</v>
      </c>
      <c r="DL64"/>
      <c r="DM64"/>
      <c r="DN64"/>
      <c r="DO64"/>
      <c r="DP64"/>
      <c r="DR64" s="36" t="s">
        <v>134</v>
      </c>
      <c r="DT64"/>
      <c r="DU64"/>
      <c r="DV64"/>
      <c r="DW64"/>
      <c r="DX64"/>
      <c r="DZ64" s="36" t="s">
        <v>133</v>
      </c>
      <c r="EA64" s="36">
        <v>1</v>
      </c>
      <c r="EB64" s="36" t="s">
        <v>262</v>
      </c>
      <c r="EC64" s="36" t="s">
        <v>264</v>
      </c>
      <c r="ED64" s="36">
        <v>26</v>
      </c>
      <c r="EE64" s="36" t="s">
        <v>292</v>
      </c>
      <c r="EF64" s="36" t="str">
        <f>Tabulacao!MC64</f>
        <v>Aracaju</v>
      </c>
      <c r="EG64" s="36" t="s">
        <v>292</v>
      </c>
      <c r="EH64" s="36" t="str">
        <f>Tabulacao!MG64</f>
        <v>Aracaju</v>
      </c>
      <c r="EI64" s="36" t="s">
        <v>292</v>
      </c>
      <c r="EJ64" s="36" t="str">
        <f>Tabulacao!MK64</f>
        <v>Aracaju</v>
      </c>
      <c r="EK64" s="36" t="s">
        <v>134</v>
      </c>
      <c r="EL64" s="36" t="s">
        <v>134</v>
      </c>
      <c r="EM64" s="36" t="s">
        <v>134</v>
      </c>
      <c r="EN64" s="36" t="s">
        <v>134</v>
      </c>
      <c r="EO64" s="36" t="s">
        <v>134</v>
      </c>
      <c r="EP64" s="36" t="s">
        <v>134</v>
      </c>
      <c r="EQ64" s="36" t="s">
        <v>454</v>
      </c>
      <c r="ER64" s="36" t="str">
        <f>IF(OR(EQ64=CaractAmostra!$BD$9,EQ64=CaractAmostra!$BD$10,EQ64=CaractAmostra!$BD$11,EQ64=CaractAmostra!$BD$12,EQ64=CaractAmostra!$BD$13),Respostas_Formatadas!EQ64,"Outros")</f>
        <v>Outros</v>
      </c>
      <c r="ES64" s="36" t="s">
        <v>454</v>
      </c>
      <c r="ET64" s="36" t="str">
        <f>IF(OR(ES64=CaractAmostra!$BH$9,ES64=CaractAmostra!$BH$10,ES64=CaractAmostra!$BH$11,ES64=CaractAmostra!$BH$12),Respostas_Formatadas!ES64,"Outros")</f>
        <v>Outros</v>
      </c>
      <c r="EU64" s="36" t="s">
        <v>134</v>
      </c>
      <c r="EV64" s="36" t="s">
        <v>287</v>
      </c>
      <c r="EW64" s="36" t="s">
        <v>287</v>
      </c>
      <c r="FE64" s="47">
        <v>2017</v>
      </c>
      <c r="FF64" s="97">
        <v>7.8026</v>
      </c>
      <c r="FI64" s="47" t="str">
        <f t="shared" si="0"/>
        <v>Aracaju</v>
      </c>
      <c r="FJ64" s="47" t="str">
        <f t="shared" si="1"/>
        <v>Bacharelado</v>
      </c>
    </row>
    <row r="65" spans="1:166" s="36" customFormat="1" ht="15.75" customHeight="1" x14ac:dyDescent="0.2">
      <c r="A65" s="38">
        <v>43406.980532534726</v>
      </c>
      <c r="C65" s="36" t="s">
        <v>122</v>
      </c>
      <c r="D65" s="47" t="s">
        <v>133</v>
      </c>
      <c r="E65" s="36" t="s">
        <v>138</v>
      </c>
      <c r="H65" s="36" t="s">
        <v>142</v>
      </c>
      <c r="I65" s="36" t="s">
        <v>144</v>
      </c>
      <c r="M65" s="36" t="s">
        <v>146</v>
      </c>
      <c r="N65" s="36" t="s">
        <v>133</v>
      </c>
      <c r="O65" s="36" t="s">
        <v>133</v>
      </c>
      <c r="P65" s="36" t="s">
        <v>134</v>
      </c>
      <c r="Q65" s="36" t="s">
        <v>134</v>
      </c>
      <c r="R65" s="36" t="s">
        <v>151</v>
      </c>
      <c r="Y65" s="36" t="s">
        <v>165</v>
      </c>
      <c r="Z65" s="36" t="s">
        <v>170</v>
      </c>
      <c r="AA65" s="36" t="s">
        <v>173</v>
      </c>
      <c r="AB65" s="36" t="s">
        <v>455</v>
      </c>
      <c r="AD65" s="36" t="s">
        <v>456</v>
      </c>
      <c r="AE65" s="36">
        <v>2</v>
      </c>
      <c r="AF65" s="36" t="s">
        <v>190</v>
      </c>
      <c r="AG65" s="36" t="s">
        <v>190</v>
      </c>
      <c r="AH65" s="36" t="s">
        <v>134</v>
      </c>
      <c r="AI65" s="40">
        <v>3500</v>
      </c>
      <c r="AJ65" s="36">
        <v>5</v>
      </c>
      <c r="AK65" s="36">
        <v>5</v>
      </c>
      <c r="AL65" s="36" t="s">
        <v>133</v>
      </c>
      <c r="AP65" s="36" t="s">
        <v>388</v>
      </c>
      <c r="AQ65" s="40">
        <v>3500</v>
      </c>
      <c r="AR65" s="36">
        <v>2</v>
      </c>
      <c r="AS65" s="36">
        <v>5</v>
      </c>
      <c r="AT65" s="36">
        <v>5</v>
      </c>
      <c r="AU65" s="36">
        <v>3</v>
      </c>
      <c r="AV65" s="36">
        <v>3</v>
      </c>
      <c r="AW65" s="36" t="s">
        <v>192</v>
      </c>
      <c r="AX65" s="36" t="s">
        <v>204</v>
      </c>
      <c r="AY65" s="36" t="s">
        <v>209</v>
      </c>
      <c r="AZ65" s="36" t="s">
        <v>134</v>
      </c>
      <c r="BA65" s="36" t="s">
        <v>167</v>
      </c>
      <c r="BB65" s="36" t="s">
        <v>347</v>
      </c>
      <c r="BC65" s="36" t="s">
        <v>358</v>
      </c>
      <c r="BD65" s="36" t="s">
        <v>190</v>
      </c>
      <c r="BG65" s="36">
        <v>5</v>
      </c>
      <c r="BH65" s="36">
        <v>1</v>
      </c>
      <c r="BI65" s="36">
        <v>5</v>
      </c>
      <c r="BJ65" s="36">
        <v>1</v>
      </c>
      <c r="BK65" s="36">
        <v>5</v>
      </c>
      <c r="BL65" s="36">
        <v>3</v>
      </c>
      <c r="BM65" s="36">
        <v>5</v>
      </c>
      <c r="BN65" s="36">
        <v>4</v>
      </c>
      <c r="BO65" s="36">
        <v>5</v>
      </c>
      <c r="BP65" s="36">
        <v>4</v>
      </c>
      <c r="BQ65" s="36">
        <v>1</v>
      </c>
      <c r="BR65" s="36">
        <v>1</v>
      </c>
      <c r="BS65" s="36">
        <v>1</v>
      </c>
      <c r="BT65" s="36">
        <v>4</v>
      </c>
      <c r="BU65" s="36">
        <v>4</v>
      </c>
      <c r="BV65" s="36">
        <v>4</v>
      </c>
      <c r="BW65" s="36">
        <v>1</v>
      </c>
      <c r="BX65" s="36">
        <v>4</v>
      </c>
      <c r="BY65" s="36">
        <v>5</v>
      </c>
      <c r="BZ65" s="36">
        <v>4</v>
      </c>
      <c r="CA65" s="36">
        <v>5</v>
      </c>
      <c r="CB65" s="36">
        <v>4</v>
      </c>
      <c r="CC65" s="36">
        <v>5</v>
      </c>
      <c r="CD65" s="36">
        <v>4</v>
      </c>
      <c r="CE65" s="36">
        <v>3</v>
      </c>
      <c r="CF65" s="36">
        <v>1</v>
      </c>
      <c r="CG65" s="36">
        <v>5</v>
      </c>
      <c r="CH65" s="36" t="s">
        <v>225</v>
      </c>
      <c r="CI65" t="s">
        <v>229</v>
      </c>
      <c r="CJ65"/>
      <c r="CK65" s="36" t="s">
        <v>233</v>
      </c>
      <c r="CL65" t="s">
        <v>240</v>
      </c>
      <c r="CM65" t="s">
        <v>1025</v>
      </c>
      <c r="CN65" s="36" t="s">
        <v>242</v>
      </c>
      <c r="CO65" s="36" t="s">
        <v>134</v>
      </c>
      <c r="CP65" s="36">
        <v>2</v>
      </c>
      <c r="CQ65" s="36">
        <v>5</v>
      </c>
      <c r="CR65" s="36" t="s">
        <v>248</v>
      </c>
      <c r="CS65" s="36">
        <v>3</v>
      </c>
      <c r="CT65" s="36">
        <v>3</v>
      </c>
      <c r="CU65" s="36">
        <v>2</v>
      </c>
      <c r="CV65" s="36">
        <v>5</v>
      </c>
      <c r="CW65" s="36">
        <v>4</v>
      </c>
      <c r="CX65" s="36">
        <v>5</v>
      </c>
      <c r="CY65" s="36">
        <v>5</v>
      </c>
      <c r="CZ65" s="36">
        <v>5</v>
      </c>
      <c r="DA65" s="36">
        <v>3</v>
      </c>
      <c r="DB65" s="36">
        <v>2</v>
      </c>
      <c r="DC65" s="36">
        <v>2</v>
      </c>
      <c r="DD65" s="36">
        <v>4</v>
      </c>
      <c r="DE65" s="36">
        <v>4</v>
      </c>
      <c r="DF65" s="36">
        <v>4</v>
      </c>
      <c r="DG65" s="36">
        <v>5</v>
      </c>
      <c r="DH65" s="36">
        <v>4</v>
      </c>
      <c r="DI65" s="36" t="s">
        <v>133</v>
      </c>
      <c r="DJ65" s="36" t="s">
        <v>133</v>
      </c>
      <c r="DK65" s="36" t="s">
        <v>255</v>
      </c>
      <c r="DL65"/>
      <c r="DM65"/>
      <c r="DN65" t="s">
        <v>257</v>
      </c>
      <c r="DO65"/>
      <c r="DP65"/>
      <c r="DQ65" s="36">
        <v>5</v>
      </c>
      <c r="DR65" s="36" t="s">
        <v>133</v>
      </c>
      <c r="DS65" s="36" t="s">
        <v>259</v>
      </c>
      <c r="DT65"/>
      <c r="DU65"/>
      <c r="DV65" t="s">
        <v>261</v>
      </c>
      <c r="DW65"/>
      <c r="DX65"/>
      <c r="DY65" s="36">
        <v>5</v>
      </c>
      <c r="DZ65" s="36" t="s">
        <v>133</v>
      </c>
      <c r="EA65" s="36">
        <v>5</v>
      </c>
      <c r="EB65" s="36" t="s">
        <v>263</v>
      </c>
      <c r="EC65" s="36" t="s">
        <v>265</v>
      </c>
      <c r="ED65" s="36">
        <v>31</v>
      </c>
      <c r="EE65" s="36" t="s">
        <v>457</v>
      </c>
      <c r="EF65" s="36" t="str">
        <f>Tabulacao!MC65</f>
        <v>Itabaianinha</v>
      </c>
      <c r="EG65" s="36" t="s">
        <v>458</v>
      </c>
      <c r="EH65" s="36" t="str">
        <f>Tabulacao!MG65</f>
        <v>Aracaju</v>
      </c>
      <c r="EI65" s="36" t="s">
        <v>459</v>
      </c>
      <c r="EJ65" s="36" t="str">
        <f>Tabulacao!MK65</f>
        <v>São Cristóvão</v>
      </c>
      <c r="EK65" s="36" t="s">
        <v>134</v>
      </c>
      <c r="EL65" s="36" t="s">
        <v>134</v>
      </c>
      <c r="EM65" s="36" t="s">
        <v>134</v>
      </c>
      <c r="EN65" s="36" t="s">
        <v>134</v>
      </c>
      <c r="EO65" s="36" t="s">
        <v>134</v>
      </c>
      <c r="EP65" s="36" t="s">
        <v>134</v>
      </c>
      <c r="EQ65" s="36" t="s">
        <v>273</v>
      </c>
      <c r="ER65" s="36" t="str">
        <f>IF(OR(EQ65=CaractAmostra!$BD$9,EQ65=CaractAmostra!$BD$10,EQ65=CaractAmostra!$BD$11,EQ65=CaractAmostra!$BD$12,EQ65=CaractAmostra!$BD$13),Respostas_Formatadas!EQ65,"Outros")</f>
        <v>Dividia residência com outras pessoas</v>
      </c>
      <c r="ES65" s="36" t="s">
        <v>274</v>
      </c>
      <c r="ET65" s="36" t="str">
        <f>IF(OR(ES65=CaractAmostra!$BH$9,ES65=CaractAmostra!$BH$10,ES65=CaractAmostra!$BH$11,ES65=CaractAmostra!$BH$12),Respostas_Formatadas!ES65,"Outros")</f>
        <v>Com um(a) parceiro(a)</v>
      </c>
      <c r="EU65" s="36" t="s">
        <v>279</v>
      </c>
      <c r="EV65" s="36" t="s">
        <v>282</v>
      </c>
      <c r="EW65" s="36" t="s">
        <v>282</v>
      </c>
      <c r="FD65" s="36" t="s">
        <v>460</v>
      </c>
      <c r="FE65" s="47">
        <v>2014</v>
      </c>
      <c r="FF65" s="97">
        <v>6.7163000000000004</v>
      </c>
      <c r="FI65" s="47" t="str">
        <f t="shared" si="0"/>
        <v>Aracaju</v>
      </c>
      <c r="FJ65" s="47" t="str">
        <f t="shared" si="1"/>
        <v>Licenciatura</v>
      </c>
    </row>
    <row r="66" spans="1:166" s="36" customFormat="1" ht="15.75" customHeight="1" x14ac:dyDescent="0.2">
      <c r="A66" s="38">
        <v>43407.222875208332</v>
      </c>
      <c r="C66" s="36" t="s">
        <v>125</v>
      </c>
      <c r="D66" s="47" t="s">
        <v>134</v>
      </c>
      <c r="M66" s="36" t="s">
        <v>146</v>
      </c>
      <c r="N66" s="36" t="s">
        <v>134</v>
      </c>
      <c r="O66" s="36" t="s">
        <v>134</v>
      </c>
      <c r="P66" s="36" t="s">
        <v>134</v>
      </c>
      <c r="Q66" s="36" t="s">
        <v>134</v>
      </c>
      <c r="R66" s="36" t="s">
        <v>151</v>
      </c>
      <c r="Y66" s="36" t="s">
        <v>165</v>
      </c>
      <c r="Z66" s="36" t="s">
        <v>167</v>
      </c>
      <c r="AA66" s="36" t="s">
        <v>173</v>
      </c>
      <c r="AB66" s="36" t="s">
        <v>180</v>
      </c>
      <c r="AD66" s="36" t="s">
        <v>461</v>
      </c>
      <c r="AE66" s="36">
        <v>5</v>
      </c>
      <c r="AF66" s="36" t="s">
        <v>189</v>
      </c>
      <c r="AG66" s="36" t="s">
        <v>189</v>
      </c>
      <c r="AH66" s="36" t="s">
        <v>134</v>
      </c>
      <c r="AI66" s="40">
        <v>500</v>
      </c>
      <c r="AJ66" s="36">
        <v>3</v>
      </c>
      <c r="AK66" s="36">
        <v>4</v>
      </c>
      <c r="AL66" s="36" t="s">
        <v>133</v>
      </c>
      <c r="AP66" s="36" t="s">
        <v>462</v>
      </c>
      <c r="AQ66" s="40">
        <v>600</v>
      </c>
      <c r="AR66" s="36">
        <v>3</v>
      </c>
      <c r="AS66" s="36">
        <v>3</v>
      </c>
      <c r="AT66" s="36">
        <v>4</v>
      </c>
      <c r="AU66" s="36">
        <v>4</v>
      </c>
      <c r="AV66" s="36">
        <v>4</v>
      </c>
      <c r="AW66" s="36" t="s">
        <v>192</v>
      </c>
      <c r="AX66" s="36" t="s">
        <v>203</v>
      </c>
      <c r="AY66" s="36" t="s">
        <v>463</v>
      </c>
      <c r="AZ66" s="36" t="s">
        <v>134</v>
      </c>
      <c r="BA66" s="36" t="s">
        <v>212</v>
      </c>
      <c r="BB66" s="36" t="s">
        <v>292</v>
      </c>
      <c r="BC66" s="36" t="s">
        <v>292</v>
      </c>
      <c r="BD66" s="36" t="s">
        <v>189</v>
      </c>
      <c r="BF66" s="36" t="s">
        <v>218</v>
      </c>
      <c r="BG66" s="36">
        <v>4</v>
      </c>
      <c r="BH66" s="36">
        <v>3</v>
      </c>
      <c r="BI66" s="36">
        <v>3</v>
      </c>
      <c r="BJ66" s="36">
        <v>4</v>
      </c>
      <c r="BK66" s="36">
        <v>4</v>
      </c>
      <c r="BL66" s="36">
        <v>4</v>
      </c>
      <c r="BM66" s="36">
        <v>4</v>
      </c>
      <c r="BN66" s="36">
        <v>5</v>
      </c>
      <c r="BO66" s="36">
        <v>4</v>
      </c>
      <c r="BP66" s="36">
        <v>4</v>
      </c>
      <c r="BQ66" s="36">
        <v>3</v>
      </c>
      <c r="BR66" s="36">
        <v>3</v>
      </c>
      <c r="BS66" s="36">
        <v>2</v>
      </c>
      <c r="BT66" s="36">
        <v>3</v>
      </c>
      <c r="BU66" s="36">
        <v>3</v>
      </c>
      <c r="BV66" s="36">
        <v>3</v>
      </c>
      <c r="BW66" s="36">
        <v>2</v>
      </c>
      <c r="BX66" s="36">
        <v>3</v>
      </c>
      <c r="BY66" s="36">
        <v>4</v>
      </c>
      <c r="BZ66" s="36">
        <v>3</v>
      </c>
      <c r="CA66" s="36">
        <v>4</v>
      </c>
      <c r="CB66" s="36">
        <v>3</v>
      </c>
      <c r="CC66" s="36">
        <v>3</v>
      </c>
      <c r="CD66" s="36">
        <v>1</v>
      </c>
      <c r="CE66" s="36">
        <v>1</v>
      </c>
      <c r="CF66" s="36">
        <v>1</v>
      </c>
      <c r="CG66" s="36">
        <v>4</v>
      </c>
      <c r="CH66" s="36" t="s">
        <v>222</v>
      </c>
      <c r="CI66" t="s">
        <v>224</v>
      </c>
      <c r="CJ66" t="s">
        <v>230</v>
      </c>
      <c r="CK66" s="36" t="s">
        <v>233</v>
      </c>
      <c r="CL66" t="s">
        <v>235</v>
      </c>
      <c r="CM66"/>
      <c r="CN66" s="36" t="s">
        <v>241</v>
      </c>
      <c r="CO66" s="36" t="s">
        <v>134</v>
      </c>
      <c r="CP66" s="36">
        <v>3</v>
      </c>
      <c r="CQ66" s="36">
        <v>3</v>
      </c>
      <c r="CR66" s="36" t="s">
        <v>248</v>
      </c>
      <c r="CS66" s="36">
        <v>2</v>
      </c>
      <c r="CT66" s="36">
        <v>2</v>
      </c>
      <c r="CU66" s="36">
        <v>2</v>
      </c>
      <c r="CV66" s="36">
        <v>3</v>
      </c>
      <c r="CW66" s="36">
        <v>5</v>
      </c>
      <c r="CX66" s="36">
        <v>3</v>
      </c>
      <c r="CY66" s="36">
        <v>5</v>
      </c>
      <c r="CZ66" s="36">
        <v>5</v>
      </c>
      <c r="DA66" s="36">
        <v>2</v>
      </c>
      <c r="DB66" s="36">
        <v>3</v>
      </c>
      <c r="DC66" s="36">
        <v>4</v>
      </c>
      <c r="DD66" s="36">
        <v>5</v>
      </c>
      <c r="DE66" s="36">
        <v>5</v>
      </c>
      <c r="DF66" s="36">
        <v>5</v>
      </c>
      <c r="DG66" s="36">
        <v>5</v>
      </c>
      <c r="DH66" s="36">
        <v>3</v>
      </c>
      <c r="DI66" s="36" t="s">
        <v>133</v>
      </c>
      <c r="DJ66" s="36" t="s">
        <v>133</v>
      </c>
      <c r="DK66" s="36" t="s">
        <v>254</v>
      </c>
      <c r="DL66"/>
      <c r="DM66"/>
      <c r="DN66"/>
      <c r="DO66"/>
      <c r="DP66"/>
      <c r="DQ66" s="36">
        <v>3</v>
      </c>
      <c r="DR66" s="36" t="s">
        <v>134</v>
      </c>
      <c r="DT66"/>
      <c r="DU66"/>
      <c r="DV66"/>
      <c r="DW66"/>
      <c r="DX66"/>
      <c r="DZ66" s="36" t="s">
        <v>133</v>
      </c>
      <c r="EA66" s="36">
        <v>5</v>
      </c>
      <c r="EB66" s="36" t="s">
        <v>263</v>
      </c>
      <c r="EC66" s="36" t="s">
        <v>267</v>
      </c>
      <c r="ED66" s="36">
        <v>23</v>
      </c>
      <c r="EE66" s="36" t="s">
        <v>292</v>
      </c>
      <c r="EF66" s="36" t="str">
        <f>Tabulacao!MC66</f>
        <v>Aracaju</v>
      </c>
      <c r="EG66" s="36" t="s">
        <v>292</v>
      </c>
      <c r="EH66" s="36" t="str">
        <f>Tabulacao!MG66</f>
        <v>Aracaju</v>
      </c>
      <c r="EI66" s="36" t="s">
        <v>458</v>
      </c>
      <c r="EJ66" s="36" t="str">
        <f>Tabulacao!MK66</f>
        <v>Aracaju</v>
      </c>
      <c r="EK66" s="36" t="s">
        <v>134</v>
      </c>
      <c r="EL66" s="36" t="s">
        <v>134</v>
      </c>
      <c r="EM66" s="36" t="s">
        <v>134</v>
      </c>
      <c r="EN66" s="36" t="s">
        <v>134</v>
      </c>
      <c r="EO66" s="36" t="s">
        <v>134</v>
      </c>
      <c r="EP66" s="36" t="s">
        <v>134</v>
      </c>
      <c r="EQ66" s="36" t="s">
        <v>275</v>
      </c>
      <c r="ER66" s="36" t="str">
        <f>IF(OR(EQ66=CaractAmostra!$BD$9,EQ66=CaractAmostra!$BD$10,EQ66=CaractAmostra!$BD$11,EQ66=CaractAmostra!$BD$12,EQ66=CaractAmostra!$BD$13),Respostas_Formatadas!EQ66,"Outros")</f>
        <v>Com os pais</v>
      </c>
      <c r="ES66" s="36" t="s">
        <v>275</v>
      </c>
      <c r="ET66" s="36" t="str">
        <f>IF(OR(ES66=CaractAmostra!$BH$9,ES66=CaractAmostra!$BH$10,ES66=CaractAmostra!$BH$11,ES66=CaractAmostra!$BH$12),Respostas_Formatadas!ES66,"Outros")</f>
        <v>Com os pais</v>
      </c>
      <c r="EU66" s="36" t="s">
        <v>134</v>
      </c>
      <c r="EV66" s="36" t="s">
        <v>282</v>
      </c>
      <c r="EW66" s="36" t="s">
        <v>285</v>
      </c>
      <c r="FE66" s="47">
        <v>2018</v>
      </c>
      <c r="FF66" s="97">
        <v>7.3803000000000001</v>
      </c>
      <c r="FI66" s="47" t="str">
        <f t="shared" si="0"/>
        <v>Aracaju</v>
      </c>
      <c r="FJ66" s="47" t="str">
        <f t="shared" si="1"/>
        <v>Tecnologia</v>
      </c>
    </row>
    <row r="67" spans="1:166" s="36" customFormat="1" ht="15.75" customHeight="1" x14ac:dyDescent="0.2">
      <c r="A67" s="38">
        <v>43407.250251527774</v>
      </c>
      <c r="C67" s="36" t="s">
        <v>126</v>
      </c>
      <c r="D67" s="47" t="s">
        <v>134</v>
      </c>
      <c r="M67" s="36" t="s">
        <v>147</v>
      </c>
      <c r="N67" s="36" t="s">
        <v>134</v>
      </c>
      <c r="O67" s="36" t="s">
        <v>134</v>
      </c>
      <c r="P67" s="36" t="s">
        <v>133</v>
      </c>
      <c r="Q67" s="36" t="s">
        <v>133</v>
      </c>
      <c r="R67" s="36" t="s">
        <v>151</v>
      </c>
      <c r="Y67" s="36" t="s">
        <v>165</v>
      </c>
      <c r="Z67" s="36" t="s">
        <v>167</v>
      </c>
      <c r="AA67" s="36" t="s">
        <v>171</v>
      </c>
      <c r="AB67" s="36" t="s">
        <v>181</v>
      </c>
      <c r="AD67" s="36" t="s">
        <v>464</v>
      </c>
      <c r="AE67" s="36">
        <v>1</v>
      </c>
      <c r="AF67" s="36" t="s">
        <v>187</v>
      </c>
      <c r="AG67" s="36" t="s">
        <v>187</v>
      </c>
      <c r="AH67" s="36" t="s">
        <v>133</v>
      </c>
      <c r="AI67" s="40">
        <v>954</v>
      </c>
      <c r="AJ67" s="36">
        <v>2</v>
      </c>
      <c r="AK67" s="36">
        <v>4</v>
      </c>
      <c r="AL67" s="36" t="s">
        <v>133</v>
      </c>
      <c r="AP67" s="36" t="s">
        <v>464</v>
      </c>
      <c r="AQ67" s="40">
        <v>954</v>
      </c>
      <c r="AR67" s="36">
        <v>4</v>
      </c>
      <c r="AS67" s="36">
        <v>2</v>
      </c>
      <c r="AT67" s="36">
        <v>2</v>
      </c>
      <c r="AU67" s="36">
        <v>3</v>
      </c>
      <c r="AV67" s="36">
        <v>2</v>
      </c>
      <c r="AW67" s="36" t="s">
        <v>193</v>
      </c>
      <c r="AX67" s="36" t="s">
        <v>206</v>
      </c>
      <c r="AY67" s="36" t="s">
        <v>210</v>
      </c>
      <c r="AZ67" s="36" t="s">
        <v>133</v>
      </c>
      <c r="BA67" s="36" t="s">
        <v>167</v>
      </c>
      <c r="BB67" s="36" t="s">
        <v>465</v>
      </c>
      <c r="BC67" s="36" t="s">
        <v>291</v>
      </c>
      <c r="BD67" s="36" t="s">
        <v>187</v>
      </c>
      <c r="BE67" s="36" t="s">
        <v>215</v>
      </c>
      <c r="BG67" s="36">
        <v>2</v>
      </c>
      <c r="BH67" s="36">
        <v>5</v>
      </c>
      <c r="BI67" s="36">
        <v>3</v>
      </c>
      <c r="BJ67" s="36">
        <v>1</v>
      </c>
      <c r="BK67" s="36">
        <v>5</v>
      </c>
      <c r="BL67" s="36">
        <v>5</v>
      </c>
      <c r="BM67" s="36">
        <v>5</v>
      </c>
      <c r="BN67" s="36">
        <v>4</v>
      </c>
      <c r="BO67" s="36">
        <v>5</v>
      </c>
      <c r="BP67" s="36">
        <v>3</v>
      </c>
      <c r="BQ67" s="36">
        <v>3</v>
      </c>
      <c r="BR67" s="36">
        <v>5</v>
      </c>
      <c r="BS67" s="36">
        <v>1</v>
      </c>
      <c r="BT67" s="36">
        <v>3</v>
      </c>
      <c r="BU67" s="36">
        <v>3</v>
      </c>
      <c r="BV67" s="36">
        <v>3</v>
      </c>
      <c r="BW67" s="36">
        <v>1</v>
      </c>
      <c r="BX67" s="36">
        <v>3</v>
      </c>
      <c r="BY67" s="36">
        <v>3</v>
      </c>
      <c r="BZ67" s="36">
        <v>3</v>
      </c>
      <c r="CA67" s="36">
        <v>4</v>
      </c>
      <c r="CB67" s="36">
        <v>3</v>
      </c>
      <c r="CC67" s="36">
        <v>3</v>
      </c>
      <c r="CD67" s="36">
        <v>2</v>
      </c>
      <c r="CE67" s="36">
        <v>3</v>
      </c>
      <c r="CF67" s="36">
        <v>1</v>
      </c>
      <c r="CG67" s="36">
        <v>2</v>
      </c>
      <c r="CH67" s="36" t="s">
        <v>222</v>
      </c>
      <c r="CI67"/>
      <c r="CJ67"/>
      <c r="CK67" s="36" t="s">
        <v>235</v>
      </c>
      <c r="CL67"/>
      <c r="CM67"/>
      <c r="CN67" s="36" t="s">
        <v>242</v>
      </c>
      <c r="CO67" s="36" t="s">
        <v>133</v>
      </c>
      <c r="CP67" s="36">
        <v>5</v>
      </c>
      <c r="CQ67" s="36">
        <v>5</v>
      </c>
      <c r="CR67" s="36" t="s">
        <v>248</v>
      </c>
      <c r="CS67" s="36">
        <v>3</v>
      </c>
      <c r="CT67" s="36">
        <v>1</v>
      </c>
      <c r="CU67" s="36">
        <v>3</v>
      </c>
      <c r="CV67" s="36">
        <v>2</v>
      </c>
      <c r="CW67" s="36">
        <v>5</v>
      </c>
      <c r="CX67" s="36">
        <v>5</v>
      </c>
      <c r="CY67" s="36">
        <v>5</v>
      </c>
      <c r="CZ67" s="36">
        <v>3</v>
      </c>
      <c r="DA67" s="36">
        <v>3</v>
      </c>
      <c r="DB67" s="36">
        <v>3</v>
      </c>
      <c r="DC67" s="36">
        <v>2</v>
      </c>
      <c r="DD67" s="36">
        <v>3</v>
      </c>
      <c r="DE67" s="36">
        <v>2</v>
      </c>
      <c r="DF67" s="36">
        <v>3</v>
      </c>
      <c r="DG67" s="36">
        <v>5</v>
      </c>
      <c r="DH67" s="36">
        <v>3</v>
      </c>
      <c r="DI67" s="36" t="s">
        <v>252</v>
      </c>
      <c r="DJ67" s="36" t="s">
        <v>133</v>
      </c>
      <c r="DK67" s="36" t="s">
        <v>255</v>
      </c>
      <c r="DL67"/>
      <c r="DM67"/>
      <c r="DN67"/>
      <c r="DO67"/>
      <c r="DP67"/>
      <c r="DQ67" s="36">
        <v>4</v>
      </c>
      <c r="DR67" s="36" t="s">
        <v>134</v>
      </c>
      <c r="DT67"/>
      <c r="DU67"/>
      <c r="DV67"/>
      <c r="DW67"/>
      <c r="DX67"/>
      <c r="DZ67" s="36" t="s">
        <v>133</v>
      </c>
      <c r="EA67" s="36">
        <v>4</v>
      </c>
      <c r="EB67" s="36" t="s">
        <v>263</v>
      </c>
      <c r="EC67" s="36" t="s">
        <v>267</v>
      </c>
      <c r="ED67" s="36">
        <v>25</v>
      </c>
      <c r="EE67" s="36" t="s">
        <v>466</v>
      </c>
      <c r="EF67" s="36" t="str">
        <f>Tabulacao!MC67</f>
        <v>Lagarto</v>
      </c>
      <c r="EG67" s="36" t="s">
        <v>466</v>
      </c>
      <c r="EH67" s="36" t="str">
        <f>Tabulacao!MG67</f>
        <v>Lagarto</v>
      </c>
      <c r="EI67" s="36" t="s">
        <v>466</v>
      </c>
      <c r="EJ67" s="36" t="str">
        <f>Tabulacao!MK67</f>
        <v>Lagarto</v>
      </c>
      <c r="EK67" s="36" t="s">
        <v>134</v>
      </c>
      <c r="EL67" s="36" t="s">
        <v>134</v>
      </c>
      <c r="EM67" s="36" t="s">
        <v>134</v>
      </c>
      <c r="EN67" s="36" t="s">
        <v>134</v>
      </c>
      <c r="EO67" s="36" t="s">
        <v>134</v>
      </c>
      <c r="EP67" s="36" t="s">
        <v>134</v>
      </c>
      <c r="EQ67" s="36" t="s">
        <v>275</v>
      </c>
      <c r="ER67" s="36" t="str">
        <f>IF(OR(EQ67=CaractAmostra!$BD$9,EQ67=CaractAmostra!$BD$10,EQ67=CaractAmostra!$BD$11,EQ67=CaractAmostra!$BD$12,EQ67=CaractAmostra!$BD$13),Respostas_Formatadas!EQ67,"Outros")</f>
        <v>Com os pais</v>
      </c>
      <c r="ES67" s="36" t="s">
        <v>275</v>
      </c>
      <c r="ET67" s="36" t="str">
        <f>IF(OR(ES67=CaractAmostra!$BH$9,ES67=CaractAmostra!$BH$10,ES67=CaractAmostra!$BH$11,ES67=CaractAmostra!$BH$12),Respostas_Formatadas!ES67,"Outros")</f>
        <v>Com os pais</v>
      </c>
      <c r="EU67" s="36" t="s">
        <v>134</v>
      </c>
      <c r="EV67" s="36" t="s">
        <v>282</v>
      </c>
      <c r="EW67" s="36" t="s">
        <v>283</v>
      </c>
      <c r="FE67" s="47">
        <v>2018</v>
      </c>
      <c r="FF67" s="97">
        <v>8.6</v>
      </c>
      <c r="FI67" s="47" t="str">
        <f t="shared" ref="FI67:FI130" si="2">VLOOKUP($C67,$FL$4:$FN$16,2,FALSE)</f>
        <v>Lagarto</v>
      </c>
      <c r="FJ67" s="47" t="str">
        <f t="shared" ref="FJ67:FJ130" si="3">VLOOKUP($C67,$FL$4:$FN$16,3,FALSE)</f>
        <v>Tecnologia</v>
      </c>
    </row>
    <row r="68" spans="1:166" s="36" customFormat="1" ht="15.75" customHeight="1" x14ac:dyDescent="0.2">
      <c r="A68" s="38">
        <v>43407.325441064815</v>
      </c>
      <c r="C68" s="36" t="s">
        <v>130</v>
      </c>
      <c r="D68" s="47" t="s">
        <v>133</v>
      </c>
      <c r="E68" s="36" t="s">
        <v>135</v>
      </c>
      <c r="H68" s="36" t="s">
        <v>142</v>
      </c>
      <c r="I68" s="36" t="s">
        <v>144</v>
      </c>
      <c r="M68" s="36" t="s">
        <v>146</v>
      </c>
      <c r="N68" s="36" t="s">
        <v>134</v>
      </c>
      <c r="O68" s="36" t="s">
        <v>134</v>
      </c>
      <c r="P68" s="36" t="s">
        <v>134</v>
      </c>
      <c r="Q68" s="36" t="s">
        <v>133</v>
      </c>
      <c r="R68" s="36" t="s">
        <v>151</v>
      </c>
      <c r="Y68" s="36" t="s">
        <v>134</v>
      </c>
      <c r="AI68" s="40"/>
      <c r="AQ68" s="40"/>
      <c r="BT68" s="36">
        <v>2</v>
      </c>
      <c r="BU68" s="36">
        <v>4</v>
      </c>
      <c r="BV68" s="36">
        <v>4</v>
      </c>
      <c r="BW68" s="36">
        <v>4</v>
      </c>
      <c r="BX68" s="36">
        <v>4</v>
      </c>
      <c r="BY68" s="36">
        <v>5</v>
      </c>
      <c r="BZ68" s="36">
        <v>5</v>
      </c>
      <c r="CA68" s="36">
        <v>4</v>
      </c>
      <c r="CB68" s="36">
        <v>5</v>
      </c>
      <c r="CC68" s="36">
        <v>5</v>
      </c>
      <c r="CD68" s="36">
        <v>3</v>
      </c>
      <c r="CE68" s="36">
        <v>4</v>
      </c>
      <c r="CF68" s="36">
        <v>1</v>
      </c>
      <c r="CG68" s="36">
        <v>1</v>
      </c>
      <c r="CH68" s="36" t="s">
        <v>222</v>
      </c>
      <c r="CI68" t="s">
        <v>229</v>
      </c>
      <c r="CJ68"/>
      <c r="CK68" s="36" t="s">
        <v>467</v>
      </c>
      <c r="CL68"/>
      <c r="CM68"/>
      <c r="CN68" s="36" t="s">
        <v>241</v>
      </c>
      <c r="CO68" s="36" t="s">
        <v>134</v>
      </c>
      <c r="CP68" s="36">
        <v>2</v>
      </c>
      <c r="CQ68" s="36">
        <v>4</v>
      </c>
      <c r="CR68" s="36" t="s">
        <v>248</v>
      </c>
      <c r="CS68" s="36">
        <v>2</v>
      </c>
      <c r="CT68" s="36">
        <v>1</v>
      </c>
      <c r="CU68" s="36">
        <v>1</v>
      </c>
      <c r="CV68" s="36">
        <v>1</v>
      </c>
      <c r="CW68" s="36">
        <v>1</v>
      </c>
      <c r="CX68" s="36">
        <v>4</v>
      </c>
      <c r="CY68" s="36">
        <v>3</v>
      </c>
      <c r="CZ68" s="36">
        <v>5</v>
      </c>
      <c r="DA68" s="36">
        <v>1</v>
      </c>
      <c r="DB68" s="36">
        <v>3</v>
      </c>
      <c r="DC68" s="36">
        <v>1</v>
      </c>
      <c r="DD68" s="36">
        <v>2</v>
      </c>
      <c r="DE68" s="36">
        <v>2</v>
      </c>
      <c r="DF68" s="36">
        <v>2</v>
      </c>
      <c r="DG68" s="36">
        <v>2</v>
      </c>
      <c r="DH68" s="36">
        <v>2</v>
      </c>
      <c r="DI68" s="36" t="s">
        <v>250</v>
      </c>
      <c r="DJ68" s="36" t="s">
        <v>133</v>
      </c>
      <c r="DK68" s="36" t="s">
        <v>257</v>
      </c>
      <c r="DL68"/>
      <c r="DM68"/>
      <c r="DN68"/>
      <c r="DO68"/>
      <c r="DP68"/>
      <c r="DQ68" s="36">
        <v>1</v>
      </c>
      <c r="DR68" s="36" t="s">
        <v>133</v>
      </c>
      <c r="DS68" s="36" t="s">
        <v>259</v>
      </c>
      <c r="DT68"/>
      <c r="DU68"/>
      <c r="DV68"/>
      <c r="DW68"/>
      <c r="DX68"/>
      <c r="DY68" s="36">
        <v>1</v>
      </c>
      <c r="DZ68" s="36" t="s">
        <v>133</v>
      </c>
      <c r="EA68" s="36">
        <v>5</v>
      </c>
      <c r="EB68" s="36" t="s">
        <v>263</v>
      </c>
      <c r="EC68" s="36" t="s">
        <v>267</v>
      </c>
      <c r="ED68" s="36">
        <v>57</v>
      </c>
      <c r="EE68" s="36" t="s">
        <v>468</v>
      </c>
      <c r="EF68" s="36" t="str">
        <f>Tabulacao!MC68</f>
        <v>Belém - PA</v>
      </c>
      <c r="EG68" s="36" t="s">
        <v>469</v>
      </c>
      <c r="EH68" s="36" t="str">
        <f>Tabulacao!MG68</f>
        <v>Campo do Brito</v>
      </c>
      <c r="EI68" s="36" t="s">
        <v>468</v>
      </c>
      <c r="EJ68" s="36" t="str">
        <f>Tabulacao!MK68</f>
        <v>Belém - PA</v>
      </c>
      <c r="EK68" s="36" t="s">
        <v>134</v>
      </c>
      <c r="EL68" s="36" t="s">
        <v>134</v>
      </c>
      <c r="EM68" s="36" t="s">
        <v>134</v>
      </c>
      <c r="EN68" s="36" t="s">
        <v>134</v>
      </c>
      <c r="EO68" s="36" t="s">
        <v>134</v>
      </c>
      <c r="EP68" s="36" t="s">
        <v>134</v>
      </c>
      <c r="EQ68" s="36" t="s">
        <v>273</v>
      </c>
      <c r="ER68" s="36" t="str">
        <f>IF(OR(EQ68=CaractAmostra!$BD$9,EQ68=CaractAmostra!$BD$10,EQ68=CaractAmostra!$BD$11,EQ68=CaractAmostra!$BD$12,EQ68=CaractAmostra!$BD$13),Respostas_Formatadas!EQ68,"Outros")</f>
        <v>Dividia residência com outras pessoas</v>
      </c>
      <c r="ES68" s="36" t="s">
        <v>277</v>
      </c>
      <c r="ET68" s="36" t="str">
        <f>IF(OR(ES68=CaractAmostra!$BH$9,ES68=CaractAmostra!$BH$10,ES68=CaractAmostra!$BH$11,ES68=CaractAmostra!$BH$12),Respostas_Formatadas!ES68,"Outros")</f>
        <v>Sozinho</v>
      </c>
      <c r="EU68" s="36" t="s">
        <v>134</v>
      </c>
      <c r="EV68" s="36" t="s">
        <v>283</v>
      </c>
      <c r="EW68" s="36" t="s">
        <v>283</v>
      </c>
      <c r="FE68" s="47">
        <v>2014</v>
      </c>
      <c r="FF68" s="97">
        <v>7.2018000000000004</v>
      </c>
      <c r="FI68" s="47" t="str">
        <f t="shared" si="2"/>
        <v>São Cristóvão</v>
      </c>
      <c r="FJ68" s="47" t="str">
        <f t="shared" si="3"/>
        <v>Tecnologia</v>
      </c>
    </row>
    <row r="69" spans="1:166" s="36" customFormat="1" ht="15.75" customHeight="1" x14ac:dyDescent="0.2">
      <c r="A69" s="38">
        <v>43407.510656585648</v>
      </c>
      <c r="C69" s="36" t="s">
        <v>119</v>
      </c>
      <c r="D69" s="47" t="s">
        <v>134</v>
      </c>
      <c r="M69" s="36" t="s">
        <v>146</v>
      </c>
      <c r="N69" s="36" t="s">
        <v>134</v>
      </c>
      <c r="O69" s="36" t="s">
        <v>133</v>
      </c>
      <c r="P69" s="36" t="s">
        <v>134</v>
      </c>
      <c r="Q69" s="36" t="s">
        <v>134</v>
      </c>
      <c r="R69" s="36" t="s">
        <v>151</v>
      </c>
      <c r="Y69" s="36" t="s">
        <v>134</v>
      </c>
      <c r="AI69" s="40"/>
      <c r="AQ69" s="40"/>
      <c r="BT69" s="36">
        <v>3</v>
      </c>
      <c r="BU69" s="36">
        <v>3</v>
      </c>
      <c r="BV69" s="36">
        <v>3</v>
      </c>
      <c r="BW69" s="36">
        <v>2</v>
      </c>
      <c r="BX69" s="36">
        <v>2</v>
      </c>
      <c r="BY69" s="36">
        <v>3</v>
      </c>
      <c r="BZ69" s="36">
        <v>2</v>
      </c>
      <c r="CA69" s="36">
        <v>3</v>
      </c>
      <c r="CB69" s="36">
        <v>3</v>
      </c>
      <c r="CC69" s="36">
        <v>3</v>
      </c>
      <c r="CD69" s="36">
        <v>3</v>
      </c>
      <c r="CE69" s="36">
        <v>2</v>
      </c>
      <c r="CF69" s="36">
        <v>1</v>
      </c>
      <c r="CG69" s="36">
        <v>1</v>
      </c>
      <c r="CH69" s="36" t="s">
        <v>226</v>
      </c>
      <c r="CI69" t="s">
        <v>229</v>
      </c>
      <c r="CJ69" t="s">
        <v>230</v>
      </c>
      <c r="CK69" s="36" t="s">
        <v>239</v>
      </c>
      <c r="CL69"/>
      <c r="CM69"/>
      <c r="CN69" s="36" t="s">
        <v>242</v>
      </c>
      <c r="CO69" s="36" t="s">
        <v>134</v>
      </c>
      <c r="CP69" s="36">
        <v>4</v>
      </c>
      <c r="CQ69" s="36">
        <v>3</v>
      </c>
      <c r="CR69" s="36" t="s">
        <v>248</v>
      </c>
      <c r="CS69" s="36">
        <v>2</v>
      </c>
      <c r="CT69" s="36">
        <v>3</v>
      </c>
      <c r="CU69" s="36">
        <v>3</v>
      </c>
      <c r="CV69" s="36">
        <v>2</v>
      </c>
      <c r="CW69" s="36">
        <v>2</v>
      </c>
      <c r="CX69" s="36">
        <v>4</v>
      </c>
      <c r="CY69" s="36">
        <v>4</v>
      </c>
      <c r="CZ69" s="36">
        <v>5</v>
      </c>
      <c r="DA69" s="36">
        <v>2</v>
      </c>
      <c r="DB69" s="36">
        <v>2</v>
      </c>
      <c r="DC69" s="36">
        <v>3</v>
      </c>
      <c r="DD69" s="36">
        <v>4</v>
      </c>
      <c r="DE69" s="36">
        <v>1</v>
      </c>
      <c r="DF69" s="36">
        <v>3</v>
      </c>
      <c r="DG69" s="36">
        <v>2</v>
      </c>
      <c r="DH69" s="36">
        <v>3</v>
      </c>
      <c r="DI69" s="36" t="s">
        <v>253</v>
      </c>
      <c r="DJ69" s="36" t="s">
        <v>134</v>
      </c>
      <c r="DL69"/>
      <c r="DM69"/>
      <c r="DN69"/>
      <c r="DO69"/>
      <c r="DP69"/>
      <c r="DR69" s="36" t="s">
        <v>134</v>
      </c>
      <c r="DT69"/>
      <c r="DU69"/>
      <c r="DV69"/>
      <c r="DW69"/>
      <c r="DX69"/>
      <c r="DZ69" s="36" t="s">
        <v>134</v>
      </c>
      <c r="EB69" s="36" t="s">
        <v>263</v>
      </c>
      <c r="EC69" s="36" t="s">
        <v>264</v>
      </c>
      <c r="ED69" s="36">
        <v>24</v>
      </c>
      <c r="EE69" s="36" t="s">
        <v>304</v>
      </c>
      <c r="EF69" s="36" t="str">
        <f>Tabulacao!MC69</f>
        <v>Aracaju</v>
      </c>
      <c r="EG69" s="36" t="s">
        <v>304</v>
      </c>
      <c r="EH69" s="36" t="str">
        <f>Tabulacao!MG69</f>
        <v>Aracaju</v>
      </c>
      <c r="EI69" s="36" t="s">
        <v>304</v>
      </c>
      <c r="EJ69" s="36" t="str">
        <f>Tabulacao!MK69</f>
        <v>Aracaju</v>
      </c>
      <c r="EK69" s="36" t="s">
        <v>134</v>
      </c>
      <c r="EL69" s="36" t="s">
        <v>134</v>
      </c>
      <c r="EM69" s="36" t="s">
        <v>134</v>
      </c>
      <c r="EN69" s="36" t="s">
        <v>134</v>
      </c>
      <c r="EO69" s="36" t="s">
        <v>134</v>
      </c>
      <c r="EP69" s="36" t="s">
        <v>134</v>
      </c>
      <c r="EQ69" s="36" t="s">
        <v>470</v>
      </c>
      <c r="ER69" s="36" t="str">
        <f>IF(OR(EQ69=CaractAmostra!$BD$9,EQ69=CaractAmostra!$BD$10,EQ69=CaractAmostra!$BD$11,EQ69=CaractAmostra!$BD$12,EQ69=CaractAmostra!$BD$13),Respostas_Formatadas!EQ69,"Outros")</f>
        <v>Outros</v>
      </c>
      <c r="ES69" s="36" t="s">
        <v>470</v>
      </c>
      <c r="ET69" s="36" t="str">
        <f>IF(OR(ES69=CaractAmostra!$BH$9,ES69=CaractAmostra!$BH$10,ES69=CaractAmostra!$BH$11,ES69=CaractAmostra!$BH$12),Respostas_Formatadas!ES69,"Outros")</f>
        <v>Outros</v>
      </c>
      <c r="EU69" s="36" t="s">
        <v>134</v>
      </c>
      <c r="EV69" s="36" t="s">
        <v>285</v>
      </c>
      <c r="EW69" s="36" t="s">
        <v>285</v>
      </c>
      <c r="FE69" s="47">
        <v>2017</v>
      </c>
      <c r="FF69" s="97">
        <v>7.6050000000000004</v>
      </c>
      <c r="FI69" s="47" t="str">
        <f t="shared" si="2"/>
        <v>Aracaju</v>
      </c>
      <c r="FJ69" s="47" t="str">
        <f t="shared" si="3"/>
        <v>Bacharelado</v>
      </c>
    </row>
    <row r="70" spans="1:166" s="36" customFormat="1" ht="15.75" customHeight="1" x14ac:dyDescent="0.2">
      <c r="A70" s="38">
        <v>43407.920337025462</v>
      </c>
      <c r="C70" s="36" t="s">
        <v>125</v>
      </c>
      <c r="D70" s="47" t="s">
        <v>133</v>
      </c>
      <c r="E70" s="36" t="s">
        <v>135</v>
      </c>
      <c r="H70" s="36" t="s">
        <v>142</v>
      </c>
      <c r="M70" s="36" t="s">
        <v>146</v>
      </c>
      <c r="N70" s="36" t="s">
        <v>134</v>
      </c>
      <c r="O70" s="36" t="s">
        <v>133</v>
      </c>
      <c r="P70" s="36" t="s">
        <v>134</v>
      </c>
      <c r="Q70" s="36" t="s">
        <v>133</v>
      </c>
      <c r="R70" s="36" t="s">
        <v>153</v>
      </c>
      <c r="S70" s="36" t="s">
        <v>471</v>
      </c>
      <c r="T70" s="36" t="s">
        <v>154</v>
      </c>
      <c r="U70" s="36" t="s">
        <v>157</v>
      </c>
      <c r="V70" s="36">
        <v>2</v>
      </c>
      <c r="W70" s="36">
        <v>2</v>
      </c>
      <c r="X70" s="36">
        <v>2</v>
      </c>
      <c r="Y70" s="36" t="s">
        <v>134</v>
      </c>
      <c r="AI70" s="40"/>
      <c r="AQ70" s="40"/>
      <c r="BT70" s="36">
        <v>4</v>
      </c>
      <c r="BU70" s="36">
        <v>4</v>
      </c>
      <c r="BV70" s="36">
        <v>4</v>
      </c>
      <c r="BW70" s="36">
        <v>4</v>
      </c>
      <c r="BX70" s="36">
        <v>4</v>
      </c>
      <c r="BY70" s="36">
        <v>4</v>
      </c>
      <c r="BZ70" s="36">
        <v>4</v>
      </c>
      <c r="CA70" s="36">
        <v>5</v>
      </c>
      <c r="CB70" s="36">
        <v>4</v>
      </c>
      <c r="CC70" s="36">
        <v>5</v>
      </c>
      <c r="CD70" s="36">
        <v>3</v>
      </c>
      <c r="CE70" s="36">
        <v>5</v>
      </c>
      <c r="CF70" s="36">
        <v>3</v>
      </c>
      <c r="CG70" s="36">
        <v>3</v>
      </c>
      <c r="CH70" s="36" t="s">
        <v>226</v>
      </c>
      <c r="CI70" t="s">
        <v>229</v>
      </c>
      <c r="CJ70"/>
      <c r="CK70" s="36" t="s">
        <v>233</v>
      </c>
      <c r="CL70" t="s">
        <v>240</v>
      </c>
      <c r="CM70"/>
      <c r="CN70" s="36" t="s">
        <v>241</v>
      </c>
      <c r="CO70" s="36" t="s">
        <v>133</v>
      </c>
      <c r="CP70" s="36">
        <v>1</v>
      </c>
      <c r="CQ70" s="36">
        <v>5</v>
      </c>
      <c r="CR70" s="36" t="s">
        <v>249</v>
      </c>
      <c r="CS70" s="36">
        <v>5</v>
      </c>
      <c r="CT70" s="36">
        <v>5</v>
      </c>
      <c r="CU70" s="36">
        <v>5</v>
      </c>
      <c r="CV70" s="36">
        <v>5</v>
      </c>
      <c r="CW70" s="36">
        <v>5</v>
      </c>
      <c r="CX70" s="36">
        <v>5</v>
      </c>
      <c r="CY70" s="36">
        <v>5</v>
      </c>
      <c r="CZ70" s="36">
        <v>2</v>
      </c>
      <c r="DA70" s="36">
        <v>4</v>
      </c>
      <c r="DB70" s="36">
        <v>5</v>
      </c>
      <c r="DC70" s="36">
        <v>3</v>
      </c>
      <c r="DD70" s="36">
        <v>5</v>
      </c>
      <c r="DE70" s="36">
        <v>5</v>
      </c>
      <c r="DF70" s="36">
        <v>5</v>
      </c>
      <c r="DG70" s="36">
        <v>5</v>
      </c>
      <c r="DH70" s="36">
        <v>4</v>
      </c>
      <c r="DI70" s="36" t="s">
        <v>250</v>
      </c>
      <c r="DJ70" s="36" t="s">
        <v>133</v>
      </c>
      <c r="DK70" s="36" t="s">
        <v>254</v>
      </c>
      <c r="DL70" t="s">
        <v>255</v>
      </c>
      <c r="DM70"/>
      <c r="DN70"/>
      <c r="DO70" t="s">
        <v>256</v>
      </c>
      <c r="DP70" t="s">
        <v>257</v>
      </c>
      <c r="DQ70" s="36">
        <v>5</v>
      </c>
      <c r="DR70" s="36" t="s">
        <v>133</v>
      </c>
      <c r="DS70" s="36" t="s">
        <v>259</v>
      </c>
      <c r="DT70"/>
      <c r="DU70"/>
      <c r="DV70" t="s">
        <v>260</v>
      </c>
      <c r="DW70" t="s">
        <v>261</v>
      </c>
      <c r="DX70"/>
      <c r="DY70" s="36">
        <v>5</v>
      </c>
      <c r="DZ70" s="36" t="s">
        <v>133</v>
      </c>
      <c r="EA70" s="36">
        <v>4</v>
      </c>
      <c r="EB70" s="36" t="s">
        <v>263</v>
      </c>
      <c r="EC70" s="36" t="s">
        <v>267</v>
      </c>
      <c r="ED70" s="36">
        <v>26</v>
      </c>
      <c r="EE70" s="36" t="s">
        <v>358</v>
      </c>
      <c r="EF70" s="36" t="str">
        <f>Tabulacao!MC70</f>
        <v>Nossa Senhora do Socorro</v>
      </c>
      <c r="EG70" s="36" t="s">
        <v>358</v>
      </c>
      <c r="EH70" s="36" t="str">
        <f>Tabulacao!MG70</f>
        <v>Nossa Senhora do Socorro</v>
      </c>
      <c r="EI70" s="36" t="s">
        <v>358</v>
      </c>
      <c r="EJ70" s="36" t="str">
        <f>Tabulacao!MK70</f>
        <v>Nossa Senhora do Socorro</v>
      </c>
      <c r="EK70" s="36" t="s">
        <v>134</v>
      </c>
      <c r="EL70" s="36" t="s">
        <v>134</v>
      </c>
      <c r="EM70" s="36" t="s">
        <v>134</v>
      </c>
      <c r="EN70" s="36" t="s">
        <v>134</v>
      </c>
      <c r="EO70" s="36" t="s">
        <v>134</v>
      </c>
      <c r="EP70" s="36" t="s">
        <v>134</v>
      </c>
      <c r="EQ70" s="36" t="s">
        <v>275</v>
      </c>
      <c r="ER70" s="36" t="str">
        <f>IF(OR(EQ70=CaractAmostra!$BD$9,EQ70=CaractAmostra!$BD$10,EQ70=CaractAmostra!$BD$11,EQ70=CaractAmostra!$BD$12,EQ70=CaractAmostra!$BD$13),Respostas_Formatadas!EQ70,"Outros")</f>
        <v>Com os pais</v>
      </c>
      <c r="ES70" s="36" t="s">
        <v>275</v>
      </c>
      <c r="ET70" s="36" t="str">
        <f>IF(OR(ES70=CaractAmostra!$BH$9,ES70=CaractAmostra!$BH$10,ES70=CaractAmostra!$BH$11,ES70=CaractAmostra!$BH$12),Respostas_Formatadas!ES70,"Outros")</f>
        <v>Com os pais</v>
      </c>
      <c r="EU70" s="36" t="s">
        <v>134</v>
      </c>
      <c r="EV70" s="36" t="s">
        <v>285</v>
      </c>
      <c r="EW70" s="36" t="s">
        <v>285</v>
      </c>
      <c r="FE70" s="47">
        <v>2014</v>
      </c>
      <c r="FF70" s="97">
        <v>8.1056000000000008</v>
      </c>
      <c r="FI70" s="47" t="str">
        <f t="shared" si="2"/>
        <v>Aracaju</v>
      </c>
      <c r="FJ70" s="47" t="str">
        <f t="shared" si="3"/>
        <v>Tecnologia</v>
      </c>
    </row>
    <row r="71" spans="1:166" s="36" customFormat="1" ht="15.75" customHeight="1" x14ac:dyDescent="0.2">
      <c r="A71" s="38">
        <v>43407.988083379634</v>
      </c>
      <c r="C71" s="36" t="s">
        <v>122</v>
      </c>
      <c r="D71" s="47" t="s">
        <v>133</v>
      </c>
      <c r="E71" s="36" t="s">
        <v>135</v>
      </c>
      <c r="H71" s="36" t="s">
        <v>142</v>
      </c>
      <c r="M71" s="36" t="s">
        <v>146</v>
      </c>
      <c r="N71" s="36" t="s">
        <v>134</v>
      </c>
      <c r="O71" s="36" t="s">
        <v>133</v>
      </c>
      <c r="P71" s="36" t="s">
        <v>133</v>
      </c>
      <c r="Q71" s="36" t="s">
        <v>133</v>
      </c>
      <c r="R71" s="36" t="s">
        <v>151</v>
      </c>
      <c r="Y71" s="36" t="s">
        <v>165</v>
      </c>
      <c r="Z71" s="36" t="s">
        <v>168</v>
      </c>
      <c r="AA71" s="36" t="s">
        <v>173</v>
      </c>
      <c r="AB71" s="36" t="s">
        <v>181</v>
      </c>
      <c r="AD71" s="36" t="s">
        <v>472</v>
      </c>
      <c r="AE71" s="36">
        <v>3</v>
      </c>
      <c r="AF71" s="36" t="s">
        <v>190</v>
      </c>
      <c r="AG71" s="36" t="s">
        <v>190</v>
      </c>
      <c r="AH71" s="36" t="s">
        <v>134</v>
      </c>
      <c r="AI71" s="40">
        <v>680</v>
      </c>
      <c r="AJ71" s="36">
        <v>3</v>
      </c>
      <c r="AK71" s="36">
        <v>3</v>
      </c>
      <c r="AL71" s="36" t="s">
        <v>134</v>
      </c>
      <c r="AM71" s="36" t="s">
        <v>169</v>
      </c>
      <c r="AN71" s="36">
        <v>2</v>
      </c>
      <c r="AO71" s="36" t="s">
        <v>133</v>
      </c>
      <c r="AP71" s="36" t="s">
        <v>473</v>
      </c>
      <c r="AQ71" s="40">
        <v>954</v>
      </c>
      <c r="AR71" s="36">
        <v>1</v>
      </c>
      <c r="AS71" s="36">
        <v>1</v>
      </c>
      <c r="AT71" s="36">
        <v>2</v>
      </c>
      <c r="AU71" s="36">
        <v>1</v>
      </c>
      <c r="AV71" s="36">
        <v>1</v>
      </c>
      <c r="AW71" s="36" t="s">
        <v>193</v>
      </c>
      <c r="AX71" s="36" t="s">
        <v>205</v>
      </c>
      <c r="AY71" s="36" t="s">
        <v>210</v>
      </c>
      <c r="AZ71" s="36" t="s">
        <v>134</v>
      </c>
      <c r="BA71" s="36" t="s">
        <v>170</v>
      </c>
      <c r="BB71" s="36" t="s">
        <v>292</v>
      </c>
      <c r="BC71" s="36" t="s">
        <v>292</v>
      </c>
      <c r="BD71" s="36" t="s">
        <v>189</v>
      </c>
      <c r="BF71" s="36" t="s">
        <v>221</v>
      </c>
      <c r="BG71" s="36">
        <v>1</v>
      </c>
      <c r="BH71" s="36">
        <v>2</v>
      </c>
      <c r="BI71" s="36">
        <v>1</v>
      </c>
      <c r="BJ71" s="36">
        <v>3</v>
      </c>
      <c r="BK71" s="36">
        <v>1</v>
      </c>
      <c r="BL71" s="36">
        <v>1</v>
      </c>
      <c r="BM71" s="36">
        <v>1</v>
      </c>
      <c r="BN71" s="36">
        <v>5</v>
      </c>
      <c r="BO71" s="36">
        <v>1</v>
      </c>
      <c r="BP71" s="36">
        <v>1</v>
      </c>
      <c r="BQ71" s="36">
        <v>1</v>
      </c>
      <c r="BR71" s="36">
        <v>1</v>
      </c>
      <c r="BS71" s="36">
        <v>1</v>
      </c>
      <c r="BT71" s="36">
        <v>3</v>
      </c>
      <c r="BU71" s="36">
        <v>3</v>
      </c>
      <c r="BV71" s="36">
        <v>4</v>
      </c>
      <c r="BW71" s="36">
        <v>3</v>
      </c>
      <c r="BX71" s="36">
        <v>3</v>
      </c>
      <c r="BY71" s="36">
        <v>3</v>
      </c>
      <c r="BZ71" s="36">
        <v>3</v>
      </c>
      <c r="CA71" s="36">
        <v>5</v>
      </c>
      <c r="CB71" s="36">
        <v>3</v>
      </c>
      <c r="CC71" s="36">
        <v>3</v>
      </c>
      <c r="CD71" s="36">
        <v>2</v>
      </c>
      <c r="CE71" s="36">
        <v>4</v>
      </c>
      <c r="CF71" s="36">
        <v>1</v>
      </c>
      <c r="CG71" s="36">
        <v>2</v>
      </c>
      <c r="CH71" s="36" t="s">
        <v>222</v>
      </c>
      <c r="CI71"/>
      <c r="CJ71"/>
      <c r="CK71" s="36" t="s">
        <v>239</v>
      </c>
      <c r="CL71"/>
      <c r="CM71"/>
      <c r="CN71" s="36" t="s">
        <v>242</v>
      </c>
      <c r="CO71" s="36" t="s">
        <v>134</v>
      </c>
      <c r="CP71" s="36">
        <v>3</v>
      </c>
      <c r="CQ71" s="36">
        <v>4</v>
      </c>
      <c r="CR71" s="36" t="s">
        <v>248</v>
      </c>
      <c r="CS71" s="36">
        <v>3</v>
      </c>
      <c r="CT71" s="36">
        <v>2</v>
      </c>
      <c r="CU71" s="36">
        <v>4</v>
      </c>
      <c r="CV71" s="36">
        <v>5</v>
      </c>
      <c r="CW71" s="36">
        <v>3</v>
      </c>
      <c r="CX71" s="36">
        <v>3</v>
      </c>
      <c r="CY71" s="36">
        <v>3</v>
      </c>
      <c r="CZ71" s="36">
        <v>4</v>
      </c>
      <c r="DA71" s="36">
        <v>2</v>
      </c>
      <c r="DB71" s="36">
        <v>3</v>
      </c>
      <c r="DC71" s="36">
        <v>2</v>
      </c>
      <c r="DD71" s="36">
        <v>3</v>
      </c>
      <c r="DE71" s="36">
        <v>3</v>
      </c>
      <c r="DF71" s="36">
        <v>3</v>
      </c>
      <c r="DG71" s="36">
        <v>3</v>
      </c>
      <c r="DH71" s="36">
        <v>3</v>
      </c>
      <c r="DI71" s="36" t="s">
        <v>133</v>
      </c>
      <c r="DJ71" s="36" t="s">
        <v>134</v>
      </c>
      <c r="DL71"/>
      <c r="DM71"/>
      <c r="DN71"/>
      <c r="DO71"/>
      <c r="DP71"/>
      <c r="DR71" s="36" t="s">
        <v>133</v>
      </c>
      <c r="DS71" s="36" t="s">
        <v>258</v>
      </c>
      <c r="DT71" t="s">
        <v>259</v>
      </c>
      <c r="DU71"/>
      <c r="DV71"/>
      <c r="DW71" t="s">
        <v>261</v>
      </c>
      <c r="DX71"/>
      <c r="DY71" s="36">
        <v>4</v>
      </c>
      <c r="DZ71" s="36" t="s">
        <v>133</v>
      </c>
      <c r="EA71" s="36">
        <v>4</v>
      </c>
      <c r="EB71" s="36" t="s">
        <v>263</v>
      </c>
      <c r="EC71" s="36" t="s">
        <v>264</v>
      </c>
      <c r="ED71" s="36">
        <v>35</v>
      </c>
      <c r="EE71" s="36" t="s">
        <v>474</v>
      </c>
      <c r="EF71" s="36" t="str">
        <f>Tabulacao!MC71</f>
        <v>Nossa Senhora do Socorro</v>
      </c>
      <c r="EG71" s="36" t="s">
        <v>474</v>
      </c>
      <c r="EH71" s="36" t="str">
        <f>Tabulacao!MG71</f>
        <v>Nossa Senhora do Socorro</v>
      </c>
      <c r="EI71" s="36" t="s">
        <v>474</v>
      </c>
      <c r="EJ71" s="36" t="str">
        <f>Tabulacao!MK71</f>
        <v>Nossa Senhora do Socorro</v>
      </c>
      <c r="EK71" s="36" t="s">
        <v>134</v>
      </c>
      <c r="EL71" s="36" t="s">
        <v>134</v>
      </c>
      <c r="EM71" s="36" t="s">
        <v>134</v>
      </c>
      <c r="EN71" s="36" t="s">
        <v>134</v>
      </c>
      <c r="EO71" s="36" t="s">
        <v>134</v>
      </c>
      <c r="EP71" s="36" t="s">
        <v>134</v>
      </c>
      <c r="EQ71" s="36" t="s">
        <v>275</v>
      </c>
      <c r="ER71" s="36" t="str">
        <f>IF(OR(EQ71=CaractAmostra!$BD$9,EQ71=CaractAmostra!$BD$10,EQ71=CaractAmostra!$BD$11,EQ71=CaractAmostra!$BD$12,EQ71=CaractAmostra!$BD$13),Respostas_Formatadas!EQ71,"Outros")</f>
        <v>Com os pais</v>
      </c>
      <c r="ES71" s="36" t="s">
        <v>275</v>
      </c>
      <c r="ET71" s="36" t="str">
        <f>IF(OR(ES71=CaractAmostra!$BH$9,ES71=CaractAmostra!$BH$10,ES71=CaractAmostra!$BH$11,ES71=CaractAmostra!$BH$12),Respostas_Formatadas!ES71,"Outros")</f>
        <v>Com os pais</v>
      </c>
      <c r="EU71" s="36" t="s">
        <v>134</v>
      </c>
      <c r="EV71" s="36" t="s">
        <v>192</v>
      </c>
      <c r="EW71" s="36" t="s">
        <v>192</v>
      </c>
      <c r="FE71" s="47">
        <v>2014</v>
      </c>
      <c r="FF71" s="97">
        <v>7.0327000000000002</v>
      </c>
      <c r="FI71" s="47" t="str">
        <f t="shared" si="2"/>
        <v>Aracaju</v>
      </c>
      <c r="FJ71" s="47" t="str">
        <f t="shared" si="3"/>
        <v>Licenciatura</v>
      </c>
    </row>
    <row r="72" spans="1:166" s="36" customFormat="1" ht="15.75" customHeight="1" x14ac:dyDescent="0.2">
      <c r="A72" s="38">
        <v>43408.517778379624</v>
      </c>
      <c r="C72" s="36" t="s">
        <v>126</v>
      </c>
      <c r="D72" s="47" t="s">
        <v>133</v>
      </c>
      <c r="E72" s="36" t="s">
        <v>138</v>
      </c>
      <c r="F72" s="36" t="s">
        <v>139</v>
      </c>
      <c r="H72" s="36" t="s">
        <v>475</v>
      </c>
      <c r="M72" s="36" t="s">
        <v>146</v>
      </c>
      <c r="N72" s="36" t="s">
        <v>134</v>
      </c>
      <c r="O72" s="36" t="s">
        <v>134</v>
      </c>
      <c r="P72" s="36" t="s">
        <v>133</v>
      </c>
      <c r="Q72" s="36" t="s">
        <v>133</v>
      </c>
      <c r="R72" s="36" t="s">
        <v>151</v>
      </c>
      <c r="Y72" s="36" t="s">
        <v>134</v>
      </c>
      <c r="AI72" s="40"/>
      <c r="AQ72" s="40"/>
      <c r="BT72" s="36">
        <v>5</v>
      </c>
      <c r="BU72" s="36">
        <v>5</v>
      </c>
      <c r="BV72" s="36">
        <v>5</v>
      </c>
      <c r="BW72" s="36">
        <v>5</v>
      </c>
      <c r="BX72" s="36">
        <v>5</v>
      </c>
      <c r="BY72" s="36">
        <v>5</v>
      </c>
      <c r="BZ72" s="36">
        <v>5</v>
      </c>
      <c r="CA72" s="36">
        <v>5</v>
      </c>
      <c r="CB72" s="36">
        <v>5</v>
      </c>
      <c r="CC72" s="36">
        <v>5</v>
      </c>
      <c r="CD72" s="36">
        <v>5</v>
      </c>
      <c r="CE72" s="36">
        <v>5</v>
      </c>
      <c r="CF72" s="36">
        <v>3</v>
      </c>
      <c r="CG72" s="36">
        <v>1</v>
      </c>
      <c r="CH72" s="36" t="s">
        <v>476</v>
      </c>
      <c r="CI72"/>
      <c r="CJ72"/>
      <c r="CK72" s="36" t="s">
        <v>477</v>
      </c>
      <c r="CL72"/>
      <c r="CM72"/>
      <c r="CN72" s="36" t="s">
        <v>242</v>
      </c>
      <c r="CO72" s="36" t="s">
        <v>134</v>
      </c>
      <c r="CP72" s="36">
        <v>5</v>
      </c>
      <c r="CQ72" s="36">
        <v>5</v>
      </c>
      <c r="CR72" s="36" t="s">
        <v>248</v>
      </c>
      <c r="CS72" s="36">
        <v>1</v>
      </c>
      <c r="CT72" s="36">
        <v>3</v>
      </c>
      <c r="CU72" s="36">
        <v>5</v>
      </c>
      <c r="CV72" s="36">
        <v>3</v>
      </c>
      <c r="CW72" s="36">
        <v>3</v>
      </c>
      <c r="CX72" s="36">
        <v>3</v>
      </c>
      <c r="CY72" s="36">
        <v>3</v>
      </c>
      <c r="CZ72" s="36">
        <v>3</v>
      </c>
      <c r="DA72" s="36">
        <v>1</v>
      </c>
      <c r="DB72" s="36">
        <v>4</v>
      </c>
      <c r="DC72" s="36">
        <v>4</v>
      </c>
      <c r="DD72" s="36">
        <v>4</v>
      </c>
      <c r="DE72" s="36">
        <v>4</v>
      </c>
      <c r="DF72" s="36">
        <v>3</v>
      </c>
      <c r="DG72" s="36">
        <v>3</v>
      </c>
      <c r="DH72" s="36">
        <v>3</v>
      </c>
      <c r="DI72" s="36" t="s">
        <v>250</v>
      </c>
      <c r="DJ72" s="36" t="s">
        <v>133</v>
      </c>
      <c r="DK72" s="36" t="s">
        <v>255</v>
      </c>
      <c r="DL72"/>
      <c r="DM72"/>
      <c r="DN72"/>
      <c r="DO72"/>
      <c r="DP72"/>
      <c r="DQ72" s="36">
        <v>5</v>
      </c>
      <c r="DR72" s="36" t="s">
        <v>134</v>
      </c>
      <c r="DT72"/>
      <c r="DU72"/>
      <c r="DV72"/>
      <c r="DW72"/>
      <c r="DX72"/>
      <c r="DZ72" s="36" t="s">
        <v>133</v>
      </c>
      <c r="EA72" s="36">
        <v>5</v>
      </c>
      <c r="EB72" s="36" t="s">
        <v>262</v>
      </c>
      <c r="EC72" s="36" t="s">
        <v>267</v>
      </c>
      <c r="ED72" s="36">
        <v>34</v>
      </c>
      <c r="EE72" s="36" t="s">
        <v>478</v>
      </c>
      <c r="EF72" s="36" t="str">
        <f>Tabulacao!MC72</f>
        <v>Lagarto</v>
      </c>
      <c r="EG72" s="36" t="s">
        <v>478</v>
      </c>
      <c r="EH72" s="36" t="str">
        <f>Tabulacao!MG72</f>
        <v>Lagarto</v>
      </c>
      <c r="EI72" s="36" t="s">
        <v>479</v>
      </c>
      <c r="EJ72" s="36" t="str">
        <f>Tabulacao!MK72</f>
        <v>Salvador - BA</v>
      </c>
      <c r="EK72" s="36" t="s">
        <v>134</v>
      </c>
      <c r="EL72" s="36" t="s">
        <v>134</v>
      </c>
      <c r="EM72" s="36" t="s">
        <v>134</v>
      </c>
      <c r="EN72" s="36" t="s">
        <v>134</v>
      </c>
      <c r="EO72" s="36" t="s">
        <v>134</v>
      </c>
      <c r="EP72" s="36" t="s">
        <v>134</v>
      </c>
      <c r="EQ72" s="36" t="s">
        <v>274</v>
      </c>
      <c r="ER72" s="36" t="str">
        <f>IF(OR(EQ72=CaractAmostra!$BD$9,EQ72=CaractAmostra!$BD$10,EQ72=CaractAmostra!$BD$11,EQ72=CaractAmostra!$BD$12,EQ72=CaractAmostra!$BD$13),Respostas_Formatadas!EQ72,"Outros")</f>
        <v>Com um(a) parceiro(a)</v>
      </c>
      <c r="ES72" s="36" t="s">
        <v>278</v>
      </c>
      <c r="ET72" s="36" t="str">
        <f>IF(OR(ES72=CaractAmostra!$BH$9,ES72=CaractAmostra!$BH$10,ES72=CaractAmostra!$BH$11,ES72=CaractAmostra!$BH$12),Respostas_Formatadas!ES72,"Outros")</f>
        <v>Divido residência com outras pessoas</v>
      </c>
      <c r="EU72" s="36" t="s">
        <v>280</v>
      </c>
      <c r="EV72" s="36" t="s">
        <v>284</v>
      </c>
      <c r="EW72" s="36" t="s">
        <v>283</v>
      </c>
      <c r="FE72" s="47">
        <v>2013</v>
      </c>
      <c r="FF72" s="97">
        <v>7.8384999999999998</v>
      </c>
      <c r="FI72" s="47" t="str">
        <f t="shared" si="2"/>
        <v>Lagarto</v>
      </c>
      <c r="FJ72" s="47" t="str">
        <f t="shared" si="3"/>
        <v>Tecnologia</v>
      </c>
    </row>
    <row r="73" spans="1:166" s="36" customFormat="1" ht="15.75" customHeight="1" x14ac:dyDescent="0.2">
      <c r="A73" s="38">
        <v>43408.770133391205</v>
      </c>
      <c r="C73" s="36" t="s">
        <v>119</v>
      </c>
      <c r="D73" s="47" t="s">
        <v>134</v>
      </c>
      <c r="M73" s="36" t="s">
        <v>150</v>
      </c>
      <c r="N73" s="36" t="s">
        <v>133</v>
      </c>
      <c r="O73" s="36" t="s">
        <v>133</v>
      </c>
      <c r="P73" s="36" t="s">
        <v>133</v>
      </c>
      <c r="Q73" s="36" t="s">
        <v>133</v>
      </c>
      <c r="R73" s="36" t="s">
        <v>151</v>
      </c>
      <c r="Y73" s="36" t="s">
        <v>166</v>
      </c>
      <c r="AC73" s="36" t="s">
        <v>186</v>
      </c>
      <c r="AD73" s="36" t="s">
        <v>480</v>
      </c>
      <c r="AE73" s="36">
        <v>3</v>
      </c>
      <c r="AF73" s="36" t="s">
        <v>190</v>
      </c>
      <c r="AG73" s="36" t="s">
        <v>190</v>
      </c>
      <c r="AH73" s="36" t="s">
        <v>134</v>
      </c>
      <c r="AI73" s="40">
        <v>21350</v>
      </c>
      <c r="AJ73" s="36">
        <v>4</v>
      </c>
      <c r="AK73" s="36">
        <v>3</v>
      </c>
      <c r="AL73" s="36" t="s">
        <v>133</v>
      </c>
      <c r="AP73" s="36" t="s">
        <v>480</v>
      </c>
      <c r="AQ73" s="40">
        <v>26100</v>
      </c>
      <c r="AR73" s="36">
        <v>5</v>
      </c>
      <c r="AS73" s="36">
        <v>3</v>
      </c>
      <c r="AT73" s="36">
        <v>3</v>
      </c>
      <c r="AU73" s="36">
        <v>5</v>
      </c>
      <c r="AV73" s="36">
        <v>5</v>
      </c>
      <c r="AW73" s="36" t="s">
        <v>192</v>
      </c>
      <c r="AX73" s="36" t="s">
        <v>206</v>
      </c>
      <c r="AY73" s="36" t="s">
        <v>208</v>
      </c>
      <c r="AZ73" s="36" t="s">
        <v>133</v>
      </c>
      <c r="BA73" s="36" t="s">
        <v>170</v>
      </c>
      <c r="BB73" s="36" t="s">
        <v>292</v>
      </c>
      <c r="BC73" s="36" t="s">
        <v>292</v>
      </c>
      <c r="BD73" s="36" t="s">
        <v>190</v>
      </c>
      <c r="BG73" s="36">
        <v>5</v>
      </c>
      <c r="BH73" s="36">
        <v>5</v>
      </c>
      <c r="BI73" s="36">
        <v>5</v>
      </c>
      <c r="BJ73" s="36">
        <v>5</v>
      </c>
      <c r="BK73" s="36">
        <v>5</v>
      </c>
      <c r="BL73" s="36">
        <v>5</v>
      </c>
      <c r="BM73" s="36">
        <v>5</v>
      </c>
      <c r="BN73" s="36">
        <v>4</v>
      </c>
      <c r="BO73" s="36">
        <v>5</v>
      </c>
      <c r="BP73" s="36">
        <v>5</v>
      </c>
      <c r="BQ73" s="36">
        <v>5</v>
      </c>
      <c r="BR73" s="36">
        <v>5</v>
      </c>
      <c r="BS73" s="36">
        <v>3</v>
      </c>
      <c r="BT73" s="36">
        <v>5</v>
      </c>
      <c r="BU73" s="36">
        <v>5</v>
      </c>
      <c r="BV73" s="36">
        <v>4</v>
      </c>
      <c r="BW73" s="36">
        <v>5</v>
      </c>
      <c r="BX73" s="36">
        <v>5</v>
      </c>
      <c r="BY73" s="36">
        <v>5</v>
      </c>
      <c r="BZ73" s="36">
        <v>5</v>
      </c>
      <c r="CA73" s="36">
        <v>5</v>
      </c>
      <c r="CB73" s="36">
        <v>5</v>
      </c>
      <c r="CC73" s="36">
        <v>5</v>
      </c>
      <c r="CD73" s="36">
        <v>5</v>
      </c>
      <c r="CE73" s="36">
        <v>5</v>
      </c>
      <c r="CF73" s="36">
        <v>3</v>
      </c>
      <c r="CG73" s="36">
        <v>5</v>
      </c>
      <c r="CH73" s="36" t="s">
        <v>481</v>
      </c>
      <c r="CI73"/>
      <c r="CJ73"/>
      <c r="CK73" s="36" t="s">
        <v>192</v>
      </c>
      <c r="CL73"/>
      <c r="CM73"/>
      <c r="CN73" s="36" t="s">
        <v>242</v>
      </c>
      <c r="CO73" s="36" t="s">
        <v>134</v>
      </c>
      <c r="CP73" s="36">
        <v>5</v>
      </c>
      <c r="CQ73" s="36">
        <v>5</v>
      </c>
      <c r="CR73" s="36" t="s">
        <v>249</v>
      </c>
      <c r="CS73" s="36">
        <v>5</v>
      </c>
      <c r="CT73" s="36">
        <v>5</v>
      </c>
      <c r="CU73" s="36">
        <v>5</v>
      </c>
      <c r="CV73" s="36">
        <v>5</v>
      </c>
      <c r="CW73" s="36">
        <v>5</v>
      </c>
      <c r="CX73" s="36">
        <v>5</v>
      </c>
      <c r="CY73" s="36">
        <v>5</v>
      </c>
      <c r="CZ73" s="36">
        <v>5</v>
      </c>
      <c r="DA73" s="36">
        <v>5</v>
      </c>
      <c r="DB73" s="36">
        <v>5</v>
      </c>
      <c r="DC73" s="36">
        <v>5</v>
      </c>
      <c r="DD73" s="36">
        <v>5</v>
      </c>
      <c r="DE73" s="36">
        <v>5</v>
      </c>
      <c r="DF73" s="36">
        <v>5</v>
      </c>
      <c r="DG73" s="36">
        <v>5</v>
      </c>
      <c r="DH73" s="36">
        <v>5</v>
      </c>
      <c r="DI73" s="36" t="s">
        <v>133</v>
      </c>
      <c r="DJ73" s="36" t="s">
        <v>133</v>
      </c>
      <c r="DK73" s="36" t="s">
        <v>255</v>
      </c>
      <c r="DL73"/>
      <c r="DM73"/>
      <c r="DN73"/>
      <c r="DO73"/>
      <c r="DP73"/>
      <c r="DQ73" s="36">
        <v>5</v>
      </c>
      <c r="DR73" s="36" t="s">
        <v>134</v>
      </c>
      <c r="DT73"/>
      <c r="DU73"/>
      <c r="DV73"/>
      <c r="DW73"/>
      <c r="DX73"/>
      <c r="DZ73" s="36" t="s">
        <v>134</v>
      </c>
      <c r="EB73" s="36" t="s">
        <v>262</v>
      </c>
      <c r="EC73" s="36" t="s">
        <v>267</v>
      </c>
      <c r="ED73" s="36">
        <v>40</v>
      </c>
      <c r="EE73" s="36" t="s">
        <v>292</v>
      </c>
      <c r="EF73" s="36" t="str">
        <f>Tabulacao!MC73</f>
        <v>Aracaju</v>
      </c>
      <c r="EG73" s="36" t="s">
        <v>292</v>
      </c>
      <c r="EH73" s="36" t="str">
        <f>Tabulacao!MG73</f>
        <v>Aracaju</v>
      </c>
      <c r="EI73" s="36" t="s">
        <v>292</v>
      </c>
      <c r="EJ73" s="36" t="str">
        <f>Tabulacao!MK73</f>
        <v>Aracaju</v>
      </c>
      <c r="EK73" s="36" t="s">
        <v>134</v>
      </c>
      <c r="EL73" s="36" t="s">
        <v>134</v>
      </c>
      <c r="EM73" s="36" t="s">
        <v>134</v>
      </c>
      <c r="EN73" s="36" t="s">
        <v>134</v>
      </c>
      <c r="EO73" s="36" t="s">
        <v>134</v>
      </c>
      <c r="EP73" s="36" t="s">
        <v>134</v>
      </c>
      <c r="EQ73" s="36" t="s">
        <v>482</v>
      </c>
      <c r="ER73" s="36" t="str">
        <f>IF(OR(EQ73=CaractAmostra!$BD$9,EQ73=CaractAmostra!$BD$10,EQ73=CaractAmostra!$BD$11,EQ73=CaractAmostra!$BD$12,EQ73=CaractAmostra!$BD$13),Respostas_Formatadas!EQ73,"Outros")</f>
        <v>Outros</v>
      </c>
      <c r="ES73" s="36" t="s">
        <v>482</v>
      </c>
      <c r="ET73" s="36" t="str">
        <f>IF(OR(ES73=CaractAmostra!$BH$9,ES73=CaractAmostra!$BH$10,ES73=CaractAmostra!$BH$11,ES73=CaractAmostra!$BH$12),Respostas_Formatadas!ES73,"Outros")</f>
        <v>Outros</v>
      </c>
      <c r="EU73" s="36" t="s">
        <v>280</v>
      </c>
      <c r="EV73" s="36" t="s">
        <v>287</v>
      </c>
      <c r="EW73" s="36" t="s">
        <v>282</v>
      </c>
      <c r="FE73" s="47">
        <v>2017</v>
      </c>
      <c r="FF73" s="97">
        <v>7.8418999999999999</v>
      </c>
      <c r="FI73" s="47" t="str">
        <f t="shared" si="2"/>
        <v>Aracaju</v>
      </c>
      <c r="FJ73" s="47" t="str">
        <f t="shared" si="3"/>
        <v>Bacharelado</v>
      </c>
    </row>
    <row r="74" spans="1:166" s="36" customFormat="1" ht="15.75" customHeight="1" x14ac:dyDescent="0.2">
      <c r="A74" s="38">
        <v>43408.785898078699</v>
      </c>
      <c r="C74" s="36" t="s">
        <v>122</v>
      </c>
      <c r="D74" s="47" t="s">
        <v>133</v>
      </c>
      <c r="E74" s="36" t="s">
        <v>135</v>
      </c>
      <c r="H74" s="36" t="s">
        <v>141</v>
      </c>
      <c r="M74" s="36" t="s">
        <v>147</v>
      </c>
      <c r="N74" s="36" t="s">
        <v>134</v>
      </c>
      <c r="O74" s="36" t="s">
        <v>133</v>
      </c>
      <c r="P74" s="36" t="s">
        <v>133</v>
      </c>
      <c r="Q74" s="36" t="s">
        <v>133</v>
      </c>
      <c r="R74" s="36" t="s">
        <v>151</v>
      </c>
      <c r="Y74" s="36" t="s">
        <v>165</v>
      </c>
      <c r="Z74" s="36" t="s">
        <v>167</v>
      </c>
      <c r="AA74" s="36" t="s">
        <v>172</v>
      </c>
      <c r="AB74" s="36" t="s">
        <v>184</v>
      </c>
      <c r="AD74" s="36" t="s">
        <v>388</v>
      </c>
      <c r="AE74" s="36">
        <v>5</v>
      </c>
      <c r="AF74" s="36" t="s">
        <v>190</v>
      </c>
      <c r="AG74" s="36" t="s">
        <v>190</v>
      </c>
      <c r="AH74" s="36" t="s">
        <v>134</v>
      </c>
      <c r="AI74" s="40">
        <v>2300</v>
      </c>
      <c r="AJ74" s="36">
        <v>4</v>
      </c>
      <c r="AK74" s="36">
        <v>4</v>
      </c>
      <c r="AL74" s="36" t="s">
        <v>133</v>
      </c>
      <c r="AP74" s="36" t="s">
        <v>388</v>
      </c>
      <c r="AQ74" s="40">
        <v>3916</v>
      </c>
      <c r="AR74" s="36">
        <v>3</v>
      </c>
      <c r="AS74" s="36">
        <v>4</v>
      </c>
      <c r="AT74" s="36">
        <v>3</v>
      </c>
      <c r="AU74" s="36">
        <v>3</v>
      </c>
      <c r="AV74" s="36">
        <v>4</v>
      </c>
      <c r="AW74" s="36" t="s">
        <v>200</v>
      </c>
      <c r="AX74" s="36" t="s">
        <v>204</v>
      </c>
      <c r="AY74" s="36" t="s">
        <v>208</v>
      </c>
      <c r="AZ74" s="36" t="s">
        <v>134</v>
      </c>
      <c r="BA74" s="36" t="s">
        <v>170</v>
      </c>
      <c r="BB74" s="36" t="s">
        <v>292</v>
      </c>
      <c r="BC74" s="36" t="s">
        <v>292</v>
      </c>
      <c r="BD74" s="36" t="s">
        <v>190</v>
      </c>
      <c r="BG74" s="36">
        <v>5</v>
      </c>
      <c r="BH74" s="36">
        <v>4</v>
      </c>
      <c r="BI74" s="36">
        <v>5</v>
      </c>
      <c r="BJ74" s="36">
        <v>5</v>
      </c>
      <c r="BK74" s="36">
        <v>5</v>
      </c>
      <c r="BL74" s="36">
        <v>5</v>
      </c>
      <c r="BM74" s="36">
        <v>5</v>
      </c>
      <c r="BN74" s="36">
        <v>5</v>
      </c>
      <c r="BO74" s="36">
        <v>5</v>
      </c>
      <c r="BP74" s="36">
        <v>5</v>
      </c>
      <c r="BQ74" s="36">
        <v>5</v>
      </c>
      <c r="BR74" s="36">
        <v>3</v>
      </c>
      <c r="BS74" s="36">
        <v>1</v>
      </c>
      <c r="BT74" s="36">
        <v>5</v>
      </c>
      <c r="BU74" s="36">
        <v>5</v>
      </c>
      <c r="BV74" s="36">
        <v>5</v>
      </c>
      <c r="BW74" s="36">
        <v>5</v>
      </c>
      <c r="BX74" s="36">
        <v>5</v>
      </c>
      <c r="BY74" s="36">
        <v>5</v>
      </c>
      <c r="BZ74" s="36">
        <v>5</v>
      </c>
      <c r="CA74" s="36">
        <v>5</v>
      </c>
      <c r="CB74" s="36">
        <v>5</v>
      </c>
      <c r="CC74" s="36">
        <v>5</v>
      </c>
      <c r="CD74" s="36">
        <v>4</v>
      </c>
      <c r="CE74" s="36">
        <v>3</v>
      </c>
      <c r="CF74" s="36">
        <v>3</v>
      </c>
      <c r="CG74" s="36">
        <v>5</v>
      </c>
      <c r="CH74" s="36" t="s">
        <v>483</v>
      </c>
      <c r="CI74"/>
      <c r="CJ74"/>
      <c r="CK74" s="36" t="s">
        <v>232</v>
      </c>
      <c r="CL74" t="s">
        <v>233</v>
      </c>
      <c r="CM74" t="s">
        <v>239</v>
      </c>
      <c r="CN74" s="36" t="s">
        <v>242</v>
      </c>
      <c r="CO74" s="36" t="s">
        <v>134</v>
      </c>
      <c r="CP74" s="36">
        <v>1</v>
      </c>
      <c r="CQ74" s="36">
        <v>5</v>
      </c>
      <c r="CR74" s="36" t="s">
        <v>248</v>
      </c>
      <c r="CS74" s="36">
        <v>4</v>
      </c>
      <c r="CT74" s="36">
        <v>4</v>
      </c>
      <c r="CU74" s="36">
        <v>4</v>
      </c>
      <c r="CV74" s="36">
        <v>4</v>
      </c>
      <c r="CW74" s="36">
        <v>4</v>
      </c>
      <c r="CX74" s="36">
        <v>4</v>
      </c>
      <c r="CY74" s="36">
        <v>5</v>
      </c>
      <c r="CZ74" s="36">
        <v>5</v>
      </c>
      <c r="DA74" s="36">
        <v>3</v>
      </c>
      <c r="DB74" s="36">
        <v>4</v>
      </c>
      <c r="DC74" s="36">
        <v>3</v>
      </c>
      <c r="DD74" s="36">
        <v>5</v>
      </c>
      <c r="DE74" s="36">
        <v>5</v>
      </c>
      <c r="DF74" s="36">
        <v>5</v>
      </c>
      <c r="DG74" s="36">
        <v>5</v>
      </c>
      <c r="DH74" s="36">
        <v>5</v>
      </c>
      <c r="DI74" s="36" t="s">
        <v>133</v>
      </c>
      <c r="DJ74" s="36" t="s">
        <v>133</v>
      </c>
      <c r="DK74" s="36" t="s">
        <v>255</v>
      </c>
      <c r="DL74"/>
      <c r="DM74"/>
      <c r="DN74" t="s">
        <v>1040</v>
      </c>
      <c r="DO74" t="s">
        <v>1041</v>
      </c>
      <c r="DP74" t="s">
        <v>1042</v>
      </c>
      <c r="DQ74" s="36">
        <v>4</v>
      </c>
      <c r="DR74" s="36" t="s">
        <v>134</v>
      </c>
      <c r="DT74"/>
      <c r="DU74"/>
      <c r="DV74"/>
      <c r="DW74"/>
      <c r="DX74"/>
      <c r="DZ74" s="36" t="s">
        <v>134</v>
      </c>
      <c r="EB74" s="36" t="s">
        <v>263</v>
      </c>
      <c r="EC74" s="36" t="s">
        <v>265</v>
      </c>
      <c r="ED74" s="36">
        <v>34</v>
      </c>
      <c r="EE74" s="36" t="s">
        <v>292</v>
      </c>
      <c r="EF74" s="36" t="str">
        <f>Tabulacao!MC74</f>
        <v>Aracaju</v>
      </c>
      <c r="EG74" s="36" t="s">
        <v>292</v>
      </c>
      <c r="EH74" s="36" t="str">
        <f>Tabulacao!MG74</f>
        <v>Aracaju</v>
      </c>
      <c r="EI74" s="36" t="s">
        <v>292</v>
      </c>
      <c r="EJ74" s="36" t="str">
        <f>Tabulacao!MK74</f>
        <v>Aracaju</v>
      </c>
      <c r="EK74" s="36" t="s">
        <v>134</v>
      </c>
      <c r="EL74" s="36" t="s">
        <v>134</v>
      </c>
      <c r="EM74" s="36" t="s">
        <v>134</v>
      </c>
      <c r="EN74" s="36" t="s">
        <v>134</v>
      </c>
      <c r="EO74" s="36" t="s">
        <v>134</v>
      </c>
      <c r="EP74" s="36" t="s">
        <v>134</v>
      </c>
      <c r="EQ74" s="36" t="s">
        <v>273</v>
      </c>
      <c r="ER74" s="36" t="str">
        <f>IF(OR(EQ74=CaractAmostra!$BD$9,EQ74=CaractAmostra!$BD$10,EQ74=CaractAmostra!$BD$11,EQ74=CaractAmostra!$BD$12,EQ74=CaractAmostra!$BD$13),Respostas_Formatadas!EQ74,"Outros")</f>
        <v>Dividia residência com outras pessoas</v>
      </c>
      <c r="ES74" s="36" t="s">
        <v>274</v>
      </c>
      <c r="ET74" s="36" t="str">
        <f>IF(OR(ES74=CaractAmostra!$BH$9,ES74=CaractAmostra!$BH$10,ES74=CaractAmostra!$BH$11,ES74=CaractAmostra!$BH$12),Respostas_Formatadas!ES74,"Outros")</f>
        <v>Com um(a) parceiro(a)</v>
      </c>
      <c r="EU74" s="36" t="s">
        <v>134</v>
      </c>
      <c r="EV74" s="36" t="s">
        <v>192</v>
      </c>
      <c r="EW74" s="36" t="s">
        <v>287</v>
      </c>
      <c r="FD74" s="36" t="s">
        <v>484</v>
      </c>
      <c r="FE74" s="47">
        <v>2012</v>
      </c>
      <c r="FF74" s="97">
        <v>7.2980999999999998</v>
      </c>
      <c r="FI74" s="47" t="str">
        <f t="shared" si="2"/>
        <v>Aracaju</v>
      </c>
      <c r="FJ74" s="47" t="str">
        <f t="shared" si="3"/>
        <v>Licenciatura</v>
      </c>
    </row>
    <row r="75" spans="1:166" s="36" customFormat="1" ht="15.75" customHeight="1" x14ac:dyDescent="0.2">
      <c r="A75" s="38">
        <v>43408.924785300929</v>
      </c>
      <c r="C75" s="36" t="s">
        <v>122</v>
      </c>
      <c r="D75" s="47" t="s">
        <v>134</v>
      </c>
      <c r="M75" s="36" t="s">
        <v>146</v>
      </c>
      <c r="N75" s="36" t="s">
        <v>134</v>
      </c>
      <c r="O75" s="36" t="s">
        <v>133</v>
      </c>
      <c r="P75" s="36" t="s">
        <v>134</v>
      </c>
      <c r="Q75" s="36" t="s">
        <v>134</v>
      </c>
      <c r="R75" s="36" t="s">
        <v>151</v>
      </c>
      <c r="Y75" s="36" t="s">
        <v>165</v>
      </c>
      <c r="Z75" s="36" t="s">
        <v>167</v>
      </c>
      <c r="AA75" s="36" t="s">
        <v>171</v>
      </c>
      <c r="AB75" s="36" t="s">
        <v>181</v>
      </c>
      <c r="AD75" s="36" t="s">
        <v>388</v>
      </c>
      <c r="AE75" s="36">
        <v>5</v>
      </c>
      <c r="AF75" s="36" t="s">
        <v>190</v>
      </c>
      <c r="AG75" s="36" t="s">
        <v>190</v>
      </c>
      <c r="AH75" s="36" t="s">
        <v>134</v>
      </c>
      <c r="AI75" s="40">
        <v>2700</v>
      </c>
      <c r="AJ75" s="36">
        <v>5</v>
      </c>
      <c r="AK75" s="36">
        <v>1</v>
      </c>
      <c r="AL75" s="36" t="s">
        <v>133</v>
      </c>
      <c r="AP75" s="36" t="s">
        <v>388</v>
      </c>
      <c r="AQ75" s="40">
        <v>3400</v>
      </c>
      <c r="AR75" s="36">
        <v>3</v>
      </c>
      <c r="AS75" s="36">
        <v>5</v>
      </c>
      <c r="AT75" s="36">
        <v>1</v>
      </c>
      <c r="AU75" s="36">
        <v>4</v>
      </c>
      <c r="AV75" s="36">
        <v>5</v>
      </c>
      <c r="AW75" s="36" t="s">
        <v>192</v>
      </c>
      <c r="AX75" s="36" t="s">
        <v>204</v>
      </c>
      <c r="AY75" s="36" t="s">
        <v>208</v>
      </c>
      <c r="AZ75" s="36" t="s">
        <v>134</v>
      </c>
      <c r="BA75" s="36" t="s">
        <v>170</v>
      </c>
      <c r="BB75" s="36" t="s">
        <v>485</v>
      </c>
      <c r="BC75" s="36" t="s">
        <v>358</v>
      </c>
      <c r="BD75" s="36" t="s">
        <v>190</v>
      </c>
      <c r="BG75" s="36">
        <v>5</v>
      </c>
      <c r="BH75" s="36">
        <v>4</v>
      </c>
      <c r="BI75" s="36">
        <v>5</v>
      </c>
      <c r="BJ75" s="36">
        <v>4</v>
      </c>
      <c r="BK75" s="36">
        <v>5</v>
      </c>
      <c r="BL75" s="36">
        <v>5</v>
      </c>
      <c r="BM75" s="36">
        <v>5</v>
      </c>
      <c r="BN75" s="36">
        <v>4</v>
      </c>
      <c r="BO75" s="36">
        <v>4</v>
      </c>
      <c r="BP75" s="36">
        <v>4</v>
      </c>
      <c r="BQ75" s="36">
        <v>4</v>
      </c>
      <c r="BR75" s="36">
        <v>4</v>
      </c>
      <c r="BS75" s="36">
        <v>1</v>
      </c>
      <c r="BT75" s="36">
        <v>5</v>
      </c>
      <c r="BU75" s="36">
        <v>4</v>
      </c>
      <c r="BV75" s="36">
        <v>4</v>
      </c>
      <c r="BW75" s="36">
        <v>4</v>
      </c>
      <c r="BX75" s="36">
        <v>4</v>
      </c>
      <c r="BY75" s="36">
        <v>5</v>
      </c>
      <c r="BZ75" s="36">
        <v>5</v>
      </c>
      <c r="CA75" s="36">
        <v>5</v>
      </c>
      <c r="CB75" s="36">
        <v>4</v>
      </c>
      <c r="CC75" s="36">
        <v>5</v>
      </c>
      <c r="CD75" s="36">
        <v>5</v>
      </c>
      <c r="CE75" s="36">
        <v>4</v>
      </c>
      <c r="CF75" s="36">
        <v>3</v>
      </c>
      <c r="CG75" s="36">
        <v>5</v>
      </c>
      <c r="CH75" s="36" t="s">
        <v>225</v>
      </c>
      <c r="CI75" t="s">
        <v>226</v>
      </c>
      <c r="CJ75" t="s">
        <v>229</v>
      </c>
      <c r="CK75" s="36" t="s">
        <v>233</v>
      </c>
      <c r="CL75" t="s">
        <v>234</v>
      </c>
      <c r="CM75" t="s">
        <v>235</v>
      </c>
      <c r="CN75" s="36" t="s">
        <v>242</v>
      </c>
      <c r="CO75" s="36" t="s">
        <v>134</v>
      </c>
      <c r="CP75" s="36">
        <v>5</v>
      </c>
      <c r="CQ75" s="36">
        <v>5</v>
      </c>
      <c r="CR75" s="36" t="s">
        <v>248</v>
      </c>
      <c r="CS75" s="36">
        <v>3</v>
      </c>
      <c r="CT75" s="36">
        <v>3</v>
      </c>
      <c r="CU75" s="36">
        <v>3</v>
      </c>
      <c r="CV75" s="36">
        <v>3</v>
      </c>
      <c r="CW75" s="36">
        <v>2</v>
      </c>
      <c r="CX75" s="36">
        <v>4</v>
      </c>
      <c r="CY75" s="36">
        <v>3</v>
      </c>
      <c r="CZ75" s="36">
        <v>5</v>
      </c>
      <c r="DA75" s="36">
        <v>2</v>
      </c>
      <c r="DB75" s="36">
        <v>2</v>
      </c>
      <c r="DC75" s="36">
        <v>3</v>
      </c>
      <c r="DD75" s="36">
        <v>5</v>
      </c>
      <c r="DE75" s="36">
        <v>5</v>
      </c>
      <c r="DF75" s="36">
        <v>5</v>
      </c>
      <c r="DG75" s="36">
        <v>5</v>
      </c>
      <c r="DH75" s="36">
        <v>4</v>
      </c>
      <c r="DI75" s="36" t="s">
        <v>250</v>
      </c>
      <c r="DJ75" s="36" t="s">
        <v>133</v>
      </c>
      <c r="DK75" s="36" t="s">
        <v>254</v>
      </c>
      <c r="DL75"/>
      <c r="DM75"/>
      <c r="DN75"/>
      <c r="DO75"/>
      <c r="DP75"/>
      <c r="DQ75" s="36">
        <v>3</v>
      </c>
      <c r="DR75" s="36" t="s">
        <v>133</v>
      </c>
      <c r="DS75" s="36" t="s">
        <v>258</v>
      </c>
      <c r="DT75"/>
      <c r="DU75"/>
      <c r="DV75"/>
      <c r="DW75"/>
      <c r="DX75"/>
      <c r="DY75" s="36">
        <v>4</v>
      </c>
      <c r="DZ75" s="36" t="s">
        <v>134</v>
      </c>
      <c r="EB75" s="36" t="s">
        <v>262</v>
      </c>
      <c r="EC75" s="36" t="s">
        <v>267</v>
      </c>
      <c r="ED75" s="36">
        <v>27</v>
      </c>
      <c r="EE75" s="36" t="s">
        <v>358</v>
      </c>
      <c r="EF75" s="36" t="str">
        <f>Tabulacao!MC75</f>
        <v>Nossa Senhora do Socorro</v>
      </c>
      <c r="EG75" s="36" t="s">
        <v>358</v>
      </c>
      <c r="EH75" s="36" t="str">
        <f>Tabulacao!MG75</f>
        <v>Nossa Senhora do Socorro</v>
      </c>
      <c r="EI75" s="36" t="s">
        <v>358</v>
      </c>
      <c r="EJ75" s="36" t="str">
        <f>Tabulacao!MK75</f>
        <v>Nossa Senhora do Socorro</v>
      </c>
      <c r="EK75" s="36" t="s">
        <v>134</v>
      </c>
      <c r="EL75" s="36" t="s">
        <v>134</v>
      </c>
      <c r="EM75" s="36" t="s">
        <v>134</v>
      </c>
      <c r="EN75" s="36" t="s">
        <v>134</v>
      </c>
      <c r="EO75" s="36" t="s">
        <v>134</v>
      </c>
      <c r="EP75" s="36" t="s">
        <v>134</v>
      </c>
      <c r="EQ75" s="36" t="s">
        <v>275</v>
      </c>
      <c r="ER75" s="36" t="str">
        <f>IF(OR(EQ75=CaractAmostra!$BD$9,EQ75=CaractAmostra!$BD$10,EQ75=CaractAmostra!$BD$11,EQ75=CaractAmostra!$BD$12,EQ75=CaractAmostra!$BD$13),Respostas_Formatadas!EQ75,"Outros")</f>
        <v>Com os pais</v>
      </c>
      <c r="ES75" s="36" t="s">
        <v>275</v>
      </c>
      <c r="ET75" s="36" t="str">
        <f>IF(OR(ES75=CaractAmostra!$BH$9,ES75=CaractAmostra!$BH$10,ES75=CaractAmostra!$BH$11,ES75=CaractAmostra!$BH$12),Respostas_Formatadas!ES75,"Outros")</f>
        <v>Com os pais</v>
      </c>
      <c r="EU75" s="36" t="s">
        <v>134</v>
      </c>
      <c r="EV75" s="36" t="s">
        <v>287</v>
      </c>
      <c r="EW75" s="36" t="s">
        <v>286</v>
      </c>
      <c r="FE75" s="47">
        <v>2014</v>
      </c>
      <c r="FF75" s="97">
        <v>7.1425999999999998</v>
      </c>
      <c r="FI75" s="47" t="str">
        <f t="shared" si="2"/>
        <v>Aracaju</v>
      </c>
      <c r="FJ75" s="47" t="str">
        <f t="shared" si="3"/>
        <v>Licenciatura</v>
      </c>
    </row>
    <row r="76" spans="1:166" s="36" customFormat="1" ht="15.75" customHeight="1" x14ac:dyDescent="0.2">
      <c r="A76" s="38">
        <v>43408.929302395831</v>
      </c>
      <c r="C76" s="36" t="s">
        <v>119</v>
      </c>
      <c r="D76" s="47" t="s">
        <v>134</v>
      </c>
      <c r="M76" s="36" t="s">
        <v>146</v>
      </c>
      <c r="N76" s="36" t="s">
        <v>134</v>
      </c>
      <c r="O76" s="36" t="s">
        <v>133</v>
      </c>
      <c r="P76" s="36" t="s">
        <v>134</v>
      </c>
      <c r="Q76" s="36" t="s">
        <v>134</v>
      </c>
      <c r="R76" s="36" t="s">
        <v>151</v>
      </c>
      <c r="Y76" s="36" t="s">
        <v>134</v>
      </c>
      <c r="AI76" s="40"/>
      <c r="AQ76" s="40"/>
      <c r="BT76" s="36">
        <v>4</v>
      </c>
      <c r="BU76" s="36">
        <v>3</v>
      </c>
      <c r="BV76" s="36">
        <v>3</v>
      </c>
      <c r="BW76" s="36">
        <v>4</v>
      </c>
      <c r="BX76" s="36">
        <v>4</v>
      </c>
      <c r="BY76" s="36">
        <v>4</v>
      </c>
      <c r="BZ76" s="36">
        <v>3</v>
      </c>
      <c r="CA76" s="36">
        <v>3</v>
      </c>
      <c r="CB76" s="36">
        <v>3</v>
      </c>
      <c r="CC76" s="36">
        <v>3</v>
      </c>
      <c r="CD76" s="36">
        <v>2</v>
      </c>
      <c r="CE76" s="36">
        <v>2</v>
      </c>
      <c r="CF76" s="36">
        <v>2</v>
      </c>
      <c r="CG76" s="36">
        <v>3</v>
      </c>
      <c r="CH76" s="36" t="s">
        <v>222</v>
      </c>
      <c r="CI76" t="s">
        <v>225</v>
      </c>
      <c r="CJ76" t="s">
        <v>231</v>
      </c>
      <c r="CK76" s="36" t="s">
        <v>233</v>
      </c>
      <c r="CL76" t="s">
        <v>239</v>
      </c>
      <c r="CM76" t="s">
        <v>240</v>
      </c>
      <c r="CN76" s="36" t="s">
        <v>242</v>
      </c>
      <c r="CO76" s="36" t="s">
        <v>134</v>
      </c>
      <c r="CP76" s="36">
        <v>3</v>
      </c>
      <c r="CQ76" s="36">
        <v>3</v>
      </c>
      <c r="CR76" s="36" t="s">
        <v>248</v>
      </c>
      <c r="CS76" s="36">
        <v>4</v>
      </c>
      <c r="CT76" s="36">
        <v>3</v>
      </c>
      <c r="CU76" s="36">
        <v>2</v>
      </c>
      <c r="CV76" s="36">
        <v>3</v>
      </c>
      <c r="CW76" s="36">
        <v>3</v>
      </c>
      <c r="CX76" s="36">
        <v>4</v>
      </c>
      <c r="CY76" s="36">
        <v>3</v>
      </c>
      <c r="CZ76" s="36">
        <v>4</v>
      </c>
      <c r="DA76" s="36">
        <v>3</v>
      </c>
      <c r="DB76" s="36">
        <v>3</v>
      </c>
      <c r="DC76" s="36">
        <v>2</v>
      </c>
      <c r="DD76" s="36">
        <v>4</v>
      </c>
      <c r="DE76" s="36">
        <v>2</v>
      </c>
      <c r="DF76" s="36">
        <v>3</v>
      </c>
      <c r="DG76" s="36">
        <v>3</v>
      </c>
      <c r="DH76" s="36">
        <v>3</v>
      </c>
      <c r="DI76" s="36" t="s">
        <v>252</v>
      </c>
      <c r="DJ76" s="36" t="s">
        <v>134</v>
      </c>
      <c r="DL76"/>
      <c r="DM76"/>
      <c r="DN76"/>
      <c r="DO76"/>
      <c r="DP76"/>
      <c r="DR76" s="36" t="s">
        <v>134</v>
      </c>
      <c r="DT76"/>
      <c r="DU76"/>
      <c r="DV76"/>
      <c r="DW76"/>
      <c r="DX76"/>
      <c r="DZ76" s="36" t="s">
        <v>134</v>
      </c>
      <c r="EB76" s="36" t="s">
        <v>263</v>
      </c>
      <c r="EC76" s="36" t="s">
        <v>267</v>
      </c>
      <c r="ED76" s="36">
        <v>27</v>
      </c>
      <c r="EE76" s="36" t="s">
        <v>292</v>
      </c>
      <c r="EF76" s="36" t="str">
        <f>Tabulacao!MC76</f>
        <v>Aracaju</v>
      </c>
      <c r="EG76" s="36" t="s">
        <v>292</v>
      </c>
      <c r="EH76" s="36" t="str">
        <f>Tabulacao!MG76</f>
        <v>Aracaju</v>
      </c>
      <c r="EI76" s="36" t="s">
        <v>292</v>
      </c>
      <c r="EJ76" s="36" t="str">
        <f>Tabulacao!MK76</f>
        <v>Aracaju</v>
      </c>
      <c r="EK76" s="36" t="s">
        <v>134</v>
      </c>
      <c r="EL76" s="36" t="s">
        <v>134</v>
      </c>
      <c r="EM76" s="36" t="s">
        <v>134</v>
      </c>
      <c r="EN76" s="36" t="s">
        <v>134</v>
      </c>
      <c r="EO76" s="36" t="s">
        <v>134</v>
      </c>
      <c r="EP76" s="36" t="s">
        <v>134</v>
      </c>
      <c r="EQ76" s="36" t="s">
        <v>275</v>
      </c>
      <c r="ER76" s="36" t="str">
        <f>IF(OR(EQ76=CaractAmostra!$BD$9,EQ76=CaractAmostra!$BD$10,EQ76=CaractAmostra!$BD$11,EQ76=CaractAmostra!$BD$12,EQ76=CaractAmostra!$BD$13),Respostas_Formatadas!EQ76,"Outros")</f>
        <v>Com os pais</v>
      </c>
      <c r="ES76" s="36" t="s">
        <v>275</v>
      </c>
      <c r="ET76" s="36" t="str">
        <f>IF(OR(ES76=CaractAmostra!$BH$9,ES76=CaractAmostra!$BH$10,ES76=CaractAmostra!$BH$11,ES76=CaractAmostra!$BH$12),Respostas_Formatadas!ES76,"Outros")</f>
        <v>Com os pais</v>
      </c>
      <c r="EU76" s="36" t="s">
        <v>134</v>
      </c>
      <c r="EV76" s="36" t="s">
        <v>287</v>
      </c>
      <c r="EW76" s="36" t="s">
        <v>287</v>
      </c>
      <c r="FE76" s="47">
        <v>2017</v>
      </c>
      <c r="FF76" s="97">
        <v>7.0797999999999996</v>
      </c>
      <c r="FI76" s="47" t="str">
        <f t="shared" si="2"/>
        <v>Aracaju</v>
      </c>
      <c r="FJ76" s="47" t="str">
        <f t="shared" si="3"/>
        <v>Bacharelado</v>
      </c>
    </row>
    <row r="77" spans="1:166" s="36" customFormat="1" ht="15.75" customHeight="1" x14ac:dyDescent="0.2">
      <c r="A77" s="38">
        <v>43409.023059722225</v>
      </c>
      <c r="C77" s="36" t="s">
        <v>128</v>
      </c>
      <c r="D77" s="47" t="s">
        <v>134</v>
      </c>
      <c r="M77" s="36" t="s">
        <v>150</v>
      </c>
      <c r="N77" s="36" t="s">
        <v>134</v>
      </c>
      <c r="O77" s="36" t="s">
        <v>133</v>
      </c>
      <c r="P77" s="36" t="s">
        <v>133</v>
      </c>
      <c r="Q77" s="36" t="s">
        <v>133</v>
      </c>
      <c r="R77" s="36" t="s">
        <v>151</v>
      </c>
      <c r="Y77" s="36" t="s">
        <v>166</v>
      </c>
      <c r="AC77" s="36" t="s">
        <v>186</v>
      </c>
      <c r="AD77" s="36" t="s">
        <v>472</v>
      </c>
      <c r="AE77" s="36">
        <v>2</v>
      </c>
      <c r="AF77" s="36" t="s">
        <v>486</v>
      </c>
      <c r="AG77" s="36" t="s">
        <v>189</v>
      </c>
      <c r="AH77" s="36" t="s">
        <v>134</v>
      </c>
      <c r="AI77" s="40">
        <v>2350</v>
      </c>
      <c r="AJ77" s="36">
        <v>5</v>
      </c>
      <c r="AK77" s="36">
        <v>2</v>
      </c>
      <c r="AL77" s="36" t="s">
        <v>133</v>
      </c>
      <c r="AP77" s="36" t="s">
        <v>472</v>
      </c>
      <c r="AQ77" s="40">
        <v>3800</v>
      </c>
      <c r="AR77" s="36">
        <v>4</v>
      </c>
      <c r="AS77" s="36">
        <v>4</v>
      </c>
      <c r="AT77" s="36">
        <v>3</v>
      </c>
      <c r="AU77" s="36">
        <v>5</v>
      </c>
      <c r="AV77" s="36">
        <v>5</v>
      </c>
      <c r="AW77" s="36" t="s">
        <v>197</v>
      </c>
      <c r="AX77" s="36" t="s">
        <v>203</v>
      </c>
      <c r="AY77" s="36" t="s">
        <v>208</v>
      </c>
      <c r="AZ77" s="36" t="s">
        <v>133</v>
      </c>
      <c r="BA77" s="36" t="s">
        <v>170</v>
      </c>
      <c r="BB77" s="36" t="s">
        <v>487</v>
      </c>
      <c r="BC77" s="36" t="s">
        <v>328</v>
      </c>
      <c r="BD77" s="36" t="s">
        <v>190</v>
      </c>
      <c r="BG77" s="36">
        <v>4</v>
      </c>
      <c r="BH77" s="36">
        <v>4</v>
      </c>
      <c r="BI77" s="36">
        <v>4</v>
      </c>
      <c r="BJ77" s="36">
        <v>4</v>
      </c>
      <c r="BK77" s="36">
        <v>5</v>
      </c>
      <c r="BL77" s="36">
        <v>5</v>
      </c>
      <c r="BM77" s="36">
        <v>5</v>
      </c>
      <c r="BN77" s="36">
        <v>4</v>
      </c>
      <c r="BO77" s="36">
        <v>4</v>
      </c>
      <c r="BP77" s="36">
        <v>4</v>
      </c>
      <c r="BQ77" s="36">
        <v>4</v>
      </c>
      <c r="BR77" s="36">
        <v>4</v>
      </c>
      <c r="BS77" s="36">
        <v>3</v>
      </c>
      <c r="BT77" s="36">
        <v>4</v>
      </c>
      <c r="BU77" s="36">
        <v>3</v>
      </c>
      <c r="BV77" s="36">
        <v>4</v>
      </c>
      <c r="BW77" s="36">
        <v>3</v>
      </c>
      <c r="BX77" s="36">
        <v>5</v>
      </c>
      <c r="BY77" s="36">
        <v>5</v>
      </c>
      <c r="BZ77" s="36">
        <v>4</v>
      </c>
      <c r="CA77" s="36">
        <v>3</v>
      </c>
      <c r="CB77" s="36">
        <v>4</v>
      </c>
      <c r="CC77" s="36">
        <v>4</v>
      </c>
      <c r="CD77" s="36">
        <v>4</v>
      </c>
      <c r="CE77" s="36">
        <v>3</v>
      </c>
      <c r="CF77" s="36">
        <v>3</v>
      </c>
      <c r="CG77" s="36">
        <v>4</v>
      </c>
      <c r="CH77" s="36" t="s">
        <v>488</v>
      </c>
      <c r="CI77"/>
      <c r="CJ77"/>
      <c r="CK77" s="36" t="s">
        <v>236</v>
      </c>
      <c r="CL77" t="s">
        <v>239</v>
      </c>
      <c r="CM77" t="s">
        <v>240</v>
      </c>
      <c r="CN77" s="36" t="s">
        <v>242</v>
      </c>
      <c r="CO77" s="36" t="s">
        <v>134</v>
      </c>
      <c r="CP77" s="36">
        <v>5</v>
      </c>
      <c r="CQ77" s="36">
        <v>5</v>
      </c>
      <c r="CR77" s="36" t="s">
        <v>249</v>
      </c>
      <c r="CS77" s="36">
        <v>4</v>
      </c>
      <c r="CT77" s="36">
        <v>4</v>
      </c>
      <c r="CU77" s="36">
        <v>1</v>
      </c>
      <c r="CV77" s="36">
        <v>1</v>
      </c>
      <c r="CW77" s="36">
        <v>5</v>
      </c>
      <c r="CX77" s="36">
        <v>5</v>
      </c>
      <c r="CY77" s="36">
        <v>5</v>
      </c>
      <c r="CZ77" s="36">
        <v>4</v>
      </c>
      <c r="DA77" s="36">
        <v>4</v>
      </c>
      <c r="DB77" s="36">
        <v>3</v>
      </c>
      <c r="DC77" s="36">
        <v>3</v>
      </c>
      <c r="DD77" s="36">
        <v>4</v>
      </c>
      <c r="DE77" s="36">
        <v>4</v>
      </c>
      <c r="DF77" s="36">
        <v>5</v>
      </c>
      <c r="DG77" s="36">
        <v>4</v>
      </c>
      <c r="DH77" s="36">
        <v>5</v>
      </c>
      <c r="DI77" s="36" t="s">
        <v>133</v>
      </c>
      <c r="DJ77" s="36" t="s">
        <v>134</v>
      </c>
      <c r="DL77"/>
      <c r="DM77"/>
      <c r="DN77"/>
      <c r="DO77"/>
      <c r="DP77"/>
      <c r="DR77" s="36" t="s">
        <v>134</v>
      </c>
      <c r="DT77"/>
      <c r="DU77"/>
      <c r="DV77"/>
      <c r="DW77"/>
      <c r="DX77"/>
      <c r="DZ77" s="36" t="s">
        <v>133</v>
      </c>
      <c r="EA77" s="36">
        <v>3</v>
      </c>
      <c r="EB77" s="36" t="s">
        <v>262</v>
      </c>
      <c r="EC77" s="36" t="s">
        <v>267</v>
      </c>
      <c r="ED77" s="36">
        <v>49</v>
      </c>
      <c r="EE77" s="36" t="s">
        <v>489</v>
      </c>
      <c r="EF77" s="36" t="str">
        <f>Tabulacao!MC77</f>
        <v>Nossa Senhora da Glória</v>
      </c>
      <c r="EG77" s="36" t="s">
        <v>490</v>
      </c>
      <c r="EH77" s="36" t="str">
        <f>Tabulacao!MG77</f>
        <v>Nossa Senhora da Glória</v>
      </c>
      <c r="EI77" s="36" t="s">
        <v>491</v>
      </c>
      <c r="EJ77" s="36" t="str">
        <f>Tabulacao!MK77</f>
        <v>Nossa Senhora da Glória</v>
      </c>
      <c r="EK77" s="36" t="s">
        <v>134</v>
      </c>
      <c r="EL77" s="36" t="s">
        <v>134</v>
      </c>
      <c r="EM77" s="36" t="s">
        <v>134</v>
      </c>
      <c r="EN77" s="36" t="s">
        <v>134</v>
      </c>
      <c r="EO77" s="36" t="s">
        <v>134</v>
      </c>
      <c r="EP77" s="36" t="s">
        <v>134</v>
      </c>
      <c r="EQ77" s="36" t="s">
        <v>275</v>
      </c>
      <c r="ER77" s="36" t="str">
        <f>IF(OR(EQ77=CaractAmostra!$BD$9,EQ77=CaractAmostra!$BD$10,EQ77=CaractAmostra!$BD$11,EQ77=CaractAmostra!$BD$12,EQ77=CaractAmostra!$BD$13),Respostas_Formatadas!EQ77,"Outros")</f>
        <v>Com os pais</v>
      </c>
      <c r="ES77" s="36" t="s">
        <v>275</v>
      </c>
      <c r="ET77" s="36" t="str">
        <f>IF(OR(ES77=CaractAmostra!$BH$9,ES77=CaractAmostra!$BH$10,ES77=CaractAmostra!$BH$11,ES77=CaractAmostra!$BH$12),Respostas_Formatadas!ES77,"Outros")</f>
        <v>Com os pais</v>
      </c>
      <c r="EU77" s="36" t="s">
        <v>279</v>
      </c>
      <c r="EV77" s="36" t="s">
        <v>192</v>
      </c>
      <c r="EW77" s="36" t="s">
        <v>282</v>
      </c>
      <c r="FD77" s="36" t="s">
        <v>492</v>
      </c>
      <c r="FE77" s="47">
        <v>2015</v>
      </c>
      <c r="FF77" s="97">
        <v>8.0523000000000007</v>
      </c>
      <c r="FI77" s="47" t="str">
        <f t="shared" si="2"/>
        <v>Nossa Senhora da Glória</v>
      </c>
      <c r="FJ77" s="47" t="str">
        <f t="shared" si="3"/>
        <v>Tecnologia</v>
      </c>
    </row>
    <row r="78" spans="1:166" s="36" customFormat="1" ht="15.75" customHeight="1" x14ac:dyDescent="0.2">
      <c r="A78" s="38">
        <v>43409.345292662038</v>
      </c>
      <c r="C78" s="36" t="s">
        <v>126</v>
      </c>
      <c r="D78" s="47" t="s">
        <v>133</v>
      </c>
      <c r="E78" s="36" t="s">
        <v>135</v>
      </c>
      <c r="F78" s="36" t="s">
        <v>138</v>
      </c>
      <c r="H78" s="36" t="s">
        <v>144</v>
      </c>
      <c r="M78" s="36" t="s">
        <v>147</v>
      </c>
      <c r="N78" s="36" t="s">
        <v>133</v>
      </c>
      <c r="O78" s="36" t="s">
        <v>133</v>
      </c>
      <c r="P78" s="36" t="s">
        <v>134</v>
      </c>
      <c r="Q78" s="36" t="s">
        <v>134</v>
      </c>
      <c r="R78" s="36" t="s">
        <v>151</v>
      </c>
      <c r="Y78" s="36" t="s">
        <v>165</v>
      </c>
      <c r="Z78" s="36" t="s">
        <v>168</v>
      </c>
      <c r="AA78" s="36" t="s">
        <v>173</v>
      </c>
      <c r="AB78" s="36" t="s">
        <v>182</v>
      </c>
      <c r="AD78" s="36" t="s">
        <v>388</v>
      </c>
      <c r="AE78" s="36">
        <v>5</v>
      </c>
      <c r="AF78" s="36" t="s">
        <v>190</v>
      </c>
      <c r="AG78" s="36" t="s">
        <v>190</v>
      </c>
      <c r="AH78" s="36" t="s">
        <v>134</v>
      </c>
      <c r="AI78" s="40">
        <v>2700</v>
      </c>
      <c r="AJ78" s="36">
        <v>5</v>
      </c>
      <c r="AK78" s="36">
        <v>3</v>
      </c>
      <c r="AL78" s="36" t="s">
        <v>134</v>
      </c>
      <c r="AM78" s="36" t="s">
        <v>168</v>
      </c>
      <c r="AN78" s="36">
        <v>3</v>
      </c>
      <c r="AO78" s="36" t="s">
        <v>133</v>
      </c>
      <c r="AP78" s="36" t="s">
        <v>493</v>
      </c>
      <c r="AQ78" s="40">
        <v>1500</v>
      </c>
      <c r="AR78" s="36">
        <v>3</v>
      </c>
      <c r="AS78" s="36">
        <v>3</v>
      </c>
      <c r="AT78" s="36">
        <v>3</v>
      </c>
      <c r="AU78" s="36">
        <v>4</v>
      </c>
      <c r="AV78" s="36">
        <v>3</v>
      </c>
      <c r="AW78" s="36" t="s">
        <v>201</v>
      </c>
      <c r="AX78" s="36" t="s">
        <v>206</v>
      </c>
      <c r="AY78" s="36" t="s">
        <v>211</v>
      </c>
      <c r="BG78" s="36">
        <v>3</v>
      </c>
      <c r="BH78" s="36">
        <v>3</v>
      </c>
      <c r="BI78" s="36">
        <v>4</v>
      </c>
      <c r="BJ78" s="36">
        <v>2</v>
      </c>
      <c r="BK78" s="36">
        <v>3</v>
      </c>
      <c r="BL78" s="36">
        <v>4</v>
      </c>
      <c r="BM78" s="36">
        <v>4</v>
      </c>
      <c r="BN78" s="36">
        <v>5</v>
      </c>
      <c r="BO78" s="36">
        <v>4</v>
      </c>
      <c r="BP78" s="36">
        <v>4</v>
      </c>
      <c r="BQ78" s="36">
        <v>3</v>
      </c>
      <c r="BR78" s="36">
        <v>1</v>
      </c>
      <c r="BS78" s="36">
        <v>1</v>
      </c>
      <c r="BT78" s="36">
        <v>5</v>
      </c>
      <c r="BU78" s="36">
        <v>3</v>
      </c>
      <c r="BV78" s="36">
        <v>4</v>
      </c>
      <c r="BW78" s="36">
        <v>3</v>
      </c>
      <c r="BX78" s="36">
        <v>3</v>
      </c>
      <c r="BY78" s="36">
        <v>4</v>
      </c>
      <c r="BZ78" s="36">
        <v>4</v>
      </c>
      <c r="CA78" s="36">
        <v>5</v>
      </c>
      <c r="CB78" s="36">
        <v>4</v>
      </c>
      <c r="CC78" s="36">
        <v>3</v>
      </c>
      <c r="CD78" s="36">
        <v>3</v>
      </c>
      <c r="CE78" s="36">
        <v>3</v>
      </c>
      <c r="CF78" s="36">
        <v>3</v>
      </c>
      <c r="CG78" s="36">
        <v>3</v>
      </c>
      <c r="CH78" s="36" t="s">
        <v>225</v>
      </c>
      <c r="CI78"/>
      <c r="CJ78"/>
      <c r="CK78" s="36" t="s">
        <v>240</v>
      </c>
      <c r="CL78"/>
      <c r="CM78"/>
      <c r="CN78" s="36" t="s">
        <v>242</v>
      </c>
      <c r="CO78" s="36" t="s">
        <v>134</v>
      </c>
      <c r="CP78" s="36">
        <v>1</v>
      </c>
      <c r="CQ78" s="36">
        <v>4</v>
      </c>
      <c r="CR78" s="36" t="s">
        <v>248</v>
      </c>
      <c r="CS78" s="36">
        <v>2</v>
      </c>
      <c r="CT78" s="36">
        <v>2</v>
      </c>
      <c r="CU78" s="36">
        <v>4</v>
      </c>
      <c r="CV78" s="36">
        <v>3</v>
      </c>
      <c r="CW78" s="36">
        <v>4</v>
      </c>
      <c r="CX78" s="36">
        <v>4</v>
      </c>
      <c r="CY78" s="36">
        <v>3</v>
      </c>
      <c r="CZ78" s="36">
        <v>3</v>
      </c>
      <c r="DA78" s="36">
        <v>2</v>
      </c>
      <c r="DB78" s="36">
        <v>2</v>
      </c>
      <c r="DC78" s="36">
        <v>3</v>
      </c>
      <c r="DD78" s="36">
        <v>4</v>
      </c>
      <c r="DE78" s="36">
        <v>4</v>
      </c>
      <c r="DF78" s="36">
        <v>4</v>
      </c>
      <c r="DG78" s="36">
        <v>4</v>
      </c>
      <c r="DH78" s="36">
        <v>3</v>
      </c>
      <c r="DI78" s="36" t="s">
        <v>252</v>
      </c>
      <c r="DJ78" s="36" t="s">
        <v>133</v>
      </c>
      <c r="DK78" s="36" t="s">
        <v>254</v>
      </c>
      <c r="DL78" t="s">
        <v>255</v>
      </c>
      <c r="DM78"/>
      <c r="DN78"/>
      <c r="DO78" t="s">
        <v>256</v>
      </c>
      <c r="DP78" t="s">
        <v>257</v>
      </c>
      <c r="DQ78" s="36">
        <v>5</v>
      </c>
      <c r="DR78" s="36" t="s">
        <v>134</v>
      </c>
      <c r="DT78"/>
      <c r="DU78"/>
      <c r="DV78"/>
      <c r="DW78"/>
      <c r="DX78"/>
      <c r="DZ78" s="36" t="s">
        <v>134</v>
      </c>
      <c r="EB78" s="36" t="s">
        <v>262</v>
      </c>
      <c r="EC78" s="36" t="s">
        <v>267</v>
      </c>
      <c r="ED78" s="36">
        <v>27</v>
      </c>
      <c r="EE78" s="36" t="s">
        <v>291</v>
      </c>
      <c r="EF78" s="36" t="str">
        <f>Tabulacao!MC78</f>
        <v>Lagarto</v>
      </c>
      <c r="EG78" s="36" t="s">
        <v>291</v>
      </c>
      <c r="EH78" s="36" t="str">
        <f>Tabulacao!MG78</f>
        <v>Lagarto</v>
      </c>
      <c r="EI78" s="36" t="s">
        <v>291</v>
      </c>
      <c r="EJ78" s="36" t="str">
        <f>Tabulacao!MK78</f>
        <v>Lagarto</v>
      </c>
      <c r="EK78" s="36" t="s">
        <v>134</v>
      </c>
      <c r="EL78" s="36" t="s">
        <v>134</v>
      </c>
      <c r="EM78" s="36" t="s">
        <v>134</v>
      </c>
      <c r="EN78" s="36" t="s">
        <v>134</v>
      </c>
      <c r="EO78" s="36" t="s">
        <v>134</v>
      </c>
      <c r="EP78" s="36" t="s">
        <v>134</v>
      </c>
      <c r="EQ78" s="36" t="s">
        <v>275</v>
      </c>
      <c r="ER78" s="36" t="str">
        <f>IF(OR(EQ78=CaractAmostra!$BD$9,EQ78=CaractAmostra!$BD$10,EQ78=CaractAmostra!$BD$11,EQ78=CaractAmostra!$BD$12,EQ78=CaractAmostra!$BD$13),Respostas_Formatadas!EQ78,"Outros")</f>
        <v>Com os pais</v>
      </c>
      <c r="ES78" s="36" t="s">
        <v>275</v>
      </c>
      <c r="ET78" s="36" t="str">
        <f>IF(OR(ES78=CaractAmostra!$BH$9,ES78=CaractAmostra!$BH$10,ES78=CaractAmostra!$BH$11,ES78=CaractAmostra!$BH$12),Respostas_Formatadas!ES78,"Outros")</f>
        <v>Com os pais</v>
      </c>
      <c r="EU78" s="36" t="s">
        <v>134</v>
      </c>
      <c r="EV78" s="36" t="s">
        <v>285</v>
      </c>
      <c r="EW78" s="36" t="s">
        <v>285</v>
      </c>
      <c r="FE78" s="47">
        <v>2013</v>
      </c>
      <c r="FF78" s="97">
        <v>8.1768999999999998</v>
      </c>
      <c r="FI78" s="47" t="str">
        <f t="shared" si="2"/>
        <v>Lagarto</v>
      </c>
      <c r="FJ78" s="47" t="str">
        <f t="shared" si="3"/>
        <v>Tecnologia</v>
      </c>
    </row>
    <row r="79" spans="1:166" s="36" customFormat="1" ht="15.75" customHeight="1" x14ac:dyDescent="0.2">
      <c r="A79" s="38">
        <v>43409.363241527783</v>
      </c>
      <c r="C79" s="36" t="s">
        <v>127</v>
      </c>
      <c r="D79" s="47" t="s">
        <v>134</v>
      </c>
      <c r="M79" s="36" t="s">
        <v>146</v>
      </c>
      <c r="N79" s="36" t="s">
        <v>133</v>
      </c>
      <c r="O79" s="36" t="s">
        <v>133</v>
      </c>
      <c r="P79" s="36" t="s">
        <v>133</v>
      </c>
      <c r="Q79" s="36" t="s">
        <v>134</v>
      </c>
      <c r="R79" s="36" t="s">
        <v>151</v>
      </c>
      <c r="Y79" s="36" t="s">
        <v>165</v>
      </c>
      <c r="Z79" s="36" t="s">
        <v>168</v>
      </c>
      <c r="AA79" s="36" t="s">
        <v>173</v>
      </c>
      <c r="AB79" s="36" t="s">
        <v>179</v>
      </c>
      <c r="AD79" s="36" t="s">
        <v>494</v>
      </c>
      <c r="AE79" s="36">
        <v>4</v>
      </c>
      <c r="AF79" s="36" t="s">
        <v>190</v>
      </c>
      <c r="AG79" s="36" t="s">
        <v>190</v>
      </c>
      <c r="AH79" s="36" t="s">
        <v>134</v>
      </c>
      <c r="AI79" s="40">
        <v>1500</v>
      </c>
      <c r="AJ79" s="36">
        <v>4</v>
      </c>
      <c r="AK79" s="36">
        <v>4</v>
      </c>
      <c r="AL79" s="36" t="s">
        <v>133</v>
      </c>
      <c r="AP79" s="36" t="s">
        <v>494</v>
      </c>
      <c r="AQ79" s="40">
        <v>1500</v>
      </c>
      <c r="AR79" s="36">
        <v>3</v>
      </c>
      <c r="AS79" s="36">
        <v>4</v>
      </c>
      <c r="AT79" s="36">
        <v>4</v>
      </c>
      <c r="AU79" s="36">
        <v>3</v>
      </c>
      <c r="AV79" s="36">
        <v>3</v>
      </c>
      <c r="AW79" s="36" t="s">
        <v>192</v>
      </c>
      <c r="AX79" s="36" t="s">
        <v>204</v>
      </c>
      <c r="AY79" s="36" t="s">
        <v>208</v>
      </c>
      <c r="AZ79" s="36" t="s">
        <v>133</v>
      </c>
      <c r="BA79" s="36" t="s">
        <v>213</v>
      </c>
      <c r="BB79" s="36" t="s">
        <v>495</v>
      </c>
      <c r="BC79" s="36" t="s">
        <v>1279</v>
      </c>
      <c r="BD79" s="36" t="s">
        <v>190</v>
      </c>
      <c r="BG79" s="36">
        <v>4</v>
      </c>
      <c r="BH79" s="36">
        <v>4</v>
      </c>
      <c r="BI79" s="36">
        <v>5</v>
      </c>
      <c r="BJ79" s="36">
        <v>3</v>
      </c>
      <c r="BK79" s="36">
        <v>5</v>
      </c>
      <c r="BL79" s="36">
        <v>5</v>
      </c>
      <c r="BM79" s="36">
        <v>5</v>
      </c>
      <c r="BN79" s="36">
        <v>3</v>
      </c>
      <c r="BO79" s="36">
        <v>4</v>
      </c>
      <c r="BP79" s="36">
        <v>4</v>
      </c>
      <c r="BQ79" s="36">
        <v>3</v>
      </c>
      <c r="BR79" s="36">
        <v>5</v>
      </c>
      <c r="BS79" s="36">
        <v>1</v>
      </c>
      <c r="BT79" s="36">
        <v>4</v>
      </c>
      <c r="BU79" s="36">
        <v>4</v>
      </c>
      <c r="BV79" s="36">
        <v>4</v>
      </c>
      <c r="BW79" s="36">
        <v>4</v>
      </c>
      <c r="BX79" s="36">
        <v>5</v>
      </c>
      <c r="BY79" s="36">
        <v>5</v>
      </c>
      <c r="BZ79" s="36">
        <v>5</v>
      </c>
      <c r="CA79" s="36">
        <v>4</v>
      </c>
      <c r="CB79" s="36">
        <v>4</v>
      </c>
      <c r="CC79" s="36">
        <v>5</v>
      </c>
      <c r="CD79" s="36">
        <v>5</v>
      </c>
      <c r="CE79" s="36">
        <v>3</v>
      </c>
      <c r="CF79" s="36">
        <v>1</v>
      </c>
      <c r="CG79" s="36">
        <v>3</v>
      </c>
      <c r="CH79" s="36" t="s">
        <v>222</v>
      </c>
      <c r="CI79" t="s">
        <v>225</v>
      </c>
      <c r="CJ79"/>
      <c r="CK79" s="36" t="s">
        <v>233</v>
      </c>
      <c r="CL79" t="s">
        <v>234</v>
      </c>
      <c r="CM79" t="s">
        <v>239</v>
      </c>
      <c r="CN79" s="36" t="s">
        <v>242</v>
      </c>
      <c r="CO79" s="36" t="s">
        <v>134</v>
      </c>
      <c r="CP79" s="36">
        <v>4</v>
      </c>
      <c r="CQ79" s="36">
        <v>4</v>
      </c>
      <c r="CR79" s="36" t="s">
        <v>248</v>
      </c>
      <c r="CS79" s="36">
        <v>4</v>
      </c>
      <c r="CT79" s="36">
        <v>2</v>
      </c>
      <c r="CU79" s="36">
        <v>3</v>
      </c>
      <c r="CV79" s="36">
        <v>1</v>
      </c>
      <c r="CW79" s="36">
        <v>2</v>
      </c>
      <c r="CX79" s="36">
        <v>5</v>
      </c>
      <c r="CY79" s="36">
        <v>4</v>
      </c>
      <c r="CZ79" s="36">
        <v>2</v>
      </c>
      <c r="DA79" s="36">
        <v>3</v>
      </c>
      <c r="DB79" s="36">
        <v>3</v>
      </c>
      <c r="DC79" s="36">
        <v>4</v>
      </c>
      <c r="DD79" s="36">
        <v>4</v>
      </c>
      <c r="DE79" s="36">
        <v>5</v>
      </c>
      <c r="DF79" s="36">
        <v>4</v>
      </c>
      <c r="DG79" s="36">
        <v>4</v>
      </c>
      <c r="DH79" s="36">
        <v>2</v>
      </c>
      <c r="DI79" s="36" t="s">
        <v>133</v>
      </c>
      <c r="DJ79" s="36" t="s">
        <v>134</v>
      </c>
      <c r="DL79"/>
      <c r="DM79"/>
      <c r="DN79"/>
      <c r="DO79"/>
      <c r="DP79"/>
      <c r="DR79" s="36" t="s">
        <v>133</v>
      </c>
      <c r="DS79" s="36" t="s">
        <v>260</v>
      </c>
      <c r="DT79" t="s">
        <v>1048</v>
      </c>
      <c r="DU79"/>
      <c r="DV79"/>
      <c r="DW79"/>
      <c r="DX79"/>
      <c r="DY79" s="36">
        <v>4</v>
      </c>
      <c r="DZ79" s="36" t="s">
        <v>134</v>
      </c>
      <c r="EB79" s="36" t="s">
        <v>262</v>
      </c>
      <c r="EC79" s="36" t="s">
        <v>264</v>
      </c>
      <c r="ED79" s="36">
        <v>36</v>
      </c>
      <c r="EE79" s="36" t="s">
        <v>495</v>
      </c>
      <c r="EF79" s="36" t="str">
        <f>Tabulacao!MC79</f>
        <v>Frei Paulo</v>
      </c>
      <c r="EG79" s="36" t="s">
        <v>496</v>
      </c>
      <c r="EH79" s="36" t="str">
        <f>Tabulacao!MG79</f>
        <v>Itabaiana</v>
      </c>
      <c r="EI79" s="36" t="s">
        <v>495</v>
      </c>
      <c r="EJ79" s="36" t="str">
        <f>Tabulacao!MK79</f>
        <v>Frei Paulo</v>
      </c>
      <c r="EK79" s="36" t="s">
        <v>134</v>
      </c>
      <c r="EL79" s="36" t="s">
        <v>134</v>
      </c>
      <c r="EM79" s="36" t="s">
        <v>134</v>
      </c>
      <c r="EN79" s="36" t="s">
        <v>134</v>
      </c>
      <c r="EO79" s="36" t="s">
        <v>134</v>
      </c>
      <c r="EP79" s="36" t="s">
        <v>134</v>
      </c>
      <c r="EQ79" s="36" t="s">
        <v>272</v>
      </c>
      <c r="ER79" s="36" t="str">
        <f>IF(OR(EQ79=CaractAmostra!$BD$9,EQ79=CaractAmostra!$BD$10,EQ79=CaractAmostra!$BD$11,EQ79=CaractAmostra!$BD$12,EQ79=CaractAmostra!$BD$13),Respostas_Formatadas!EQ79,"Outros")</f>
        <v>Morava sozinho</v>
      </c>
      <c r="ES79" s="36" t="s">
        <v>277</v>
      </c>
      <c r="ET79" s="36" t="str">
        <f>IF(OR(ES79=CaractAmostra!$BH$9,ES79=CaractAmostra!$BH$10,ES79=CaractAmostra!$BH$11,ES79=CaractAmostra!$BH$12),Respostas_Formatadas!ES79,"Outros")</f>
        <v>Sozinho</v>
      </c>
      <c r="EU79" s="36" t="s">
        <v>134</v>
      </c>
      <c r="EV79" s="36" t="s">
        <v>285</v>
      </c>
      <c r="EW79" s="36" t="s">
        <v>285</v>
      </c>
      <c r="FE79" s="47">
        <v>2017</v>
      </c>
      <c r="FF79" s="97">
        <v>8.4666999999999994</v>
      </c>
      <c r="FI79" s="47" t="str">
        <f t="shared" si="2"/>
        <v>Itabaiana</v>
      </c>
      <c r="FJ79" s="47" t="str">
        <f t="shared" si="3"/>
        <v>Tecnologia</v>
      </c>
    </row>
    <row r="80" spans="1:166" s="36" customFormat="1" ht="15.75" customHeight="1" x14ac:dyDescent="0.2">
      <c r="A80" s="38">
        <v>43409.512443796295</v>
      </c>
      <c r="C80" s="36" t="s">
        <v>121</v>
      </c>
      <c r="D80" s="47" t="s">
        <v>134</v>
      </c>
      <c r="M80" s="36" t="s">
        <v>147</v>
      </c>
      <c r="N80" s="36" t="s">
        <v>133</v>
      </c>
      <c r="O80" s="36" t="s">
        <v>133</v>
      </c>
      <c r="P80" s="36" t="s">
        <v>133</v>
      </c>
      <c r="Q80" s="36" t="s">
        <v>133</v>
      </c>
      <c r="R80" s="36" t="s">
        <v>153</v>
      </c>
      <c r="S80" s="36" t="s">
        <v>497</v>
      </c>
      <c r="T80" s="36" t="s">
        <v>154</v>
      </c>
      <c r="U80" s="36" t="s">
        <v>159</v>
      </c>
      <c r="V80" s="36">
        <v>1</v>
      </c>
      <c r="W80" s="36">
        <v>3</v>
      </c>
      <c r="X80" s="36">
        <v>3</v>
      </c>
      <c r="Y80" s="36" t="s">
        <v>166</v>
      </c>
      <c r="AC80" s="36" t="s">
        <v>185</v>
      </c>
      <c r="AD80" s="36" t="s">
        <v>498</v>
      </c>
      <c r="AE80" s="36">
        <v>5</v>
      </c>
      <c r="AF80" s="36" t="s">
        <v>499</v>
      </c>
      <c r="AG80" s="36" t="s">
        <v>189</v>
      </c>
      <c r="AH80" s="36" t="s">
        <v>134</v>
      </c>
      <c r="AI80" s="40">
        <v>630</v>
      </c>
      <c r="AJ80" s="36">
        <v>5</v>
      </c>
      <c r="AK80" s="36">
        <v>3</v>
      </c>
      <c r="AL80" s="36" t="s">
        <v>133</v>
      </c>
      <c r="AP80" s="36" t="s">
        <v>498</v>
      </c>
      <c r="AQ80" s="40">
        <v>950</v>
      </c>
      <c r="AR80" s="36">
        <v>1</v>
      </c>
      <c r="AS80" s="36">
        <v>5</v>
      </c>
      <c r="AT80" s="36">
        <v>3</v>
      </c>
      <c r="AU80" s="36">
        <v>1</v>
      </c>
      <c r="AV80" s="36">
        <v>2</v>
      </c>
      <c r="AW80" s="36" t="s">
        <v>500</v>
      </c>
      <c r="AX80" s="36" t="s">
        <v>204</v>
      </c>
      <c r="AY80" s="36" t="s">
        <v>210</v>
      </c>
      <c r="AZ80" s="36" t="s">
        <v>133</v>
      </c>
      <c r="BA80" s="36" t="s">
        <v>170</v>
      </c>
      <c r="BB80" s="36" t="s">
        <v>501</v>
      </c>
      <c r="BC80" s="36" t="s">
        <v>292</v>
      </c>
      <c r="BD80" s="36" t="s">
        <v>189</v>
      </c>
      <c r="BF80" s="36" t="s">
        <v>221</v>
      </c>
      <c r="BG80" s="36">
        <v>4</v>
      </c>
      <c r="BH80" s="36">
        <v>5</v>
      </c>
      <c r="BI80" s="36">
        <v>5</v>
      </c>
      <c r="BJ80" s="36">
        <v>3</v>
      </c>
      <c r="BK80" s="36">
        <v>3</v>
      </c>
      <c r="BL80" s="36">
        <v>5</v>
      </c>
      <c r="BM80" s="36">
        <v>5</v>
      </c>
      <c r="BN80" s="36">
        <v>3</v>
      </c>
      <c r="BO80" s="36">
        <v>3</v>
      </c>
      <c r="BP80" s="36">
        <v>2</v>
      </c>
      <c r="BQ80" s="36">
        <v>1</v>
      </c>
      <c r="BR80" s="36">
        <v>1</v>
      </c>
      <c r="BS80" s="36">
        <v>1</v>
      </c>
      <c r="BT80" s="36">
        <v>2</v>
      </c>
      <c r="BU80" s="36">
        <v>2</v>
      </c>
      <c r="BV80" s="36">
        <v>2</v>
      </c>
      <c r="BW80" s="36">
        <v>2</v>
      </c>
      <c r="BX80" s="36">
        <v>3</v>
      </c>
      <c r="BY80" s="36">
        <v>5</v>
      </c>
      <c r="BZ80" s="36">
        <v>5</v>
      </c>
      <c r="CA80" s="36">
        <v>5</v>
      </c>
      <c r="CB80" s="36">
        <v>5</v>
      </c>
      <c r="CC80" s="36">
        <v>5</v>
      </c>
      <c r="CD80" s="36">
        <v>4</v>
      </c>
      <c r="CE80" s="36">
        <v>5</v>
      </c>
      <c r="CF80" s="36">
        <v>1</v>
      </c>
      <c r="CG80" s="36">
        <v>1</v>
      </c>
      <c r="CH80" s="36" t="s">
        <v>222</v>
      </c>
      <c r="CI80" t="s">
        <v>226</v>
      </c>
      <c r="CJ80" t="s">
        <v>229</v>
      </c>
      <c r="CK80" s="36" t="s">
        <v>233</v>
      </c>
      <c r="CL80" t="s">
        <v>234</v>
      </c>
      <c r="CM80" t="s">
        <v>235</v>
      </c>
      <c r="CN80" s="36" t="s">
        <v>246</v>
      </c>
      <c r="CO80" s="36" t="s">
        <v>134</v>
      </c>
      <c r="CP80" s="36">
        <v>3</v>
      </c>
      <c r="CQ80" s="36">
        <v>3</v>
      </c>
      <c r="CR80" s="36" t="s">
        <v>249</v>
      </c>
      <c r="CS80" s="36">
        <v>5</v>
      </c>
      <c r="CT80" s="36">
        <v>5</v>
      </c>
      <c r="CU80" s="36">
        <v>5</v>
      </c>
      <c r="CV80" s="36">
        <v>5</v>
      </c>
      <c r="CW80" s="36">
        <v>5</v>
      </c>
      <c r="CX80" s="36">
        <v>5</v>
      </c>
      <c r="CY80" s="36">
        <v>5</v>
      </c>
      <c r="CZ80" s="36">
        <v>5</v>
      </c>
      <c r="DA80" s="36">
        <v>5</v>
      </c>
      <c r="DB80" s="36">
        <v>5</v>
      </c>
      <c r="DC80" s="36">
        <v>3</v>
      </c>
      <c r="DD80" s="36">
        <v>4</v>
      </c>
      <c r="DE80" s="36">
        <v>3</v>
      </c>
      <c r="DF80" s="36">
        <v>3</v>
      </c>
      <c r="DG80" s="36">
        <v>3</v>
      </c>
      <c r="DH80" s="36">
        <v>3</v>
      </c>
      <c r="DI80" s="36" t="s">
        <v>253</v>
      </c>
      <c r="DJ80" s="36" t="s">
        <v>133</v>
      </c>
      <c r="DK80" s="36" t="s">
        <v>255</v>
      </c>
      <c r="DL80"/>
      <c r="DM80"/>
      <c r="DN80" t="s">
        <v>256</v>
      </c>
      <c r="DO80" t="s">
        <v>257</v>
      </c>
      <c r="DP80"/>
      <c r="DQ80" s="36">
        <v>5</v>
      </c>
      <c r="DR80" s="36" t="s">
        <v>133</v>
      </c>
      <c r="DS80" s="36" t="s">
        <v>259</v>
      </c>
      <c r="DT80"/>
      <c r="DU80"/>
      <c r="DV80" t="s">
        <v>260</v>
      </c>
      <c r="DW80" t="s">
        <v>261</v>
      </c>
      <c r="DX80"/>
      <c r="DY80" s="36">
        <v>5</v>
      </c>
      <c r="DZ80" s="36" t="s">
        <v>134</v>
      </c>
      <c r="EB80" s="36" t="s">
        <v>263</v>
      </c>
      <c r="EC80" s="36" t="s">
        <v>267</v>
      </c>
      <c r="ED80" s="36">
        <v>28</v>
      </c>
      <c r="EE80" s="36" t="s">
        <v>292</v>
      </c>
      <c r="EF80" s="36" t="str">
        <f>Tabulacao!MC80</f>
        <v>Aracaju</v>
      </c>
      <c r="EG80" s="36" t="s">
        <v>292</v>
      </c>
      <c r="EH80" s="36" t="str">
        <f>Tabulacao!MG80</f>
        <v>Aracaju</v>
      </c>
      <c r="EI80" s="36" t="s">
        <v>292</v>
      </c>
      <c r="EJ80" s="36" t="str">
        <f>Tabulacao!MK80</f>
        <v>Aracaju</v>
      </c>
      <c r="EK80" s="36" t="s">
        <v>134</v>
      </c>
      <c r="EL80" s="36" t="s">
        <v>134</v>
      </c>
      <c r="EM80" s="36" t="s">
        <v>134</v>
      </c>
      <c r="EN80" s="36" t="s">
        <v>134</v>
      </c>
      <c r="EO80" s="36" t="s">
        <v>134</v>
      </c>
      <c r="EP80" s="36" t="s">
        <v>134</v>
      </c>
      <c r="EQ80" s="36" t="s">
        <v>275</v>
      </c>
      <c r="ER80" s="36" t="str">
        <f>IF(OR(EQ80=CaractAmostra!$BD$9,EQ80=CaractAmostra!$BD$10,EQ80=CaractAmostra!$BD$11,EQ80=CaractAmostra!$BD$12,EQ80=CaractAmostra!$BD$13),Respostas_Formatadas!EQ80,"Outros")</f>
        <v>Com os pais</v>
      </c>
      <c r="ES80" s="36" t="s">
        <v>275</v>
      </c>
      <c r="ET80" s="36" t="str">
        <f>IF(OR(ES80=CaractAmostra!$BH$9,ES80=CaractAmostra!$BH$10,ES80=CaractAmostra!$BH$11,ES80=CaractAmostra!$BH$12),Respostas_Formatadas!ES80,"Outros")</f>
        <v>Com os pais</v>
      </c>
      <c r="EU80" s="36" t="s">
        <v>134</v>
      </c>
      <c r="EV80" s="36" t="s">
        <v>285</v>
      </c>
      <c r="EW80" s="36" t="s">
        <v>285</v>
      </c>
      <c r="FE80" s="47">
        <v>2015</v>
      </c>
      <c r="FF80" s="97">
        <v>7.2830000000000004</v>
      </c>
      <c r="FI80" s="47" t="str">
        <f t="shared" si="2"/>
        <v>Aracaju</v>
      </c>
      <c r="FJ80" s="47" t="str">
        <f t="shared" si="3"/>
        <v>Licenciatura</v>
      </c>
    </row>
    <row r="81" spans="1:166" s="36" customFormat="1" ht="15.75" customHeight="1" x14ac:dyDescent="0.2">
      <c r="A81" s="38">
        <v>43409.529509930551</v>
      </c>
      <c r="C81" s="36" t="s">
        <v>126</v>
      </c>
      <c r="D81" s="47" t="s">
        <v>134</v>
      </c>
      <c r="M81" s="36" t="s">
        <v>147</v>
      </c>
      <c r="N81" s="36" t="s">
        <v>134</v>
      </c>
      <c r="O81" s="36" t="s">
        <v>134</v>
      </c>
      <c r="P81" s="36" t="s">
        <v>133</v>
      </c>
      <c r="Q81" s="36" t="s">
        <v>133</v>
      </c>
      <c r="R81" s="36" t="s">
        <v>153</v>
      </c>
      <c r="S81" s="36" t="s">
        <v>935</v>
      </c>
      <c r="T81" s="36" t="s">
        <v>155</v>
      </c>
      <c r="U81" s="36" t="s">
        <v>159</v>
      </c>
      <c r="V81" s="36">
        <v>1</v>
      </c>
      <c r="W81" s="36">
        <v>1</v>
      </c>
      <c r="X81" s="36">
        <v>3</v>
      </c>
      <c r="Y81" s="36" t="s">
        <v>134</v>
      </c>
      <c r="AI81" s="40"/>
      <c r="AQ81" s="40"/>
      <c r="BT81" s="36">
        <v>3</v>
      </c>
      <c r="BU81" s="36">
        <v>4</v>
      </c>
      <c r="BV81" s="36">
        <v>2</v>
      </c>
      <c r="BW81" s="36">
        <v>2</v>
      </c>
      <c r="BX81" s="36">
        <v>3</v>
      </c>
      <c r="BY81" s="36">
        <v>4</v>
      </c>
      <c r="BZ81" s="36">
        <v>3</v>
      </c>
      <c r="CA81" s="36">
        <v>4</v>
      </c>
      <c r="CB81" s="36">
        <v>3</v>
      </c>
      <c r="CC81" s="36">
        <v>3</v>
      </c>
      <c r="CD81" s="36">
        <v>4</v>
      </c>
      <c r="CE81" s="36">
        <v>3</v>
      </c>
      <c r="CF81" s="36">
        <v>2</v>
      </c>
      <c r="CG81" s="36">
        <v>1</v>
      </c>
      <c r="CH81" s="36" t="s">
        <v>225</v>
      </c>
      <c r="CI81"/>
      <c r="CJ81"/>
      <c r="CK81" s="36" t="s">
        <v>502</v>
      </c>
      <c r="CL81"/>
      <c r="CM81"/>
      <c r="CN81" s="36" t="s">
        <v>242</v>
      </c>
      <c r="CO81" s="36" t="s">
        <v>134</v>
      </c>
      <c r="CP81" s="36">
        <v>3</v>
      </c>
      <c r="CQ81" s="36">
        <v>5</v>
      </c>
      <c r="CR81" s="36" t="s">
        <v>248</v>
      </c>
      <c r="CS81" s="36">
        <v>2</v>
      </c>
      <c r="CT81" s="36">
        <v>2</v>
      </c>
      <c r="CU81" s="36">
        <v>1</v>
      </c>
      <c r="CV81" s="36">
        <v>1</v>
      </c>
      <c r="CW81" s="36">
        <v>4</v>
      </c>
      <c r="CX81" s="36">
        <v>4</v>
      </c>
      <c r="CY81" s="36">
        <v>3</v>
      </c>
      <c r="CZ81" s="36">
        <v>5</v>
      </c>
      <c r="DA81" s="36">
        <v>3</v>
      </c>
      <c r="DB81" s="36">
        <v>3</v>
      </c>
      <c r="DC81" s="36">
        <v>3</v>
      </c>
      <c r="DD81" s="36">
        <v>1</v>
      </c>
      <c r="DE81" s="36">
        <v>1</v>
      </c>
      <c r="DF81" s="36">
        <v>1</v>
      </c>
      <c r="DG81" s="36">
        <v>1</v>
      </c>
      <c r="DH81" s="36">
        <v>3</v>
      </c>
      <c r="DI81" s="36" t="s">
        <v>250</v>
      </c>
      <c r="DJ81" s="36" t="s">
        <v>134</v>
      </c>
      <c r="DL81"/>
      <c r="DM81"/>
      <c r="DN81"/>
      <c r="DO81"/>
      <c r="DP81"/>
      <c r="DR81" s="36" t="s">
        <v>134</v>
      </c>
      <c r="DT81"/>
      <c r="DU81"/>
      <c r="DV81"/>
      <c r="DW81"/>
      <c r="DX81"/>
      <c r="DZ81" s="36" t="s">
        <v>133</v>
      </c>
      <c r="EA81" s="36">
        <v>5</v>
      </c>
      <c r="EB81" s="36" t="s">
        <v>262</v>
      </c>
      <c r="EC81" s="36" t="s">
        <v>267</v>
      </c>
      <c r="ED81" s="36">
        <v>31</v>
      </c>
      <c r="EE81" s="36" t="s">
        <v>503</v>
      </c>
      <c r="EF81" s="36" t="str">
        <f>Tabulacao!MC81</f>
        <v>Ribeirópolis</v>
      </c>
      <c r="EG81" s="36" t="s">
        <v>380</v>
      </c>
      <c r="EH81" s="36" t="str">
        <f>Tabulacao!MG81</f>
        <v>Lagarto</v>
      </c>
      <c r="EI81" s="36" t="s">
        <v>503</v>
      </c>
      <c r="EJ81" s="36" t="str">
        <f>Tabulacao!MK81</f>
        <v>Ribeirópolis</v>
      </c>
      <c r="EK81" s="36" t="s">
        <v>134</v>
      </c>
      <c r="EL81" s="36" t="s">
        <v>134</v>
      </c>
      <c r="EM81" s="36" t="s">
        <v>134</v>
      </c>
      <c r="EN81" s="36" t="s">
        <v>134</v>
      </c>
      <c r="EO81" s="36" t="s">
        <v>134</v>
      </c>
      <c r="EP81" s="36" t="s">
        <v>134</v>
      </c>
      <c r="EQ81" s="36" t="s">
        <v>272</v>
      </c>
      <c r="ER81" s="36" t="str">
        <f>IF(OR(EQ81=CaractAmostra!$BD$9,EQ81=CaractAmostra!$BD$10,EQ81=CaractAmostra!$BD$11,EQ81=CaractAmostra!$BD$12,EQ81=CaractAmostra!$BD$13),Respostas_Formatadas!EQ81,"Outros")</f>
        <v>Morava sozinho</v>
      </c>
      <c r="ES81" s="36" t="s">
        <v>275</v>
      </c>
      <c r="ET81" s="36" t="str">
        <f>IF(OR(ES81=CaractAmostra!$BH$9,ES81=CaractAmostra!$BH$10,ES81=CaractAmostra!$BH$11,ES81=CaractAmostra!$BH$12),Respostas_Formatadas!ES81,"Outros")</f>
        <v>Com os pais</v>
      </c>
      <c r="EU81" s="36" t="s">
        <v>134</v>
      </c>
      <c r="EV81" s="36" t="s">
        <v>282</v>
      </c>
      <c r="EW81" s="36" t="s">
        <v>282</v>
      </c>
      <c r="FA81" s="39"/>
      <c r="FE81" s="47">
        <v>2016</v>
      </c>
      <c r="FF81" s="97">
        <v>7.3593000000000002</v>
      </c>
      <c r="FI81" s="47" t="str">
        <f t="shared" si="2"/>
        <v>Lagarto</v>
      </c>
      <c r="FJ81" s="47" t="str">
        <f t="shared" si="3"/>
        <v>Tecnologia</v>
      </c>
    </row>
    <row r="82" spans="1:166" s="36" customFormat="1" ht="15.75" customHeight="1" x14ac:dyDescent="0.2">
      <c r="A82" s="38">
        <v>43409.554918113427</v>
      </c>
      <c r="C82" s="36" t="s">
        <v>124</v>
      </c>
      <c r="D82" s="47" t="s">
        <v>134</v>
      </c>
      <c r="M82" s="36" t="s">
        <v>147</v>
      </c>
      <c r="N82" s="36" t="s">
        <v>134</v>
      </c>
      <c r="O82" s="36" t="s">
        <v>133</v>
      </c>
      <c r="P82" s="36" t="s">
        <v>134</v>
      </c>
      <c r="Q82" s="36" t="s">
        <v>134</v>
      </c>
      <c r="R82" s="36" t="s">
        <v>151</v>
      </c>
      <c r="Y82" s="36" t="s">
        <v>134</v>
      </c>
      <c r="AI82" s="40"/>
      <c r="AQ82" s="40"/>
      <c r="BT82" s="36">
        <v>3</v>
      </c>
      <c r="BU82" s="36">
        <v>3</v>
      </c>
      <c r="BV82" s="36">
        <v>4</v>
      </c>
      <c r="BW82" s="36">
        <v>3</v>
      </c>
      <c r="BX82" s="36">
        <v>4</v>
      </c>
      <c r="BY82" s="36">
        <v>4</v>
      </c>
      <c r="BZ82" s="36">
        <v>4</v>
      </c>
      <c r="CA82" s="36">
        <v>3</v>
      </c>
      <c r="CB82" s="36">
        <v>3</v>
      </c>
      <c r="CC82" s="36">
        <v>4</v>
      </c>
      <c r="CD82" s="36">
        <v>3</v>
      </c>
      <c r="CE82" s="36">
        <v>3</v>
      </c>
      <c r="CF82" s="36">
        <v>1</v>
      </c>
      <c r="CG82" s="36">
        <v>2</v>
      </c>
      <c r="CH82" s="36" t="s">
        <v>222</v>
      </c>
      <c r="CI82" t="s">
        <v>226</v>
      </c>
      <c r="CJ82" t="s">
        <v>229</v>
      </c>
      <c r="CK82" s="36" t="s">
        <v>233</v>
      </c>
      <c r="CL82" t="s">
        <v>234</v>
      </c>
      <c r="CM82" t="s">
        <v>240</v>
      </c>
      <c r="CN82" s="36" t="s">
        <v>241</v>
      </c>
      <c r="CO82" s="36" t="s">
        <v>134</v>
      </c>
      <c r="CP82" s="36">
        <v>2</v>
      </c>
      <c r="CQ82" s="36">
        <v>5</v>
      </c>
      <c r="CR82" s="36" t="s">
        <v>249</v>
      </c>
      <c r="CS82" s="36">
        <v>2</v>
      </c>
      <c r="CT82" s="36">
        <v>2</v>
      </c>
      <c r="CU82" s="36">
        <v>2</v>
      </c>
      <c r="CV82" s="36">
        <v>2</v>
      </c>
      <c r="CW82" s="36">
        <v>2</v>
      </c>
      <c r="CX82" s="36">
        <v>3</v>
      </c>
      <c r="CY82" s="36">
        <v>3</v>
      </c>
      <c r="CZ82" s="36">
        <v>4</v>
      </c>
      <c r="DA82" s="36">
        <v>3</v>
      </c>
      <c r="DB82" s="36">
        <v>2</v>
      </c>
      <c r="DC82" s="36">
        <v>3</v>
      </c>
      <c r="DD82" s="36">
        <v>3</v>
      </c>
      <c r="DE82" s="36">
        <v>3</v>
      </c>
      <c r="DF82" s="36">
        <v>2</v>
      </c>
      <c r="DG82" s="36">
        <v>3</v>
      </c>
      <c r="DH82" s="36">
        <v>2</v>
      </c>
      <c r="DI82" s="36" t="s">
        <v>250</v>
      </c>
      <c r="DJ82" s="36" t="s">
        <v>134</v>
      </c>
      <c r="DL82"/>
      <c r="DM82"/>
      <c r="DN82"/>
      <c r="DO82"/>
      <c r="DP82"/>
      <c r="DR82" s="36" t="s">
        <v>134</v>
      </c>
      <c r="DT82"/>
      <c r="DU82"/>
      <c r="DV82"/>
      <c r="DW82"/>
      <c r="DX82"/>
      <c r="DZ82" s="36" t="s">
        <v>133</v>
      </c>
      <c r="EA82" s="36">
        <v>4</v>
      </c>
      <c r="EB82" s="36" t="s">
        <v>263</v>
      </c>
      <c r="EC82" s="36" t="s">
        <v>267</v>
      </c>
      <c r="ED82" s="36">
        <v>31</v>
      </c>
      <c r="EE82" s="36" t="s">
        <v>399</v>
      </c>
      <c r="EF82" s="36" t="str">
        <f>Tabulacao!MC82</f>
        <v>São Cristóvão</v>
      </c>
      <c r="EG82" s="36" t="s">
        <v>399</v>
      </c>
      <c r="EH82" s="36" t="str">
        <f>Tabulacao!MG82</f>
        <v>São Cristóvão</v>
      </c>
      <c r="EI82" s="36" t="s">
        <v>399</v>
      </c>
      <c r="EJ82" s="36" t="str">
        <f>Tabulacao!MK82</f>
        <v>São Cristóvão</v>
      </c>
      <c r="EK82" s="36" t="s">
        <v>134</v>
      </c>
      <c r="EL82" s="36" t="s">
        <v>134</v>
      </c>
      <c r="EM82" s="36" t="s">
        <v>134</v>
      </c>
      <c r="EN82" s="36" t="s">
        <v>134</v>
      </c>
      <c r="EO82" s="36" t="s">
        <v>134</v>
      </c>
      <c r="EP82" s="36" t="s">
        <v>134</v>
      </c>
      <c r="EQ82" s="36" t="s">
        <v>275</v>
      </c>
      <c r="ER82" s="36" t="str">
        <f>IF(OR(EQ82=CaractAmostra!$BD$9,EQ82=CaractAmostra!$BD$10,EQ82=CaractAmostra!$BD$11,EQ82=CaractAmostra!$BD$12,EQ82=CaractAmostra!$BD$13),Respostas_Formatadas!EQ82,"Outros")</f>
        <v>Com os pais</v>
      </c>
      <c r="ES82" s="36" t="s">
        <v>275</v>
      </c>
      <c r="ET82" s="36" t="str">
        <f>IF(OR(ES82=CaractAmostra!$BH$9,ES82=CaractAmostra!$BH$10,ES82=CaractAmostra!$BH$11,ES82=CaractAmostra!$BH$12),Respostas_Formatadas!ES82,"Outros")</f>
        <v>Com os pais</v>
      </c>
      <c r="EU82" s="36" t="s">
        <v>134</v>
      </c>
      <c r="EV82" s="36" t="s">
        <v>282</v>
      </c>
      <c r="EW82" s="36" t="s">
        <v>285</v>
      </c>
      <c r="FE82" s="47">
        <v>2015</v>
      </c>
      <c r="FF82" s="97">
        <v>8.0360999999999994</v>
      </c>
      <c r="FI82" s="47" t="str">
        <f t="shared" si="2"/>
        <v>Aracaju</v>
      </c>
      <c r="FJ82" s="47" t="str">
        <f t="shared" si="3"/>
        <v>Tecnologia</v>
      </c>
    </row>
    <row r="83" spans="1:166" s="36" customFormat="1" ht="15.75" customHeight="1" x14ac:dyDescent="0.2">
      <c r="A83" s="38">
        <v>43409.561295613428</v>
      </c>
      <c r="C83" s="36" t="s">
        <v>125</v>
      </c>
      <c r="D83" s="47" t="s">
        <v>133</v>
      </c>
      <c r="E83" s="36" t="s">
        <v>136</v>
      </c>
      <c r="H83" s="36" t="s">
        <v>142</v>
      </c>
      <c r="M83" s="36" t="s">
        <v>146</v>
      </c>
      <c r="N83" s="36" t="s">
        <v>134</v>
      </c>
      <c r="O83" s="36" t="s">
        <v>133</v>
      </c>
      <c r="P83" s="36" t="s">
        <v>133</v>
      </c>
      <c r="Q83" s="36" t="s">
        <v>133</v>
      </c>
      <c r="R83" s="36" t="s">
        <v>153</v>
      </c>
      <c r="S83" s="36" t="s">
        <v>504</v>
      </c>
      <c r="T83" s="36" t="s">
        <v>154</v>
      </c>
      <c r="U83" s="36" t="s">
        <v>156</v>
      </c>
      <c r="V83" s="36">
        <v>1</v>
      </c>
      <c r="W83" s="36">
        <v>3</v>
      </c>
      <c r="X83" s="36">
        <v>1</v>
      </c>
      <c r="Y83" s="36" t="s">
        <v>134</v>
      </c>
      <c r="AI83" s="40"/>
      <c r="AQ83" s="40"/>
      <c r="BT83" s="36">
        <v>3</v>
      </c>
      <c r="BU83" s="36">
        <v>3</v>
      </c>
      <c r="BV83" s="36">
        <v>2</v>
      </c>
      <c r="BW83" s="36">
        <v>2</v>
      </c>
      <c r="BX83" s="36">
        <v>4</v>
      </c>
      <c r="BY83" s="36">
        <v>4</v>
      </c>
      <c r="BZ83" s="36">
        <v>4</v>
      </c>
      <c r="CA83" s="36">
        <v>3</v>
      </c>
      <c r="CB83" s="36">
        <v>3</v>
      </c>
      <c r="CC83" s="36">
        <v>2</v>
      </c>
      <c r="CD83" s="36">
        <v>4</v>
      </c>
      <c r="CE83" s="36">
        <v>4</v>
      </c>
      <c r="CF83" s="36">
        <v>1</v>
      </c>
      <c r="CG83" s="36">
        <v>1</v>
      </c>
      <c r="CH83" s="36" t="s">
        <v>222</v>
      </c>
      <c r="CI83" t="s">
        <v>225</v>
      </c>
      <c r="CJ83" t="s">
        <v>226</v>
      </c>
      <c r="CK83" s="36" t="s">
        <v>233</v>
      </c>
      <c r="CL83"/>
      <c r="CM83"/>
      <c r="CN83" s="36" t="s">
        <v>242</v>
      </c>
      <c r="CO83" s="36" t="s">
        <v>134</v>
      </c>
      <c r="CP83" s="36">
        <v>1</v>
      </c>
      <c r="CQ83" s="36">
        <v>5</v>
      </c>
      <c r="CR83" s="36" t="s">
        <v>249</v>
      </c>
      <c r="CS83" s="36">
        <v>3</v>
      </c>
      <c r="CT83" s="36">
        <v>3</v>
      </c>
      <c r="CU83" s="36">
        <v>4</v>
      </c>
      <c r="CV83" s="36">
        <v>4</v>
      </c>
      <c r="CW83" s="36">
        <v>4</v>
      </c>
      <c r="CX83" s="36">
        <v>4</v>
      </c>
      <c r="CY83" s="36">
        <v>4</v>
      </c>
      <c r="CZ83" s="36">
        <v>3</v>
      </c>
      <c r="DA83" s="36">
        <v>2</v>
      </c>
      <c r="DB83" s="36">
        <v>5</v>
      </c>
      <c r="DC83" s="36">
        <v>3</v>
      </c>
      <c r="DD83" s="36">
        <v>3</v>
      </c>
      <c r="DE83" s="36">
        <v>2</v>
      </c>
      <c r="DF83" s="36">
        <v>2</v>
      </c>
      <c r="DG83" s="36">
        <v>2</v>
      </c>
      <c r="DH83" s="36">
        <v>2</v>
      </c>
      <c r="DI83" s="36" t="s">
        <v>250</v>
      </c>
      <c r="DJ83" s="36" t="s">
        <v>133</v>
      </c>
      <c r="DK83" s="36" t="s">
        <v>254</v>
      </c>
      <c r="DL83" t="s">
        <v>255</v>
      </c>
      <c r="DM83"/>
      <c r="DN83"/>
      <c r="DO83" t="s">
        <v>256</v>
      </c>
      <c r="DP83" t="s">
        <v>257</v>
      </c>
      <c r="DQ83" s="36">
        <v>1</v>
      </c>
      <c r="DR83" s="36" t="s">
        <v>134</v>
      </c>
      <c r="DT83"/>
      <c r="DU83"/>
      <c r="DV83"/>
      <c r="DW83"/>
      <c r="DX83"/>
      <c r="DZ83" s="36" t="s">
        <v>134</v>
      </c>
      <c r="EB83" s="36" t="s">
        <v>263</v>
      </c>
      <c r="EC83" s="36" t="s">
        <v>267</v>
      </c>
      <c r="ED83" s="36">
        <v>51</v>
      </c>
      <c r="EE83" s="36" t="s">
        <v>292</v>
      </c>
      <c r="EF83" s="36" t="str">
        <f>Tabulacao!MC83</f>
        <v>Aracaju</v>
      </c>
      <c r="EG83" s="36" t="s">
        <v>292</v>
      </c>
      <c r="EH83" s="36" t="str">
        <f>Tabulacao!MG83</f>
        <v>Aracaju</v>
      </c>
      <c r="EI83" s="36" t="s">
        <v>292</v>
      </c>
      <c r="EJ83" s="36" t="str">
        <f>Tabulacao!MK83</f>
        <v>Aracaju</v>
      </c>
      <c r="EK83" s="36" t="s">
        <v>134</v>
      </c>
      <c r="EL83" s="36" t="s">
        <v>134</v>
      </c>
      <c r="EM83" s="36" t="s">
        <v>134</v>
      </c>
      <c r="EN83" s="36" t="s">
        <v>134</v>
      </c>
      <c r="EO83" s="36" t="s">
        <v>134</v>
      </c>
      <c r="EP83" s="36" t="s">
        <v>134</v>
      </c>
      <c r="EQ83" s="36" t="s">
        <v>274</v>
      </c>
      <c r="ER83" s="36" t="str">
        <f>IF(OR(EQ83=CaractAmostra!$BD$9,EQ83=CaractAmostra!$BD$10,EQ83=CaractAmostra!$BD$11,EQ83=CaractAmostra!$BD$12,EQ83=CaractAmostra!$BD$13),Respostas_Formatadas!EQ83,"Outros")</f>
        <v>Com um(a) parceiro(a)</v>
      </c>
      <c r="ES83" s="36" t="s">
        <v>274</v>
      </c>
      <c r="ET83" s="36" t="str">
        <f>IF(OR(ES83=CaractAmostra!$BH$9,ES83=CaractAmostra!$BH$10,ES83=CaractAmostra!$BH$11,ES83=CaractAmostra!$BH$12),Respostas_Formatadas!ES83,"Outros")</f>
        <v>Com um(a) parceiro(a)</v>
      </c>
      <c r="EU83" s="36" t="s">
        <v>279</v>
      </c>
      <c r="EV83" s="36" t="s">
        <v>285</v>
      </c>
      <c r="EW83" s="36" t="s">
        <v>282</v>
      </c>
      <c r="FE83" s="47">
        <v>2010</v>
      </c>
      <c r="FF83" s="97" t="s">
        <v>933</v>
      </c>
      <c r="FI83" s="47" t="str">
        <f t="shared" si="2"/>
        <v>Aracaju</v>
      </c>
      <c r="FJ83" s="47" t="str">
        <f t="shared" si="3"/>
        <v>Tecnologia</v>
      </c>
    </row>
    <row r="84" spans="1:166" s="36" customFormat="1" ht="15.75" customHeight="1" x14ac:dyDescent="0.2">
      <c r="A84" s="38">
        <v>43409.636918020835</v>
      </c>
      <c r="C84" s="36" t="s">
        <v>124</v>
      </c>
      <c r="D84" s="47" t="s">
        <v>134</v>
      </c>
      <c r="M84" s="36" t="s">
        <v>146</v>
      </c>
      <c r="N84" s="36" t="s">
        <v>134</v>
      </c>
      <c r="O84" s="36" t="s">
        <v>133</v>
      </c>
      <c r="P84" s="36" t="s">
        <v>133</v>
      </c>
      <c r="Q84" s="36" t="s">
        <v>133</v>
      </c>
      <c r="R84" s="36" t="s">
        <v>153</v>
      </c>
      <c r="S84" s="36" t="s">
        <v>945</v>
      </c>
      <c r="T84" s="36" t="s">
        <v>154</v>
      </c>
      <c r="U84" s="36" t="s">
        <v>157</v>
      </c>
      <c r="V84" s="36">
        <v>2</v>
      </c>
      <c r="W84" s="36">
        <v>1</v>
      </c>
      <c r="X84" s="36">
        <v>1</v>
      </c>
      <c r="Y84" s="36" t="s">
        <v>166</v>
      </c>
      <c r="AC84" s="36" t="s">
        <v>175</v>
      </c>
      <c r="AD84" s="36" t="s">
        <v>505</v>
      </c>
      <c r="AE84" s="36">
        <v>1</v>
      </c>
      <c r="AF84" s="36" t="s">
        <v>188</v>
      </c>
      <c r="AG84" s="36" t="s">
        <v>188</v>
      </c>
      <c r="AH84" s="36" t="s">
        <v>134</v>
      </c>
      <c r="AI84" s="40">
        <v>850</v>
      </c>
      <c r="AJ84" s="36">
        <v>1</v>
      </c>
      <c r="AK84" s="36">
        <v>1</v>
      </c>
      <c r="AL84" s="36" t="s">
        <v>134</v>
      </c>
      <c r="AM84" s="36" t="s">
        <v>169</v>
      </c>
      <c r="AN84" s="36">
        <v>3</v>
      </c>
      <c r="AO84" s="36" t="s">
        <v>133</v>
      </c>
      <c r="AP84" s="36" t="s">
        <v>506</v>
      </c>
      <c r="AQ84" s="40">
        <v>990</v>
      </c>
      <c r="AR84" s="36">
        <v>4</v>
      </c>
      <c r="AS84" s="36">
        <v>1</v>
      </c>
      <c r="AT84" s="36">
        <v>3</v>
      </c>
      <c r="AU84" s="36">
        <v>3</v>
      </c>
      <c r="AV84" s="36">
        <v>1</v>
      </c>
      <c r="AW84" s="36" t="s">
        <v>197</v>
      </c>
      <c r="AX84" s="36" t="s">
        <v>206</v>
      </c>
      <c r="AY84" s="36" t="s">
        <v>210</v>
      </c>
      <c r="AZ84" s="36" t="s">
        <v>134</v>
      </c>
      <c r="BA84" s="36" t="s">
        <v>212</v>
      </c>
      <c r="BB84" s="36" t="s">
        <v>292</v>
      </c>
      <c r="BC84" s="36" t="s">
        <v>292</v>
      </c>
      <c r="BD84" s="36" t="s">
        <v>188</v>
      </c>
      <c r="BF84" s="36" t="s">
        <v>220</v>
      </c>
      <c r="BG84" s="36">
        <v>1</v>
      </c>
      <c r="BH84" s="36">
        <v>3</v>
      </c>
      <c r="BI84" s="36">
        <v>4</v>
      </c>
      <c r="BJ84" s="36">
        <v>5</v>
      </c>
      <c r="BK84" s="36">
        <v>3</v>
      </c>
      <c r="BL84" s="36">
        <v>5</v>
      </c>
      <c r="BM84" s="36">
        <v>5</v>
      </c>
      <c r="BN84" s="36">
        <v>5</v>
      </c>
      <c r="BO84" s="36">
        <v>3</v>
      </c>
      <c r="BP84" s="36">
        <v>4</v>
      </c>
      <c r="BQ84" s="36">
        <v>5</v>
      </c>
      <c r="BR84" s="36">
        <v>1</v>
      </c>
      <c r="BS84" s="36">
        <v>1</v>
      </c>
      <c r="BT84" s="36">
        <v>2</v>
      </c>
      <c r="BU84" s="36">
        <v>3</v>
      </c>
      <c r="BV84" s="36">
        <v>4</v>
      </c>
      <c r="BW84" s="36">
        <v>5</v>
      </c>
      <c r="BX84" s="36">
        <v>5</v>
      </c>
      <c r="BY84" s="36">
        <v>5</v>
      </c>
      <c r="BZ84" s="36">
        <v>5</v>
      </c>
      <c r="CA84" s="36">
        <v>5</v>
      </c>
      <c r="CB84" s="36">
        <v>4</v>
      </c>
      <c r="CC84" s="36">
        <v>4</v>
      </c>
      <c r="CD84" s="36">
        <v>3</v>
      </c>
      <c r="CE84" s="36">
        <v>2</v>
      </c>
      <c r="CF84" s="36">
        <v>2</v>
      </c>
      <c r="CG84" s="36">
        <v>3</v>
      </c>
      <c r="CH84" s="36" t="s">
        <v>226</v>
      </c>
      <c r="CI84"/>
      <c r="CJ84"/>
      <c r="CK84" s="36" t="s">
        <v>234</v>
      </c>
      <c r="CL84"/>
      <c r="CM84"/>
      <c r="CN84" s="36" t="s">
        <v>242</v>
      </c>
      <c r="CO84" s="36" t="s">
        <v>134</v>
      </c>
      <c r="CP84" s="36">
        <v>3</v>
      </c>
      <c r="CQ84" s="36">
        <v>4</v>
      </c>
      <c r="CR84" s="36" t="s">
        <v>248</v>
      </c>
      <c r="CS84" s="36">
        <v>2</v>
      </c>
      <c r="CT84" s="36">
        <v>2</v>
      </c>
      <c r="CU84" s="36">
        <v>2</v>
      </c>
      <c r="CV84" s="36">
        <v>1</v>
      </c>
      <c r="CW84" s="36">
        <v>4</v>
      </c>
      <c r="CX84" s="36">
        <v>3</v>
      </c>
      <c r="CY84" s="36">
        <v>4</v>
      </c>
      <c r="CZ84" s="36">
        <v>4</v>
      </c>
      <c r="DA84" s="36">
        <v>2</v>
      </c>
      <c r="DB84" s="36">
        <v>2</v>
      </c>
      <c r="DC84" s="36">
        <v>2</v>
      </c>
      <c r="DD84" s="36">
        <v>1</v>
      </c>
      <c r="DE84" s="36">
        <v>1</v>
      </c>
      <c r="DF84" s="36">
        <v>1</v>
      </c>
      <c r="DG84" s="36">
        <v>3</v>
      </c>
      <c r="DH84" s="36">
        <v>2</v>
      </c>
      <c r="DI84" s="36" t="s">
        <v>250</v>
      </c>
      <c r="DJ84" s="36" t="s">
        <v>134</v>
      </c>
      <c r="DL84"/>
      <c r="DM84"/>
      <c r="DN84"/>
      <c r="DO84"/>
      <c r="DP84"/>
      <c r="DR84" s="36" t="s">
        <v>134</v>
      </c>
      <c r="DT84"/>
      <c r="DU84"/>
      <c r="DV84"/>
      <c r="DW84"/>
      <c r="DX84"/>
      <c r="DZ84" s="36" t="s">
        <v>134</v>
      </c>
      <c r="EB84" s="36" t="s">
        <v>262</v>
      </c>
      <c r="EC84" s="36" t="s">
        <v>264</v>
      </c>
      <c r="ED84" s="36">
        <v>29</v>
      </c>
      <c r="EE84" s="36" t="s">
        <v>507</v>
      </c>
      <c r="EF84" s="36" t="str">
        <f>Tabulacao!MC84</f>
        <v>Barra dos Coqueiros</v>
      </c>
      <c r="EG84" s="36" t="s">
        <v>507</v>
      </c>
      <c r="EH84" s="36" t="str">
        <f>Tabulacao!MG84</f>
        <v>Barra dos Coqueiros</v>
      </c>
      <c r="EI84" s="36" t="s">
        <v>507</v>
      </c>
      <c r="EJ84" s="36" t="str">
        <f>Tabulacao!MK84</f>
        <v>Barra dos Coqueiros</v>
      </c>
      <c r="EK84" s="36" t="s">
        <v>134</v>
      </c>
      <c r="EL84" s="36" t="s">
        <v>134</v>
      </c>
      <c r="EM84" s="36" t="s">
        <v>134</v>
      </c>
      <c r="EN84" s="36" t="s">
        <v>134</v>
      </c>
      <c r="EO84" s="36" t="s">
        <v>134</v>
      </c>
      <c r="EP84" s="36" t="s">
        <v>134</v>
      </c>
      <c r="EQ84" s="36" t="s">
        <v>275</v>
      </c>
      <c r="ER84" s="36" t="str">
        <f>IF(OR(EQ84=CaractAmostra!$BD$9,EQ84=CaractAmostra!$BD$10,EQ84=CaractAmostra!$BD$11,EQ84=CaractAmostra!$BD$12,EQ84=CaractAmostra!$BD$13),Respostas_Formatadas!EQ84,"Outros")</f>
        <v>Com os pais</v>
      </c>
      <c r="ES84" s="36" t="s">
        <v>275</v>
      </c>
      <c r="ET84" s="36" t="str">
        <f>IF(OR(ES84=CaractAmostra!$BH$9,ES84=CaractAmostra!$BH$10,ES84=CaractAmostra!$BH$11,ES84=CaractAmostra!$BH$12),Respostas_Formatadas!ES84,"Outros")</f>
        <v>Com os pais</v>
      </c>
      <c r="EU84" s="36" t="s">
        <v>134</v>
      </c>
      <c r="EV84" s="36" t="s">
        <v>282</v>
      </c>
      <c r="EW84" s="36" t="s">
        <v>282</v>
      </c>
      <c r="FE84" s="115" t="s">
        <v>1248</v>
      </c>
      <c r="FF84" s="97">
        <v>7</v>
      </c>
      <c r="FI84" s="47" t="str">
        <f t="shared" si="2"/>
        <v>Aracaju</v>
      </c>
      <c r="FJ84" s="47" t="str">
        <f t="shared" si="3"/>
        <v>Tecnologia</v>
      </c>
    </row>
    <row r="85" spans="1:166" s="36" customFormat="1" ht="15.75" customHeight="1" x14ac:dyDescent="0.2">
      <c r="A85" s="38">
        <v>43409.79726788195</v>
      </c>
      <c r="C85" s="36" t="s">
        <v>122</v>
      </c>
      <c r="D85" s="47" t="s">
        <v>134</v>
      </c>
      <c r="M85" s="36" t="s">
        <v>146</v>
      </c>
      <c r="N85" s="36" t="s">
        <v>133</v>
      </c>
      <c r="O85" s="36" t="s">
        <v>133</v>
      </c>
      <c r="P85" s="36" t="s">
        <v>133</v>
      </c>
      <c r="Q85" s="36" t="s">
        <v>134</v>
      </c>
      <c r="R85" s="36" t="s">
        <v>151</v>
      </c>
      <c r="Y85" s="36" t="s">
        <v>134</v>
      </c>
      <c r="AI85" s="40"/>
      <c r="AQ85" s="40"/>
      <c r="BT85" s="36">
        <v>4</v>
      </c>
      <c r="BU85" s="36">
        <v>2</v>
      </c>
      <c r="BV85" s="36">
        <v>5</v>
      </c>
      <c r="BW85" s="36">
        <v>4</v>
      </c>
      <c r="BX85" s="36">
        <v>4</v>
      </c>
      <c r="BY85" s="36">
        <v>3</v>
      </c>
      <c r="BZ85" s="36">
        <v>5</v>
      </c>
      <c r="CA85" s="36">
        <v>5</v>
      </c>
      <c r="CB85" s="36">
        <v>5</v>
      </c>
      <c r="CC85" s="36">
        <v>5</v>
      </c>
      <c r="CD85" s="36">
        <v>5</v>
      </c>
      <c r="CE85" s="36">
        <v>5</v>
      </c>
      <c r="CF85" s="36">
        <v>4</v>
      </c>
      <c r="CG85" s="36">
        <v>4</v>
      </c>
      <c r="CH85" s="36" t="s">
        <v>225</v>
      </c>
      <c r="CI85"/>
      <c r="CJ85"/>
      <c r="CK85" s="36" t="s">
        <v>233</v>
      </c>
      <c r="CL85"/>
      <c r="CM85"/>
      <c r="CN85" s="36" t="s">
        <v>242</v>
      </c>
      <c r="CO85" s="36" t="s">
        <v>134</v>
      </c>
      <c r="CP85" s="36">
        <v>4</v>
      </c>
      <c r="CQ85" s="36">
        <v>4</v>
      </c>
      <c r="CR85" s="36" t="s">
        <v>248</v>
      </c>
      <c r="CS85" s="36">
        <v>3</v>
      </c>
      <c r="CT85" s="36">
        <v>2</v>
      </c>
      <c r="CU85" s="36">
        <v>3</v>
      </c>
      <c r="CV85" s="36">
        <v>4</v>
      </c>
      <c r="CW85" s="36">
        <v>3</v>
      </c>
      <c r="CX85" s="36">
        <v>4</v>
      </c>
      <c r="CY85" s="36">
        <v>4</v>
      </c>
      <c r="CZ85" s="36">
        <v>3</v>
      </c>
      <c r="DA85" s="36">
        <v>3</v>
      </c>
      <c r="DB85" s="36">
        <v>3</v>
      </c>
      <c r="DC85" s="36">
        <v>2</v>
      </c>
      <c r="DD85" s="36">
        <v>3</v>
      </c>
      <c r="DE85" s="36">
        <v>3</v>
      </c>
      <c r="DF85" s="36">
        <v>4</v>
      </c>
      <c r="DG85" s="36">
        <v>5</v>
      </c>
      <c r="DH85" s="36">
        <v>5</v>
      </c>
      <c r="DI85" s="36" t="s">
        <v>133</v>
      </c>
      <c r="DJ85" s="36" t="s">
        <v>134</v>
      </c>
      <c r="DL85"/>
      <c r="DM85"/>
      <c r="DN85"/>
      <c r="DO85"/>
      <c r="DP85"/>
      <c r="DR85" s="36" t="s">
        <v>133</v>
      </c>
      <c r="DS85" s="36" t="s">
        <v>259</v>
      </c>
      <c r="DT85"/>
      <c r="DU85"/>
      <c r="DV85" t="s">
        <v>261</v>
      </c>
      <c r="DW85"/>
      <c r="DX85"/>
      <c r="DY85" s="36">
        <v>4</v>
      </c>
      <c r="DZ85" s="36" t="s">
        <v>134</v>
      </c>
      <c r="EB85" s="36" t="s">
        <v>262</v>
      </c>
      <c r="EC85" s="36" t="s">
        <v>267</v>
      </c>
      <c r="ED85" s="36">
        <v>28</v>
      </c>
      <c r="EE85" s="36" t="s">
        <v>292</v>
      </c>
      <c r="EF85" s="36" t="str">
        <f>Tabulacao!MC85</f>
        <v>Aracaju</v>
      </c>
      <c r="EG85" s="36" t="s">
        <v>292</v>
      </c>
      <c r="EH85" s="36" t="str">
        <f>Tabulacao!MG85</f>
        <v>Aracaju</v>
      </c>
      <c r="EI85" s="36" t="s">
        <v>292</v>
      </c>
      <c r="EJ85" s="36" t="str">
        <f>Tabulacao!MK85</f>
        <v>Aracaju</v>
      </c>
      <c r="EK85" s="36" t="s">
        <v>134</v>
      </c>
      <c r="EL85" s="36" t="s">
        <v>134</v>
      </c>
      <c r="EM85" s="36" t="s">
        <v>134</v>
      </c>
      <c r="EN85" s="36" t="s">
        <v>134</v>
      </c>
      <c r="EO85" s="36" t="s">
        <v>134</v>
      </c>
      <c r="EP85" s="36" t="s">
        <v>134</v>
      </c>
      <c r="EQ85" s="36" t="s">
        <v>275</v>
      </c>
      <c r="ER85" s="36" t="str">
        <f>IF(OR(EQ85=CaractAmostra!$BD$9,EQ85=CaractAmostra!$BD$10,EQ85=CaractAmostra!$BD$11,EQ85=CaractAmostra!$BD$12,EQ85=CaractAmostra!$BD$13),Respostas_Formatadas!EQ85,"Outros")</f>
        <v>Com os pais</v>
      </c>
      <c r="ES85" s="36" t="s">
        <v>275</v>
      </c>
      <c r="ET85" s="36" t="str">
        <f>IF(OR(ES85=CaractAmostra!$BH$9,ES85=CaractAmostra!$BH$10,ES85=CaractAmostra!$BH$11,ES85=CaractAmostra!$BH$12),Respostas_Formatadas!ES85,"Outros")</f>
        <v>Com os pais</v>
      </c>
      <c r="EU85" s="36" t="s">
        <v>134</v>
      </c>
      <c r="EV85" s="36" t="s">
        <v>285</v>
      </c>
      <c r="EW85" s="36" t="s">
        <v>284</v>
      </c>
      <c r="FE85" s="47">
        <v>2018</v>
      </c>
      <c r="FF85" s="97">
        <v>6.9034000000000004</v>
      </c>
      <c r="FI85" s="47" t="str">
        <f t="shared" si="2"/>
        <v>Aracaju</v>
      </c>
      <c r="FJ85" s="47" t="str">
        <f t="shared" si="3"/>
        <v>Licenciatura</v>
      </c>
    </row>
    <row r="86" spans="1:166" s="36" customFormat="1" ht="15.75" customHeight="1" x14ac:dyDescent="0.2">
      <c r="A86" s="38">
        <v>43409.799081967591</v>
      </c>
      <c r="C86" s="36" t="s">
        <v>124</v>
      </c>
      <c r="D86" s="47" t="s">
        <v>134</v>
      </c>
      <c r="M86" s="36" t="s">
        <v>146</v>
      </c>
      <c r="N86" s="36" t="s">
        <v>134</v>
      </c>
      <c r="O86" s="36" t="s">
        <v>133</v>
      </c>
      <c r="P86" s="36" t="s">
        <v>133</v>
      </c>
      <c r="Q86" s="36" t="s">
        <v>133</v>
      </c>
      <c r="R86" s="36" t="s">
        <v>151</v>
      </c>
      <c r="Y86" s="36" t="s">
        <v>134</v>
      </c>
      <c r="AI86" s="40"/>
      <c r="AQ86" s="40"/>
      <c r="BT86" s="36">
        <v>2</v>
      </c>
      <c r="BU86" s="36">
        <v>3</v>
      </c>
      <c r="BV86" s="36">
        <v>3</v>
      </c>
      <c r="BW86" s="36">
        <v>2</v>
      </c>
      <c r="BX86" s="36">
        <v>3</v>
      </c>
      <c r="BY86" s="36">
        <v>2</v>
      </c>
      <c r="BZ86" s="36">
        <v>3</v>
      </c>
      <c r="CA86" s="36">
        <v>4</v>
      </c>
      <c r="CB86" s="36">
        <v>2</v>
      </c>
      <c r="CC86" s="36">
        <v>3</v>
      </c>
      <c r="CD86" s="36">
        <v>1</v>
      </c>
      <c r="CE86" s="36">
        <v>1</v>
      </c>
      <c r="CF86" s="36">
        <v>1</v>
      </c>
      <c r="CG86" s="36">
        <v>1</v>
      </c>
      <c r="CH86" s="36" t="s">
        <v>222</v>
      </c>
      <c r="CI86"/>
      <c r="CJ86"/>
      <c r="CK86" s="36" t="s">
        <v>233</v>
      </c>
      <c r="CL86"/>
      <c r="CM86"/>
      <c r="CN86" s="36" t="s">
        <v>241</v>
      </c>
      <c r="CO86" s="36" t="s">
        <v>134</v>
      </c>
      <c r="CP86" s="36">
        <v>2</v>
      </c>
      <c r="CQ86" s="36">
        <v>4</v>
      </c>
      <c r="CR86" s="36" t="s">
        <v>248</v>
      </c>
      <c r="CS86" s="36">
        <v>2</v>
      </c>
      <c r="CT86" s="36">
        <v>1</v>
      </c>
      <c r="CU86" s="36">
        <v>4</v>
      </c>
      <c r="CV86" s="36">
        <v>1</v>
      </c>
      <c r="CW86" s="36">
        <v>1</v>
      </c>
      <c r="CX86" s="36">
        <v>4</v>
      </c>
      <c r="CY86" s="36">
        <v>3</v>
      </c>
      <c r="CZ86" s="36">
        <v>5</v>
      </c>
      <c r="DA86" s="36">
        <v>2</v>
      </c>
      <c r="DB86" s="36">
        <v>3</v>
      </c>
      <c r="DC86" s="36">
        <v>2</v>
      </c>
      <c r="DD86" s="36">
        <v>1</v>
      </c>
      <c r="DE86" s="36">
        <v>1</v>
      </c>
      <c r="DF86" s="36">
        <v>1</v>
      </c>
      <c r="DG86" s="36">
        <v>3</v>
      </c>
      <c r="DH86" s="36">
        <v>2</v>
      </c>
      <c r="DI86" s="36" t="s">
        <v>250</v>
      </c>
      <c r="DJ86" s="36" t="s">
        <v>133</v>
      </c>
      <c r="DK86" s="36" t="s">
        <v>255</v>
      </c>
      <c r="DL86"/>
      <c r="DM86"/>
      <c r="DN86"/>
      <c r="DO86"/>
      <c r="DP86"/>
      <c r="DQ86" s="36">
        <v>1</v>
      </c>
      <c r="DR86" s="36" t="s">
        <v>134</v>
      </c>
      <c r="DT86"/>
      <c r="DU86"/>
      <c r="DV86"/>
      <c r="DW86"/>
      <c r="DX86"/>
      <c r="DZ86" s="36" t="s">
        <v>134</v>
      </c>
      <c r="EB86" s="36" t="s">
        <v>263</v>
      </c>
      <c r="EC86" s="36" t="s">
        <v>267</v>
      </c>
      <c r="ED86" s="36">
        <v>32</v>
      </c>
      <c r="EE86" s="36" t="s">
        <v>292</v>
      </c>
      <c r="EF86" s="36" t="str">
        <f>Tabulacao!MC86</f>
        <v>Aracaju</v>
      </c>
      <c r="EG86" s="36" t="s">
        <v>292</v>
      </c>
      <c r="EH86" s="36" t="str">
        <f>Tabulacao!MG86</f>
        <v>Aracaju</v>
      </c>
      <c r="EI86" s="36" t="s">
        <v>292</v>
      </c>
      <c r="EJ86" s="36" t="str">
        <f>Tabulacao!MK86</f>
        <v>Aracaju</v>
      </c>
      <c r="EK86" s="36" t="s">
        <v>134</v>
      </c>
      <c r="EL86" s="36" t="s">
        <v>134</v>
      </c>
      <c r="EM86" s="36" t="s">
        <v>134</v>
      </c>
      <c r="EN86" s="36" t="s">
        <v>134</v>
      </c>
      <c r="EO86" s="36" t="s">
        <v>134</v>
      </c>
      <c r="EP86" s="36" t="s">
        <v>134</v>
      </c>
      <c r="EQ86" s="36" t="s">
        <v>274</v>
      </c>
      <c r="ER86" s="36" t="str">
        <f>IF(OR(EQ86=CaractAmostra!$BD$9,EQ86=CaractAmostra!$BD$10,EQ86=CaractAmostra!$BD$11,EQ86=CaractAmostra!$BD$12,EQ86=CaractAmostra!$BD$13),Respostas_Formatadas!EQ86,"Outros")</f>
        <v>Com um(a) parceiro(a)</v>
      </c>
      <c r="ES86" s="36" t="s">
        <v>274</v>
      </c>
      <c r="ET86" s="36" t="str">
        <f>IF(OR(ES86=CaractAmostra!$BH$9,ES86=CaractAmostra!$BH$10,ES86=CaractAmostra!$BH$11,ES86=CaractAmostra!$BH$12),Respostas_Formatadas!ES86,"Outros")</f>
        <v>Com um(a) parceiro(a)</v>
      </c>
      <c r="EU86" s="36" t="s">
        <v>134</v>
      </c>
      <c r="EV86" s="36" t="s">
        <v>285</v>
      </c>
      <c r="EW86" s="36" t="s">
        <v>287</v>
      </c>
      <c r="FD86" s="36" t="s">
        <v>511</v>
      </c>
      <c r="FE86" s="47">
        <v>2015</v>
      </c>
      <c r="FF86" s="97">
        <v>5.9816000000000003</v>
      </c>
      <c r="FI86" s="47" t="str">
        <f t="shared" si="2"/>
        <v>Aracaju</v>
      </c>
      <c r="FJ86" s="47" t="str">
        <f t="shared" si="3"/>
        <v>Tecnologia</v>
      </c>
    </row>
    <row r="87" spans="1:166" s="36" customFormat="1" ht="15.75" customHeight="1" x14ac:dyDescent="0.2">
      <c r="A87" s="38">
        <v>43409.811295798616</v>
      </c>
      <c r="C87" s="36" t="s">
        <v>119</v>
      </c>
      <c r="D87" s="47" t="s">
        <v>134</v>
      </c>
      <c r="M87" s="36" t="s">
        <v>146</v>
      </c>
      <c r="N87" s="36" t="s">
        <v>134</v>
      </c>
      <c r="O87" s="36" t="s">
        <v>133</v>
      </c>
      <c r="P87" s="36" t="s">
        <v>134</v>
      </c>
      <c r="Q87" s="36" t="s">
        <v>134</v>
      </c>
      <c r="R87" s="36" t="s">
        <v>151</v>
      </c>
      <c r="Y87" s="36" t="s">
        <v>166</v>
      </c>
      <c r="AC87" s="36" t="s">
        <v>183</v>
      </c>
      <c r="AD87" s="36" t="s">
        <v>424</v>
      </c>
      <c r="AE87" s="36">
        <v>5</v>
      </c>
      <c r="AF87" s="36" t="s">
        <v>187</v>
      </c>
      <c r="AG87" s="36" t="s">
        <v>187</v>
      </c>
      <c r="AH87" s="36" t="s">
        <v>134</v>
      </c>
      <c r="AI87" s="40">
        <v>2500</v>
      </c>
      <c r="AJ87" s="36">
        <v>5</v>
      </c>
      <c r="AK87" s="36">
        <v>5</v>
      </c>
      <c r="AL87" s="36" t="s">
        <v>133</v>
      </c>
      <c r="AP87" s="36" t="s">
        <v>424</v>
      </c>
      <c r="AQ87" s="40">
        <v>6000</v>
      </c>
      <c r="AR87" s="36">
        <v>3</v>
      </c>
      <c r="AS87" s="36">
        <v>4</v>
      </c>
      <c r="AT87" s="36">
        <v>3</v>
      </c>
      <c r="AU87" s="36">
        <v>4</v>
      </c>
      <c r="AV87" s="36">
        <v>3</v>
      </c>
      <c r="AW87" s="36" t="s">
        <v>192</v>
      </c>
      <c r="AX87" s="36" t="s">
        <v>207</v>
      </c>
      <c r="AY87" s="36" t="s">
        <v>512</v>
      </c>
      <c r="AZ87" s="36" t="s">
        <v>133</v>
      </c>
      <c r="BA87" s="36" t="s">
        <v>170</v>
      </c>
      <c r="BB87" s="36" t="s">
        <v>513</v>
      </c>
      <c r="BC87" s="36" t="s">
        <v>292</v>
      </c>
      <c r="BD87" s="36" t="s">
        <v>187</v>
      </c>
      <c r="BE87" s="36" t="s">
        <v>214</v>
      </c>
      <c r="BG87" s="36">
        <v>3</v>
      </c>
      <c r="BH87" s="36">
        <v>3</v>
      </c>
      <c r="BI87" s="36">
        <v>3</v>
      </c>
      <c r="BJ87" s="36">
        <v>3</v>
      </c>
      <c r="BK87" s="36">
        <v>3</v>
      </c>
      <c r="BL87" s="36">
        <v>3</v>
      </c>
      <c r="BM87" s="36">
        <v>3</v>
      </c>
      <c r="BN87" s="36">
        <v>3</v>
      </c>
      <c r="BO87" s="36">
        <v>3</v>
      </c>
      <c r="BP87" s="36">
        <v>3</v>
      </c>
      <c r="BQ87" s="36">
        <v>3</v>
      </c>
      <c r="BR87" s="36">
        <v>3</v>
      </c>
      <c r="BS87" s="36">
        <v>2</v>
      </c>
      <c r="BT87" s="36">
        <v>3</v>
      </c>
      <c r="BU87" s="36">
        <v>3</v>
      </c>
      <c r="BV87" s="36">
        <v>3</v>
      </c>
      <c r="BW87" s="36">
        <v>3</v>
      </c>
      <c r="BX87" s="36">
        <v>3</v>
      </c>
      <c r="BY87" s="36">
        <v>3</v>
      </c>
      <c r="BZ87" s="36">
        <v>3</v>
      </c>
      <c r="CA87" s="36">
        <v>3</v>
      </c>
      <c r="CB87" s="36">
        <v>3</v>
      </c>
      <c r="CC87" s="36">
        <v>3</v>
      </c>
      <c r="CD87" s="36">
        <v>3</v>
      </c>
      <c r="CE87" s="36">
        <v>3</v>
      </c>
      <c r="CF87" s="36">
        <v>2</v>
      </c>
      <c r="CG87" s="36">
        <v>3</v>
      </c>
      <c r="CH87" s="36" t="s">
        <v>222</v>
      </c>
      <c r="CI87"/>
      <c r="CJ87"/>
      <c r="CK87" s="36" t="s">
        <v>234</v>
      </c>
      <c r="CL87" t="s">
        <v>1022</v>
      </c>
      <c r="CM87"/>
      <c r="CN87" s="36" t="s">
        <v>241</v>
      </c>
      <c r="CO87" s="36" t="s">
        <v>134</v>
      </c>
      <c r="CP87" s="36">
        <v>4</v>
      </c>
      <c r="CQ87" s="36">
        <v>2</v>
      </c>
      <c r="CR87" s="36" t="s">
        <v>248</v>
      </c>
      <c r="CS87" s="36">
        <v>2</v>
      </c>
      <c r="CT87" s="36">
        <v>3</v>
      </c>
      <c r="CU87" s="36">
        <v>1</v>
      </c>
      <c r="CV87" s="36">
        <v>4</v>
      </c>
      <c r="CW87" s="36">
        <v>3</v>
      </c>
      <c r="CX87" s="36">
        <v>4</v>
      </c>
      <c r="CY87" s="36">
        <v>4</v>
      </c>
      <c r="CZ87" s="36">
        <v>4</v>
      </c>
      <c r="DA87" s="36">
        <v>1</v>
      </c>
      <c r="DB87" s="36">
        <v>2</v>
      </c>
      <c r="DC87" s="36">
        <v>2</v>
      </c>
      <c r="DD87" s="36">
        <v>3</v>
      </c>
      <c r="DE87" s="36">
        <v>4</v>
      </c>
      <c r="DF87" s="36">
        <v>4</v>
      </c>
      <c r="DG87" s="36">
        <v>4</v>
      </c>
      <c r="DH87" s="36">
        <v>2</v>
      </c>
      <c r="DI87" s="36" t="s">
        <v>133</v>
      </c>
      <c r="DJ87" s="36" t="s">
        <v>134</v>
      </c>
      <c r="DL87"/>
      <c r="DM87"/>
      <c r="DN87"/>
      <c r="DO87"/>
      <c r="DP87"/>
      <c r="DR87" s="36" t="s">
        <v>134</v>
      </c>
      <c r="DT87"/>
      <c r="DU87"/>
      <c r="DV87"/>
      <c r="DW87"/>
      <c r="DX87"/>
      <c r="DZ87" s="36" t="s">
        <v>133</v>
      </c>
      <c r="EA87" s="36">
        <v>2</v>
      </c>
      <c r="EB87" s="36" t="s">
        <v>262</v>
      </c>
      <c r="EC87" s="36" t="s">
        <v>267</v>
      </c>
      <c r="ED87" s="36">
        <v>25</v>
      </c>
      <c r="EE87" s="36" t="s">
        <v>514</v>
      </c>
      <c r="EF87" s="36" t="str">
        <f>Tabulacao!MC87</f>
        <v>Verdejante - PE</v>
      </c>
      <c r="EG87" s="36" t="s">
        <v>304</v>
      </c>
      <c r="EH87" s="36" t="str">
        <f>Tabulacao!MG87</f>
        <v>Aracaju</v>
      </c>
      <c r="EI87" s="36" t="s">
        <v>304</v>
      </c>
      <c r="EJ87" s="36" t="str">
        <f>Tabulacao!MK87</f>
        <v>Aracaju</v>
      </c>
      <c r="EK87" s="36" t="s">
        <v>134</v>
      </c>
      <c r="EL87" s="36" t="s">
        <v>134</v>
      </c>
      <c r="EM87" s="36" t="s">
        <v>134</v>
      </c>
      <c r="EN87" s="36" t="s">
        <v>134</v>
      </c>
      <c r="EO87" s="36" t="s">
        <v>134</v>
      </c>
      <c r="EP87" s="36" t="s">
        <v>134</v>
      </c>
      <c r="EQ87" s="36" t="s">
        <v>515</v>
      </c>
      <c r="ER87" s="36" t="str">
        <f>IF(OR(EQ87=CaractAmostra!$BD$9,EQ87=CaractAmostra!$BD$10,EQ87=CaractAmostra!$BD$11,EQ87=CaractAmostra!$BD$12,EQ87=CaractAmostra!$BD$13),Respostas_Formatadas!EQ87,"Outros")</f>
        <v>Outros</v>
      </c>
      <c r="ES87" s="36" t="s">
        <v>515</v>
      </c>
      <c r="ET87" s="36" t="str">
        <f>IF(OR(ES87=CaractAmostra!$BH$9,ES87=CaractAmostra!$BH$10,ES87=CaractAmostra!$BH$11,ES87=CaractAmostra!$BH$12),Respostas_Formatadas!ES87,"Outros")</f>
        <v>Outros</v>
      </c>
      <c r="EU87" s="36" t="s">
        <v>134</v>
      </c>
      <c r="EV87" s="36" t="s">
        <v>282</v>
      </c>
      <c r="EW87" s="36" t="s">
        <v>287</v>
      </c>
      <c r="FE87" s="47">
        <v>2017</v>
      </c>
      <c r="FF87" s="97">
        <v>6.9470999999999998</v>
      </c>
      <c r="FI87" s="47" t="str">
        <f t="shared" si="2"/>
        <v>Aracaju</v>
      </c>
      <c r="FJ87" s="47" t="str">
        <f t="shared" si="3"/>
        <v>Bacharelado</v>
      </c>
    </row>
    <row r="88" spans="1:166" s="36" customFormat="1" ht="15.75" customHeight="1" x14ac:dyDescent="0.2">
      <c r="A88" s="38">
        <v>43409.871681145829</v>
      </c>
      <c r="C88" s="36" t="s">
        <v>119</v>
      </c>
      <c r="D88" s="47" t="s">
        <v>134</v>
      </c>
      <c r="M88" s="36" t="s">
        <v>146</v>
      </c>
      <c r="N88" s="36" t="s">
        <v>134</v>
      </c>
      <c r="O88" s="36" t="s">
        <v>133</v>
      </c>
      <c r="P88" s="36" t="s">
        <v>134</v>
      </c>
      <c r="Q88" s="36" t="s">
        <v>134</v>
      </c>
      <c r="R88" s="36" t="s">
        <v>151</v>
      </c>
      <c r="Y88" s="36" t="s">
        <v>134</v>
      </c>
      <c r="AI88" s="40"/>
      <c r="AQ88" s="40"/>
      <c r="BT88" s="36">
        <v>3</v>
      </c>
      <c r="BU88" s="36">
        <v>3</v>
      </c>
      <c r="BV88" s="36">
        <v>3</v>
      </c>
      <c r="BW88" s="36">
        <v>2</v>
      </c>
      <c r="BX88" s="36">
        <v>3</v>
      </c>
      <c r="BY88" s="36">
        <v>4</v>
      </c>
      <c r="BZ88" s="36">
        <v>4</v>
      </c>
      <c r="CA88" s="36">
        <v>5</v>
      </c>
      <c r="CB88" s="36">
        <v>3</v>
      </c>
      <c r="CC88" s="36">
        <v>4</v>
      </c>
      <c r="CD88" s="36">
        <v>4</v>
      </c>
      <c r="CE88" s="36">
        <v>4</v>
      </c>
      <c r="CF88" s="36">
        <v>5</v>
      </c>
      <c r="CG88" s="36">
        <v>2</v>
      </c>
      <c r="CH88" s="36" t="s">
        <v>222</v>
      </c>
      <c r="CI88" t="s">
        <v>225</v>
      </c>
      <c r="CJ88" t="s">
        <v>229</v>
      </c>
      <c r="CK88" s="36" t="s">
        <v>233</v>
      </c>
      <c r="CL88" t="s">
        <v>236</v>
      </c>
      <c r="CM88"/>
      <c r="CN88" s="36" t="s">
        <v>242</v>
      </c>
      <c r="CO88" s="36" t="s">
        <v>134</v>
      </c>
      <c r="CP88" s="36">
        <v>2</v>
      </c>
      <c r="CQ88" s="36">
        <v>4</v>
      </c>
      <c r="CR88" s="36" t="s">
        <v>248</v>
      </c>
      <c r="CS88" s="36">
        <v>2</v>
      </c>
      <c r="CT88" s="36">
        <v>4</v>
      </c>
      <c r="CU88" s="36">
        <v>1</v>
      </c>
      <c r="CV88" s="36">
        <v>2</v>
      </c>
      <c r="CW88" s="36">
        <v>3</v>
      </c>
      <c r="CX88" s="36">
        <v>4</v>
      </c>
      <c r="CY88" s="36">
        <v>4</v>
      </c>
      <c r="CZ88" s="36">
        <v>4</v>
      </c>
      <c r="DA88" s="36">
        <v>5</v>
      </c>
      <c r="DB88" s="36">
        <v>4</v>
      </c>
      <c r="DC88" s="36">
        <v>3</v>
      </c>
      <c r="DD88" s="36">
        <v>4</v>
      </c>
      <c r="DE88" s="36">
        <v>3</v>
      </c>
      <c r="DF88" s="36">
        <v>4</v>
      </c>
      <c r="DG88" s="36">
        <v>3</v>
      </c>
      <c r="DH88" s="36">
        <v>2</v>
      </c>
      <c r="DI88" s="36" t="s">
        <v>252</v>
      </c>
      <c r="DJ88" s="36" t="s">
        <v>134</v>
      </c>
      <c r="DL88"/>
      <c r="DM88"/>
      <c r="DN88"/>
      <c r="DO88"/>
      <c r="DP88"/>
      <c r="DR88" s="36" t="s">
        <v>134</v>
      </c>
      <c r="DT88"/>
      <c r="DU88"/>
      <c r="DV88"/>
      <c r="DW88"/>
      <c r="DX88"/>
      <c r="DZ88" s="36" t="s">
        <v>134</v>
      </c>
      <c r="EB88" s="36" t="s">
        <v>263</v>
      </c>
      <c r="EC88" s="36" t="s">
        <v>267</v>
      </c>
      <c r="ED88" s="36">
        <v>25</v>
      </c>
      <c r="EE88" s="36" t="s">
        <v>292</v>
      </c>
      <c r="EF88" s="36" t="str">
        <f>Tabulacao!MC88</f>
        <v>Aracaju</v>
      </c>
      <c r="EG88" s="36" t="s">
        <v>292</v>
      </c>
      <c r="EH88" s="36" t="str">
        <f>Tabulacao!MG88</f>
        <v>Aracaju</v>
      </c>
      <c r="EI88" s="36" t="s">
        <v>516</v>
      </c>
      <c r="EJ88" s="36" t="str">
        <f>Tabulacao!MK88</f>
        <v>Salvador - BA</v>
      </c>
      <c r="EK88" s="36" t="s">
        <v>134</v>
      </c>
      <c r="EL88" s="36" t="s">
        <v>134</v>
      </c>
      <c r="EM88" s="36" t="s">
        <v>134</v>
      </c>
      <c r="EN88" s="36" t="s">
        <v>134</v>
      </c>
      <c r="EO88" s="36" t="s">
        <v>134</v>
      </c>
      <c r="EP88" s="36" t="s">
        <v>134</v>
      </c>
      <c r="EQ88" s="36" t="s">
        <v>272</v>
      </c>
      <c r="ER88" s="36" t="str">
        <f>IF(OR(EQ88=CaractAmostra!$BD$9,EQ88=CaractAmostra!$BD$10,EQ88=CaractAmostra!$BD$11,EQ88=CaractAmostra!$BD$12,EQ88=CaractAmostra!$BD$13),Respostas_Formatadas!EQ88,"Outros")</f>
        <v>Morava sozinho</v>
      </c>
      <c r="ES88" s="36" t="s">
        <v>274</v>
      </c>
      <c r="ET88" s="36" t="str">
        <f>IF(OR(ES88=CaractAmostra!$BH$9,ES88=CaractAmostra!$BH$10,ES88=CaractAmostra!$BH$11,ES88=CaractAmostra!$BH$12),Respostas_Formatadas!ES88,"Outros")</f>
        <v>Com um(a) parceiro(a)</v>
      </c>
      <c r="EU88" s="36" t="s">
        <v>134</v>
      </c>
      <c r="EV88" s="36" t="s">
        <v>282</v>
      </c>
      <c r="EW88" s="36" t="s">
        <v>285</v>
      </c>
      <c r="FE88" s="47">
        <v>2017</v>
      </c>
      <c r="FF88" s="97">
        <v>8.3703000000000003</v>
      </c>
      <c r="FI88" s="47" t="str">
        <f t="shared" si="2"/>
        <v>Aracaju</v>
      </c>
      <c r="FJ88" s="47" t="str">
        <f t="shared" si="3"/>
        <v>Bacharelado</v>
      </c>
    </row>
    <row r="89" spans="1:166" s="36" customFormat="1" ht="15.75" customHeight="1" x14ac:dyDescent="0.2">
      <c r="A89" s="38">
        <v>43409.955215567126</v>
      </c>
      <c r="C89" s="36" t="s">
        <v>125</v>
      </c>
      <c r="D89" s="47" t="s">
        <v>134</v>
      </c>
      <c r="M89" s="36" t="s">
        <v>146</v>
      </c>
      <c r="N89" s="36" t="s">
        <v>134</v>
      </c>
      <c r="O89" s="36" t="s">
        <v>133</v>
      </c>
      <c r="P89" s="36" t="s">
        <v>133</v>
      </c>
      <c r="Q89" s="36" t="s">
        <v>133</v>
      </c>
      <c r="R89" s="36" t="s">
        <v>153</v>
      </c>
      <c r="S89" s="36" t="s">
        <v>517</v>
      </c>
      <c r="T89" s="36" t="s">
        <v>154</v>
      </c>
      <c r="U89" s="36" t="s">
        <v>159</v>
      </c>
      <c r="V89" s="36">
        <v>1</v>
      </c>
      <c r="W89" s="36">
        <v>1</v>
      </c>
      <c r="X89" s="36">
        <v>5</v>
      </c>
      <c r="Y89" s="36" t="s">
        <v>166</v>
      </c>
      <c r="AC89" s="36" t="s">
        <v>185</v>
      </c>
      <c r="AD89" s="36" t="s">
        <v>518</v>
      </c>
      <c r="AE89" s="36">
        <v>5</v>
      </c>
      <c r="AF89" s="36" t="s">
        <v>519</v>
      </c>
      <c r="AG89" s="36" t="s">
        <v>189</v>
      </c>
      <c r="AH89" s="36" t="s">
        <v>134</v>
      </c>
      <c r="AI89" s="40">
        <v>980</v>
      </c>
      <c r="AJ89" s="36">
        <v>5</v>
      </c>
      <c r="AK89" s="36">
        <v>5</v>
      </c>
      <c r="AL89" s="36" t="s">
        <v>133</v>
      </c>
      <c r="AP89" s="36" t="s">
        <v>520</v>
      </c>
      <c r="AQ89" s="40">
        <v>980</v>
      </c>
      <c r="AR89" s="36">
        <v>2</v>
      </c>
      <c r="AS89" s="36">
        <v>5</v>
      </c>
      <c r="AT89" s="36">
        <v>5</v>
      </c>
      <c r="AU89" s="36">
        <v>4</v>
      </c>
      <c r="AV89" s="36">
        <v>5</v>
      </c>
      <c r="AW89" s="36" t="s">
        <v>192</v>
      </c>
      <c r="AX89" s="36" t="s">
        <v>206</v>
      </c>
      <c r="AY89" s="36" t="s">
        <v>210</v>
      </c>
      <c r="AZ89" s="36" t="s">
        <v>133</v>
      </c>
      <c r="BA89" s="36" t="s">
        <v>170</v>
      </c>
      <c r="BB89" s="36" t="s">
        <v>292</v>
      </c>
      <c r="BC89" s="36" t="s">
        <v>292</v>
      </c>
      <c r="BD89" s="36" t="s">
        <v>189</v>
      </c>
      <c r="BF89" s="36" t="s">
        <v>221</v>
      </c>
      <c r="BG89" s="36">
        <v>5</v>
      </c>
      <c r="BH89" s="36">
        <v>5</v>
      </c>
      <c r="BI89" s="36">
        <v>5</v>
      </c>
      <c r="BJ89" s="36">
        <v>5</v>
      </c>
      <c r="BK89" s="36">
        <v>5</v>
      </c>
      <c r="BL89" s="36">
        <v>5</v>
      </c>
      <c r="BM89" s="36">
        <v>5</v>
      </c>
      <c r="BN89" s="36">
        <v>5</v>
      </c>
      <c r="BO89" s="36">
        <v>5</v>
      </c>
      <c r="BP89" s="36">
        <v>5</v>
      </c>
      <c r="BQ89" s="36">
        <v>5</v>
      </c>
      <c r="BR89" s="36">
        <v>5</v>
      </c>
      <c r="BS89" s="36">
        <v>4</v>
      </c>
      <c r="BT89" s="36">
        <v>5</v>
      </c>
      <c r="BU89" s="36">
        <v>5</v>
      </c>
      <c r="BV89" s="36">
        <v>5</v>
      </c>
      <c r="BW89" s="36">
        <v>5</v>
      </c>
      <c r="BX89" s="36">
        <v>5</v>
      </c>
      <c r="BY89" s="36">
        <v>5</v>
      </c>
      <c r="BZ89" s="36">
        <v>5</v>
      </c>
      <c r="CA89" s="36">
        <v>5</v>
      </c>
      <c r="CB89" s="36">
        <v>5</v>
      </c>
      <c r="CC89" s="36">
        <v>5</v>
      </c>
      <c r="CD89" s="36">
        <v>4</v>
      </c>
      <c r="CE89" s="36">
        <v>4</v>
      </c>
      <c r="CF89" s="36">
        <v>4</v>
      </c>
      <c r="CG89" s="36">
        <v>5</v>
      </c>
      <c r="CH89" s="36" t="s">
        <v>222</v>
      </c>
      <c r="CI89" t="s">
        <v>225</v>
      </c>
      <c r="CJ89" t="s">
        <v>226</v>
      </c>
      <c r="CK89" s="36" t="s">
        <v>233</v>
      </c>
      <c r="CL89" t="s">
        <v>235</v>
      </c>
      <c r="CM89" t="s">
        <v>240</v>
      </c>
      <c r="CN89" s="36" t="s">
        <v>242</v>
      </c>
      <c r="CO89" s="36" t="s">
        <v>133</v>
      </c>
      <c r="CP89" s="36">
        <v>2</v>
      </c>
      <c r="CQ89" s="36">
        <v>5</v>
      </c>
      <c r="CR89" s="36" t="s">
        <v>248</v>
      </c>
      <c r="CS89" s="36">
        <v>5</v>
      </c>
      <c r="CT89" s="36">
        <v>3</v>
      </c>
      <c r="CU89" s="36">
        <v>5</v>
      </c>
      <c r="CV89" s="36">
        <v>5</v>
      </c>
      <c r="CW89" s="36">
        <v>5</v>
      </c>
      <c r="CX89" s="36">
        <v>5</v>
      </c>
      <c r="CY89" s="36">
        <v>5</v>
      </c>
      <c r="CZ89" s="36">
        <v>5</v>
      </c>
      <c r="DA89" s="36">
        <v>3</v>
      </c>
      <c r="DB89" s="36">
        <v>5</v>
      </c>
      <c r="DC89" s="36">
        <v>5</v>
      </c>
      <c r="DD89" s="36">
        <v>5</v>
      </c>
      <c r="DE89" s="36">
        <v>5</v>
      </c>
      <c r="DF89" s="36">
        <v>5</v>
      </c>
      <c r="DG89" s="36">
        <v>5</v>
      </c>
      <c r="DH89" s="36">
        <v>5</v>
      </c>
      <c r="DI89" s="36" t="s">
        <v>133</v>
      </c>
      <c r="DJ89" s="36" t="s">
        <v>133</v>
      </c>
      <c r="DK89" s="36" t="s">
        <v>256</v>
      </c>
      <c r="DL89"/>
      <c r="DM89"/>
      <c r="DN89"/>
      <c r="DO89"/>
      <c r="DP89"/>
      <c r="DQ89" s="36">
        <v>5</v>
      </c>
      <c r="DR89" s="36" t="s">
        <v>133</v>
      </c>
      <c r="DS89" s="36" t="s">
        <v>258</v>
      </c>
      <c r="DT89" t="s">
        <v>259</v>
      </c>
      <c r="DU89"/>
      <c r="DV89"/>
      <c r="DW89" t="s">
        <v>260</v>
      </c>
      <c r="DX89"/>
      <c r="DY89" s="36">
        <v>5</v>
      </c>
      <c r="DZ89" s="36" t="s">
        <v>133</v>
      </c>
      <c r="EA89" s="36">
        <v>5</v>
      </c>
      <c r="EB89" s="36" t="s">
        <v>263</v>
      </c>
      <c r="EC89" s="36" t="s">
        <v>267</v>
      </c>
      <c r="ED89" s="36">
        <v>23</v>
      </c>
      <c r="EE89" s="36" t="s">
        <v>292</v>
      </c>
      <c r="EF89" s="36" t="str">
        <f>Tabulacao!MC89</f>
        <v>Aracaju</v>
      </c>
      <c r="EG89" s="36" t="s">
        <v>292</v>
      </c>
      <c r="EH89" s="36" t="str">
        <f>Tabulacao!MG89</f>
        <v>Aracaju</v>
      </c>
      <c r="EI89" s="36" t="s">
        <v>292</v>
      </c>
      <c r="EJ89" s="36" t="str">
        <f>Tabulacao!MK89</f>
        <v>Aracaju</v>
      </c>
      <c r="EK89" s="36" t="s">
        <v>134</v>
      </c>
      <c r="EL89" s="36" t="s">
        <v>134</v>
      </c>
      <c r="EM89" s="36" t="s">
        <v>134</v>
      </c>
      <c r="EN89" s="36" t="s">
        <v>134</v>
      </c>
      <c r="EO89" s="36" t="s">
        <v>134</v>
      </c>
      <c r="EP89" s="36" t="s">
        <v>134</v>
      </c>
      <c r="EQ89" s="36" t="s">
        <v>275</v>
      </c>
      <c r="ER89" s="36" t="str">
        <f>IF(OR(EQ89=CaractAmostra!$BD$9,EQ89=CaractAmostra!$BD$10,EQ89=CaractAmostra!$BD$11,EQ89=CaractAmostra!$BD$12,EQ89=CaractAmostra!$BD$13),Respostas_Formatadas!EQ89,"Outros")</f>
        <v>Com os pais</v>
      </c>
      <c r="ES89" s="36" t="s">
        <v>275</v>
      </c>
      <c r="ET89" s="36" t="str">
        <f>IF(OR(ES89=CaractAmostra!$BH$9,ES89=CaractAmostra!$BH$10,ES89=CaractAmostra!$BH$11,ES89=CaractAmostra!$BH$12),Respostas_Formatadas!ES89,"Outros")</f>
        <v>Com os pais</v>
      </c>
      <c r="EU89" s="36" t="s">
        <v>134</v>
      </c>
      <c r="EV89" s="36" t="s">
        <v>192</v>
      </c>
      <c r="EW89" s="36" t="s">
        <v>283</v>
      </c>
      <c r="FE89" s="47">
        <v>2016</v>
      </c>
      <c r="FF89" s="97">
        <v>8.0756999999999994</v>
      </c>
      <c r="FI89" s="47" t="str">
        <f t="shared" si="2"/>
        <v>Aracaju</v>
      </c>
      <c r="FJ89" s="47" t="str">
        <f t="shared" si="3"/>
        <v>Tecnologia</v>
      </c>
    </row>
    <row r="90" spans="1:166" s="36" customFormat="1" ht="15.75" customHeight="1" x14ac:dyDescent="0.2">
      <c r="A90" s="38">
        <v>43410.03477194444</v>
      </c>
      <c r="C90" s="36" t="s">
        <v>125</v>
      </c>
      <c r="D90" s="47" t="s">
        <v>134</v>
      </c>
      <c r="M90" s="36" t="s">
        <v>149</v>
      </c>
      <c r="N90" s="36" t="s">
        <v>133</v>
      </c>
      <c r="O90" s="36" t="s">
        <v>133</v>
      </c>
      <c r="P90" s="36" t="s">
        <v>133</v>
      </c>
      <c r="Q90" s="36" t="s">
        <v>133</v>
      </c>
      <c r="R90" s="36" t="s">
        <v>151</v>
      </c>
      <c r="Y90" s="36" t="s">
        <v>166</v>
      </c>
      <c r="AC90" s="36" t="s">
        <v>181</v>
      </c>
      <c r="AD90" s="36" t="s">
        <v>521</v>
      </c>
      <c r="AE90" s="36">
        <v>1</v>
      </c>
      <c r="AF90" s="36" t="s">
        <v>190</v>
      </c>
      <c r="AG90" s="36" t="s">
        <v>190</v>
      </c>
      <c r="AH90" s="36" t="s">
        <v>134</v>
      </c>
      <c r="AI90" s="40">
        <v>750</v>
      </c>
      <c r="AJ90" s="36">
        <v>2</v>
      </c>
      <c r="AK90" s="36">
        <v>2</v>
      </c>
      <c r="AL90" s="36" t="s">
        <v>133</v>
      </c>
      <c r="AP90" s="36" t="s">
        <v>521</v>
      </c>
      <c r="AQ90" s="40">
        <v>920</v>
      </c>
      <c r="AR90" s="36">
        <v>1</v>
      </c>
      <c r="AS90" s="36">
        <v>2</v>
      </c>
      <c r="AT90" s="36">
        <v>2</v>
      </c>
      <c r="AU90" s="36">
        <v>2</v>
      </c>
      <c r="AV90" s="36">
        <v>2</v>
      </c>
      <c r="AW90" s="36" t="s">
        <v>193</v>
      </c>
      <c r="AX90" s="36" t="s">
        <v>206</v>
      </c>
      <c r="AY90" s="36" t="s">
        <v>210</v>
      </c>
      <c r="AZ90" s="36" t="s">
        <v>133</v>
      </c>
      <c r="BA90" s="36" t="s">
        <v>170</v>
      </c>
      <c r="BB90" s="36" t="s">
        <v>522</v>
      </c>
      <c r="BC90" s="36" t="s">
        <v>292</v>
      </c>
      <c r="BD90" s="36" t="s">
        <v>190</v>
      </c>
      <c r="BG90" s="36">
        <v>3</v>
      </c>
      <c r="BH90" s="36">
        <v>3</v>
      </c>
      <c r="BI90" s="36">
        <v>4</v>
      </c>
      <c r="BJ90" s="36">
        <v>4</v>
      </c>
      <c r="BK90" s="36">
        <v>4</v>
      </c>
      <c r="BL90" s="36">
        <v>4</v>
      </c>
      <c r="BM90" s="36">
        <v>4</v>
      </c>
      <c r="BN90" s="36">
        <v>4</v>
      </c>
      <c r="BO90" s="36">
        <v>4</v>
      </c>
      <c r="BP90" s="36">
        <v>2</v>
      </c>
      <c r="BQ90" s="36">
        <v>2</v>
      </c>
      <c r="BR90" s="36">
        <v>3</v>
      </c>
      <c r="BS90" s="36">
        <v>2</v>
      </c>
      <c r="BT90" s="36">
        <v>4</v>
      </c>
      <c r="BU90" s="36">
        <v>4</v>
      </c>
      <c r="BV90" s="36">
        <v>4</v>
      </c>
      <c r="BW90" s="36">
        <v>4</v>
      </c>
      <c r="BX90" s="36">
        <v>4</v>
      </c>
      <c r="BY90" s="36">
        <v>5</v>
      </c>
      <c r="BZ90" s="36">
        <v>5</v>
      </c>
      <c r="CA90" s="36">
        <v>4</v>
      </c>
      <c r="CB90" s="36">
        <v>4</v>
      </c>
      <c r="CC90" s="36">
        <v>4</v>
      </c>
      <c r="CD90" s="36">
        <v>4</v>
      </c>
      <c r="CE90" s="36">
        <v>4</v>
      </c>
      <c r="CF90" s="36">
        <v>1</v>
      </c>
      <c r="CG90" s="36">
        <v>3</v>
      </c>
      <c r="CH90" s="36" t="s">
        <v>222</v>
      </c>
      <c r="CI90" t="s">
        <v>224</v>
      </c>
      <c r="CJ90" t="s">
        <v>225</v>
      </c>
      <c r="CK90" s="36" t="s">
        <v>235</v>
      </c>
      <c r="CL90" t="s">
        <v>239</v>
      </c>
      <c r="CM90" t="s">
        <v>240</v>
      </c>
      <c r="CN90" s="36" t="s">
        <v>241</v>
      </c>
      <c r="CO90" s="36" t="s">
        <v>133</v>
      </c>
      <c r="CP90" s="36">
        <v>1</v>
      </c>
      <c r="CQ90" s="36">
        <v>5</v>
      </c>
      <c r="CR90" s="36" t="s">
        <v>249</v>
      </c>
      <c r="CS90" s="36">
        <v>3</v>
      </c>
      <c r="CT90" s="36">
        <v>1</v>
      </c>
      <c r="CU90" s="36">
        <v>2</v>
      </c>
      <c r="CV90" s="36">
        <v>1</v>
      </c>
      <c r="CW90" s="36">
        <v>4</v>
      </c>
      <c r="CX90" s="36">
        <v>5</v>
      </c>
      <c r="CY90" s="36">
        <v>4</v>
      </c>
      <c r="CZ90" s="36">
        <v>5</v>
      </c>
      <c r="DA90" s="36">
        <v>2</v>
      </c>
      <c r="DB90" s="36">
        <v>3</v>
      </c>
      <c r="DC90" s="36">
        <v>4</v>
      </c>
      <c r="DD90" s="36">
        <v>3</v>
      </c>
      <c r="DE90" s="36">
        <v>4</v>
      </c>
      <c r="DF90" s="36">
        <v>4</v>
      </c>
      <c r="DG90" s="36">
        <v>4</v>
      </c>
      <c r="DH90" s="36">
        <v>3</v>
      </c>
      <c r="DI90" s="36" t="s">
        <v>133</v>
      </c>
      <c r="DJ90" s="36" t="s">
        <v>133</v>
      </c>
      <c r="DK90" s="36" t="s">
        <v>255</v>
      </c>
      <c r="DL90"/>
      <c r="DM90"/>
      <c r="DN90" t="s">
        <v>257</v>
      </c>
      <c r="DO90"/>
      <c r="DP90"/>
      <c r="DQ90" s="36">
        <v>4</v>
      </c>
      <c r="DR90" s="36" t="s">
        <v>133</v>
      </c>
      <c r="DS90" s="36" t="s">
        <v>258</v>
      </c>
      <c r="DT90" t="s">
        <v>259</v>
      </c>
      <c r="DU90"/>
      <c r="DV90"/>
      <c r="DW90" t="s">
        <v>260</v>
      </c>
      <c r="DX90" t="s">
        <v>261</v>
      </c>
      <c r="DY90" s="36">
        <v>5</v>
      </c>
      <c r="DZ90" s="36" t="s">
        <v>133</v>
      </c>
      <c r="EA90" s="36">
        <v>5</v>
      </c>
      <c r="EB90" s="36" t="s">
        <v>262</v>
      </c>
      <c r="EC90" s="36" t="s">
        <v>265</v>
      </c>
      <c r="ED90" s="36">
        <v>40</v>
      </c>
      <c r="EE90" s="36" t="s">
        <v>523</v>
      </c>
      <c r="EF90" s="36" t="str">
        <f>Tabulacao!MC90</f>
        <v>Alagoinhas - BA</v>
      </c>
      <c r="EG90" s="36" t="s">
        <v>522</v>
      </c>
      <c r="EH90" s="36" t="str">
        <f>Tabulacao!MG90</f>
        <v>Aracaju</v>
      </c>
      <c r="EI90" s="36" t="s">
        <v>524</v>
      </c>
      <c r="EJ90" s="36" t="str">
        <f>Tabulacao!MK90</f>
        <v>São Cristóvão</v>
      </c>
      <c r="EK90" s="36" t="s">
        <v>134</v>
      </c>
      <c r="EL90" s="36" t="s">
        <v>270</v>
      </c>
      <c r="EM90" s="36" t="s">
        <v>134</v>
      </c>
      <c r="EN90" s="36" t="s">
        <v>134</v>
      </c>
      <c r="EO90" s="36" t="s">
        <v>134</v>
      </c>
      <c r="EP90" s="36" t="s">
        <v>134</v>
      </c>
      <c r="EQ90" s="36" t="s">
        <v>272</v>
      </c>
      <c r="ER90" s="36" t="str">
        <f>IF(OR(EQ90=CaractAmostra!$BD$9,EQ90=CaractAmostra!$BD$10,EQ90=CaractAmostra!$BD$11,EQ90=CaractAmostra!$BD$12,EQ90=CaractAmostra!$BD$13),Respostas_Formatadas!EQ90,"Outros")</f>
        <v>Morava sozinho</v>
      </c>
      <c r="ES90" s="36" t="s">
        <v>278</v>
      </c>
      <c r="ET90" s="36" t="str">
        <f>IF(OR(ES90=CaractAmostra!$BH$9,ES90=CaractAmostra!$BH$10,ES90=CaractAmostra!$BH$11,ES90=CaractAmostra!$BH$12),Respostas_Formatadas!ES90,"Outros")</f>
        <v>Divido residência com outras pessoas</v>
      </c>
      <c r="EU90" s="36" t="s">
        <v>134</v>
      </c>
      <c r="EV90" s="36" t="s">
        <v>285</v>
      </c>
      <c r="EW90" s="36" t="s">
        <v>285</v>
      </c>
      <c r="FD90" s="36" t="s">
        <v>525</v>
      </c>
      <c r="FE90" s="47">
        <v>2017</v>
      </c>
      <c r="FF90" s="97">
        <v>7.5648999999999997</v>
      </c>
      <c r="FI90" s="47" t="str">
        <f t="shared" si="2"/>
        <v>Aracaju</v>
      </c>
      <c r="FJ90" s="47" t="str">
        <f t="shared" si="3"/>
        <v>Tecnologia</v>
      </c>
    </row>
    <row r="91" spans="1:166" s="36" customFormat="1" ht="15.75" customHeight="1" x14ac:dyDescent="0.2">
      <c r="A91" s="38">
        <v>43410.404317546301</v>
      </c>
      <c r="C91" s="36" t="s">
        <v>127</v>
      </c>
      <c r="D91" s="47" t="s">
        <v>134</v>
      </c>
      <c r="M91" s="36" t="s">
        <v>146</v>
      </c>
      <c r="N91" s="36" t="s">
        <v>133</v>
      </c>
      <c r="O91" s="36" t="s">
        <v>134</v>
      </c>
      <c r="P91" s="36" t="s">
        <v>133</v>
      </c>
      <c r="Q91" s="36" t="s">
        <v>133</v>
      </c>
      <c r="R91" s="36" t="s">
        <v>151</v>
      </c>
      <c r="Y91" s="36" t="s">
        <v>166</v>
      </c>
      <c r="AC91" s="36" t="s">
        <v>181</v>
      </c>
      <c r="AD91" s="36" t="s">
        <v>526</v>
      </c>
      <c r="AE91" s="36">
        <v>5</v>
      </c>
      <c r="AF91" s="36" t="s">
        <v>190</v>
      </c>
      <c r="AG91" s="36" t="s">
        <v>190</v>
      </c>
      <c r="AH91" s="36" t="s">
        <v>134</v>
      </c>
      <c r="AI91" s="40">
        <v>1500</v>
      </c>
      <c r="AJ91" s="36">
        <v>5</v>
      </c>
      <c r="AK91" s="36">
        <v>5</v>
      </c>
      <c r="AL91" s="36" t="s">
        <v>133</v>
      </c>
      <c r="AP91" s="36" t="s">
        <v>526</v>
      </c>
      <c r="AQ91" s="40">
        <v>1700</v>
      </c>
      <c r="AR91" s="36">
        <v>1</v>
      </c>
      <c r="AS91" s="36">
        <v>5</v>
      </c>
      <c r="AT91" s="36">
        <v>3</v>
      </c>
      <c r="AU91" s="36">
        <v>3</v>
      </c>
      <c r="AV91" s="36">
        <v>2</v>
      </c>
      <c r="AW91" s="36" t="s">
        <v>193</v>
      </c>
      <c r="AX91" s="36" t="s">
        <v>206</v>
      </c>
      <c r="AY91" s="36" t="s">
        <v>209</v>
      </c>
      <c r="AZ91" s="36" t="s">
        <v>133</v>
      </c>
      <c r="BA91" s="36" t="s">
        <v>170</v>
      </c>
      <c r="BB91" s="36" t="s">
        <v>527</v>
      </c>
      <c r="BC91" s="36" t="s">
        <v>528</v>
      </c>
      <c r="BD91" s="36" t="s">
        <v>190</v>
      </c>
      <c r="BG91" s="36">
        <v>4</v>
      </c>
      <c r="BH91" s="36">
        <v>4</v>
      </c>
      <c r="BI91" s="36">
        <v>4</v>
      </c>
      <c r="BJ91" s="36">
        <v>4</v>
      </c>
      <c r="BK91" s="36">
        <v>4</v>
      </c>
      <c r="BL91" s="36">
        <v>5</v>
      </c>
      <c r="BM91" s="36">
        <v>4</v>
      </c>
      <c r="BN91" s="36">
        <v>5</v>
      </c>
      <c r="BO91" s="36">
        <v>3</v>
      </c>
      <c r="BP91" s="36">
        <v>3</v>
      </c>
      <c r="BQ91" s="36">
        <v>3</v>
      </c>
      <c r="BR91" s="36">
        <v>4</v>
      </c>
      <c r="BS91" s="36">
        <v>1</v>
      </c>
      <c r="BT91" s="36">
        <v>4</v>
      </c>
      <c r="BU91" s="36">
        <v>4</v>
      </c>
      <c r="BV91" s="36">
        <v>3</v>
      </c>
      <c r="BW91" s="36">
        <v>4</v>
      </c>
      <c r="BX91" s="36">
        <v>4</v>
      </c>
      <c r="BY91" s="36">
        <v>5</v>
      </c>
      <c r="BZ91" s="36">
        <v>4</v>
      </c>
      <c r="CA91" s="36">
        <v>5</v>
      </c>
      <c r="CB91" s="36">
        <v>4</v>
      </c>
      <c r="CC91" s="36">
        <v>4</v>
      </c>
      <c r="CD91" s="36">
        <v>4</v>
      </c>
      <c r="CE91" s="36">
        <v>4</v>
      </c>
      <c r="CF91" s="36">
        <v>1</v>
      </c>
      <c r="CG91" s="36">
        <v>3</v>
      </c>
      <c r="CH91" s="36" t="s">
        <v>225</v>
      </c>
      <c r="CI91" t="s">
        <v>227</v>
      </c>
      <c r="CJ91" t="s">
        <v>230</v>
      </c>
      <c r="CK91" s="36" t="s">
        <v>233</v>
      </c>
      <c r="CL91" t="s">
        <v>234</v>
      </c>
      <c r="CM91" t="s">
        <v>235</v>
      </c>
      <c r="CN91" s="36" t="s">
        <v>242</v>
      </c>
      <c r="CO91" s="36" t="s">
        <v>133</v>
      </c>
      <c r="CP91" s="36">
        <v>2</v>
      </c>
      <c r="CQ91" s="36">
        <v>5</v>
      </c>
      <c r="CR91" s="36" t="s">
        <v>249</v>
      </c>
      <c r="CS91" s="36">
        <v>5</v>
      </c>
      <c r="CT91" s="36">
        <v>5</v>
      </c>
      <c r="CU91" s="36">
        <v>5</v>
      </c>
      <c r="CV91" s="36">
        <v>1</v>
      </c>
      <c r="CW91" s="36">
        <v>5</v>
      </c>
      <c r="CX91" s="36">
        <v>5</v>
      </c>
      <c r="CY91" s="36">
        <v>5</v>
      </c>
      <c r="CZ91" s="36">
        <v>3</v>
      </c>
      <c r="DA91" s="36">
        <v>3</v>
      </c>
      <c r="DB91" s="36">
        <v>3</v>
      </c>
      <c r="DC91" s="36">
        <v>3</v>
      </c>
      <c r="DD91" s="36">
        <v>5</v>
      </c>
      <c r="DE91" s="36">
        <v>5</v>
      </c>
      <c r="DF91" s="36">
        <v>5</v>
      </c>
      <c r="DG91" s="36">
        <v>5</v>
      </c>
      <c r="DH91" s="36">
        <v>5</v>
      </c>
      <c r="DI91" s="36" t="s">
        <v>133</v>
      </c>
      <c r="DJ91" s="36" t="s">
        <v>133</v>
      </c>
      <c r="DK91" s="36" t="s">
        <v>254</v>
      </c>
      <c r="DL91"/>
      <c r="DM91"/>
      <c r="DN91"/>
      <c r="DO91"/>
      <c r="DP91"/>
      <c r="DQ91" s="36">
        <v>5</v>
      </c>
      <c r="DR91" s="36" t="s">
        <v>133</v>
      </c>
      <c r="DS91" s="36" t="s">
        <v>1046</v>
      </c>
      <c r="DT91"/>
      <c r="DU91"/>
      <c r="DV91"/>
      <c r="DW91"/>
      <c r="DX91"/>
      <c r="DY91" s="36">
        <v>5</v>
      </c>
      <c r="DZ91" s="36" t="s">
        <v>133</v>
      </c>
      <c r="EA91" s="36">
        <v>3</v>
      </c>
      <c r="EB91" s="36" t="s">
        <v>262</v>
      </c>
      <c r="EC91" s="36" t="s">
        <v>264</v>
      </c>
      <c r="ED91" s="36">
        <v>41</v>
      </c>
      <c r="EE91" s="36" t="s">
        <v>528</v>
      </c>
      <c r="EF91" s="36" t="str">
        <f>Tabulacao!MC91</f>
        <v>Pedra Mole</v>
      </c>
      <c r="EG91" s="36" t="s">
        <v>528</v>
      </c>
      <c r="EH91" s="36" t="str">
        <f>Tabulacao!MG91</f>
        <v>Pedra Mole</v>
      </c>
      <c r="EI91" s="36" t="s">
        <v>528</v>
      </c>
      <c r="EJ91" s="36" t="str">
        <f>Tabulacao!MK91</f>
        <v>Pedra Mole</v>
      </c>
      <c r="EK91" s="36" t="s">
        <v>134</v>
      </c>
      <c r="EL91" s="36" t="s">
        <v>134</v>
      </c>
      <c r="EM91" s="36" t="s">
        <v>134</v>
      </c>
      <c r="EN91" s="36" t="s">
        <v>134</v>
      </c>
      <c r="EO91" s="36" t="s">
        <v>134</v>
      </c>
      <c r="EP91" s="36" t="s">
        <v>134</v>
      </c>
      <c r="EQ91" s="36" t="s">
        <v>275</v>
      </c>
      <c r="ER91" s="36" t="str">
        <f>IF(OR(EQ91=CaractAmostra!$BD$9,EQ91=CaractAmostra!$BD$10,EQ91=CaractAmostra!$BD$11,EQ91=CaractAmostra!$BD$12,EQ91=CaractAmostra!$BD$13),Respostas_Formatadas!EQ91,"Outros")</f>
        <v>Com os pais</v>
      </c>
      <c r="ES91" s="36" t="s">
        <v>275</v>
      </c>
      <c r="ET91" s="36" t="str">
        <f>IF(OR(ES91=CaractAmostra!$BH$9,ES91=CaractAmostra!$BH$10,ES91=CaractAmostra!$BH$11,ES91=CaractAmostra!$BH$12),Respostas_Formatadas!ES91,"Outros")</f>
        <v>Com os pais</v>
      </c>
      <c r="EU91" s="36" t="s">
        <v>134</v>
      </c>
      <c r="EV91" s="36" t="s">
        <v>282</v>
      </c>
      <c r="EW91" s="36" t="s">
        <v>285</v>
      </c>
      <c r="FD91" s="36" t="s">
        <v>529</v>
      </c>
      <c r="FE91" s="47">
        <v>2017</v>
      </c>
      <c r="FF91" s="97">
        <v>8.5875000000000004</v>
      </c>
      <c r="FI91" s="47" t="str">
        <f t="shared" si="2"/>
        <v>Itabaiana</v>
      </c>
      <c r="FJ91" s="47" t="str">
        <f t="shared" si="3"/>
        <v>Tecnologia</v>
      </c>
    </row>
    <row r="92" spans="1:166" s="36" customFormat="1" ht="15.75" customHeight="1" x14ac:dyDescent="0.2">
      <c r="A92" s="38">
        <v>43410.428667650463</v>
      </c>
      <c r="C92" s="36" t="s">
        <v>124</v>
      </c>
      <c r="D92" s="47" t="s">
        <v>133</v>
      </c>
      <c r="E92" s="36" t="s">
        <v>139</v>
      </c>
      <c r="H92" s="36" t="s">
        <v>144</v>
      </c>
      <c r="M92" s="36" t="s">
        <v>146</v>
      </c>
      <c r="N92" s="36" t="s">
        <v>134</v>
      </c>
      <c r="O92" s="36" t="s">
        <v>133</v>
      </c>
      <c r="P92" s="36" t="s">
        <v>133</v>
      </c>
      <c r="Q92" s="36" t="s">
        <v>133</v>
      </c>
      <c r="R92" s="36" t="s">
        <v>151</v>
      </c>
      <c r="Y92" s="36" t="s">
        <v>165</v>
      </c>
      <c r="Z92" s="36" t="s">
        <v>169</v>
      </c>
      <c r="AA92" s="36" t="s">
        <v>173</v>
      </c>
      <c r="AB92" s="36" t="s">
        <v>178</v>
      </c>
      <c r="AD92" s="36" t="s">
        <v>530</v>
      </c>
      <c r="AE92" s="36">
        <v>5</v>
      </c>
      <c r="AF92" s="36" t="s">
        <v>189</v>
      </c>
      <c r="AG92" s="36" t="s">
        <v>189</v>
      </c>
      <c r="AH92" s="36" t="s">
        <v>134</v>
      </c>
      <c r="AI92" s="40">
        <v>2100</v>
      </c>
      <c r="AJ92" s="36">
        <v>5</v>
      </c>
      <c r="AK92" s="36">
        <v>3</v>
      </c>
      <c r="AL92" s="36" t="s">
        <v>134</v>
      </c>
      <c r="AM92" s="36" t="s">
        <v>167</v>
      </c>
      <c r="AN92" s="36">
        <v>3</v>
      </c>
      <c r="AO92" s="36" t="s">
        <v>133</v>
      </c>
      <c r="AP92" s="36" t="s">
        <v>531</v>
      </c>
      <c r="AQ92" s="40">
        <v>7300</v>
      </c>
      <c r="AR92" s="36">
        <v>3</v>
      </c>
      <c r="AS92" s="36">
        <v>5</v>
      </c>
      <c r="AT92" s="36">
        <v>2</v>
      </c>
      <c r="AU92" s="36">
        <v>4</v>
      </c>
      <c r="AV92" s="36">
        <v>5</v>
      </c>
      <c r="AW92" s="36" t="s">
        <v>192</v>
      </c>
      <c r="AX92" s="36" t="s">
        <v>206</v>
      </c>
      <c r="AY92" s="36" t="s">
        <v>210</v>
      </c>
      <c r="AZ92" s="36" t="s">
        <v>133</v>
      </c>
      <c r="BA92" s="36" t="s">
        <v>213</v>
      </c>
      <c r="BB92" s="36" t="s">
        <v>532</v>
      </c>
      <c r="BC92" s="36" t="s">
        <v>1303</v>
      </c>
      <c r="BD92" s="36" t="s">
        <v>189</v>
      </c>
      <c r="BF92" s="36" t="s">
        <v>221</v>
      </c>
      <c r="BG92" s="36">
        <v>5</v>
      </c>
      <c r="BH92" s="36">
        <v>4</v>
      </c>
      <c r="BI92" s="36">
        <v>5</v>
      </c>
      <c r="BJ92" s="36">
        <v>5</v>
      </c>
      <c r="BK92" s="36">
        <v>5</v>
      </c>
      <c r="BL92" s="36">
        <v>5</v>
      </c>
      <c r="BM92" s="36">
        <v>5</v>
      </c>
      <c r="BN92" s="36">
        <v>4</v>
      </c>
      <c r="BO92" s="36">
        <v>5</v>
      </c>
      <c r="BP92" s="36">
        <v>5</v>
      </c>
      <c r="BQ92" s="36">
        <v>5</v>
      </c>
      <c r="BR92" s="36">
        <v>5</v>
      </c>
      <c r="BS92" s="36">
        <v>2</v>
      </c>
      <c r="BT92" s="36">
        <v>5</v>
      </c>
      <c r="BU92" s="36">
        <v>5</v>
      </c>
      <c r="BV92" s="36">
        <v>5</v>
      </c>
      <c r="BW92" s="36">
        <v>5</v>
      </c>
      <c r="BX92" s="36">
        <v>5</v>
      </c>
      <c r="BY92" s="36">
        <v>5</v>
      </c>
      <c r="BZ92" s="36">
        <v>5</v>
      </c>
      <c r="CA92" s="36">
        <v>4</v>
      </c>
      <c r="CB92" s="36">
        <v>5</v>
      </c>
      <c r="CC92" s="36">
        <v>5</v>
      </c>
      <c r="CD92" s="36">
        <v>5</v>
      </c>
      <c r="CE92" s="36">
        <v>5</v>
      </c>
      <c r="CF92" s="36">
        <v>5</v>
      </c>
      <c r="CG92" s="36">
        <v>3</v>
      </c>
      <c r="CH92" s="36" t="s">
        <v>533</v>
      </c>
      <c r="CI92"/>
      <c r="CJ92"/>
      <c r="CK92" s="36" t="s">
        <v>1020</v>
      </c>
      <c r="CL92" t="s">
        <v>1023</v>
      </c>
      <c r="CM92"/>
      <c r="CN92" s="36" t="s">
        <v>242</v>
      </c>
      <c r="CO92" s="36" t="s">
        <v>134</v>
      </c>
      <c r="CP92" s="36">
        <v>5</v>
      </c>
      <c r="CQ92" s="36">
        <v>5</v>
      </c>
      <c r="CR92" s="36" t="s">
        <v>248</v>
      </c>
      <c r="CS92" s="36">
        <v>4</v>
      </c>
      <c r="CT92" s="36">
        <v>3</v>
      </c>
      <c r="CU92" s="36">
        <v>3</v>
      </c>
      <c r="CV92" s="36">
        <v>3</v>
      </c>
      <c r="CW92" s="36">
        <v>3</v>
      </c>
      <c r="CX92" s="36">
        <v>4</v>
      </c>
      <c r="CY92" s="36">
        <v>4</v>
      </c>
      <c r="CZ92" s="36">
        <v>3</v>
      </c>
      <c r="DA92" s="36">
        <v>3</v>
      </c>
      <c r="DB92" s="36">
        <v>5</v>
      </c>
      <c r="DC92" s="36">
        <v>4</v>
      </c>
      <c r="DD92" s="36">
        <v>4</v>
      </c>
      <c r="DE92" s="36">
        <v>4</v>
      </c>
      <c r="DF92" s="36">
        <v>4</v>
      </c>
      <c r="DG92" s="36">
        <v>4</v>
      </c>
      <c r="DH92" s="36">
        <v>4</v>
      </c>
      <c r="DI92" s="36" t="s">
        <v>133</v>
      </c>
      <c r="DJ92" s="36" t="s">
        <v>133</v>
      </c>
      <c r="DK92" s="36" t="s">
        <v>254</v>
      </c>
      <c r="DL92" t="s">
        <v>255</v>
      </c>
      <c r="DM92"/>
      <c r="DN92"/>
      <c r="DO92" t="s">
        <v>256</v>
      </c>
      <c r="DP92" t="s">
        <v>257</v>
      </c>
      <c r="DQ92" s="36">
        <v>5</v>
      </c>
      <c r="DR92" s="36" t="s">
        <v>133</v>
      </c>
      <c r="DS92" s="36" t="s">
        <v>259</v>
      </c>
      <c r="DT92"/>
      <c r="DU92"/>
      <c r="DV92" t="s">
        <v>260</v>
      </c>
      <c r="DW92" t="s">
        <v>261</v>
      </c>
      <c r="DX92"/>
      <c r="DY92" s="36">
        <v>5</v>
      </c>
      <c r="DZ92" s="36" t="s">
        <v>133</v>
      </c>
      <c r="EA92" s="36">
        <v>5</v>
      </c>
      <c r="EB92" s="36" t="s">
        <v>263</v>
      </c>
      <c r="EC92" s="36" t="s">
        <v>267</v>
      </c>
      <c r="ED92" s="36">
        <v>31</v>
      </c>
      <c r="EE92" s="36" t="s">
        <v>292</v>
      </c>
      <c r="EF92" s="36" t="str">
        <f>Tabulacao!MC92</f>
        <v>Aracaju</v>
      </c>
      <c r="EG92" s="36" t="s">
        <v>292</v>
      </c>
      <c r="EH92" s="36" t="str">
        <f>Tabulacao!MG92</f>
        <v>Aracaju</v>
      </c>
      <c r="EI92" s="36" t="s">
        <v>534</v>
      </c>
      <c r="EJ92" s="36" t="str">
        <f>Tabulacao!MK92</f>
        <v>João Pessoa - PB</v>
      </c>
      <c r="EK92" s="36" t="s">
        <v>134</v>
      </c>
      <c r="EL92" s="36" t="s">
        <v>134</v>
      </c>
      <c r="EM92" s="36" t="s">
        <v>134</v>
      </c>
      <c r="EN92" s="36" t="s">
        <v>134</v>
      </c>
      <c r="EO92" s="36" t="s">
        <v>134</v>
      </c>
      <c r="EP92" s="36" t="s">
        <v>134</v>
      </c>
      <c r="EQ92" s="36" t="s">
        <v>275</v>
      </c>
      <c r="ER92" s="36" t="str">
        <f>IF(OR(EQ92=CaractAmostra!$BD$9,EQ92=CaractAmostra!$BD$10,EQ92=CaractAmostra!$BD$11,EQ92=CaractAmostra!$BD$12,EQ92=CaractAmostra!$BD$13),Respostas_Formatadas!EQ92,"Outros")</f>
        <v>Com os pais</v>
      </c>
      <c r="ES92" s="36" t="s">
        <v>277</v>
      </c>
      <c r="ET92" s="36" t="str">
        <f>IF(OR(ES92=CaractAmostra!$BH$9,ES92=CaractAmostra!$BH$10,ES92=CaractAmostra!$BH$11,ES92=CaractAmostra!$BH$12),Respostas_Formatadas!ES92,"Outros")</f>
        <v>Sozinho</v>
      </c>
      <c r="EU92" s="36" t="s">
        <v>134</v>
      </c>
      <c r="EV92" s="36" t="s">
        <v>283</v>
      </c>
      <c r="EW92" s="36" t="s">
        <v>283</v>
      </c>
      <c r="FD92" s="36" t="s">
        <v>535</v>
      </c>
      <c r="FE92" s="115" t="s">
        <v>1249</v>
      </c>
      <c r="FF92" s="97">
        <v>8.1757000000000009</v>
      </c>
      <c r="FI92" s="47" t="str">
        <f t="shared" si="2"/>
        <v>Aracaju</v>
      </c>
      <c r="FJ92" s="47" t="str">
        <f t="shared" si="3"/>
        <v>Tecnologia</v>
      </c>
    </row>
    <row r="93" spans="1:166" s="36" customFormat="1" ht="15.75" customHeight="1" x14ac:dyDescent="0.2">
      <c r="A93" s="38">
        <v>43410.431412754631</v>
      </c>
      <c r="C93" s="36" t="s">
        <v>124</v>
      </c>
      <c r="D93" s="47" t="s">
        <v>133</v>
      </c>
      <c r="E93" s="36" t="s">
        <v>138</v>
      </c>
      <c r="H93" s="36" t="s">
        <v>144</v>
      </c>
      <c r="M93" s="36" t="s">
        <v>147</v>
      </c>
      <c r="N93" s="36" t="s">
        <v>134</v>
      </c>
      <c r="O93" s="36" t="s">
        <v>133</v>
      </c>
      <c r="P93" s="36" t="s">
        <v>133</v>
      </c>
      <c r="Q93" s="36" t="s">
        <v>133</v>
      </c>
      <c r="R93" s="36" t="s">
        <v>152</v>
      </c>
      <c r="S93" s="36" t="s">
        <v>508</v>
      </c>
      <c r="T93" s="36" t="s">
        <v>155</v>
      </c>
      <c r="U93" s="36" t="s">
        <v>157</v>
      </c>
      <c r="V93" s="36">
        <v>5</v>
      </c>
      <c r="W93" s="36">
        <v>5</v>
      </c>
      <c r="X93" s="36">
        <v>5</v>
      </c>
      <c r="Y93" s="36" t="s">
        <v>165</v>
      </c>
      <c r="Z93" s="36" t="s">
        <v>169</v>
      </c>
      <c r="AA93" s="36" t="s">
        <v>171</v>
      </c>
      <c r="AB93" s="36" t="s">
        <v>181</v>
      </c>
      <c r="AD93" s="36" t="s">
        <v>536</v>
      </c>
      <c r="AE93" s="36">
        <v>5</v>
      </c>
      <c r="AF93" s="36" t="s">
        <v>190</v>
      </c>
      <c r="AG93" s="36" t="s">
        <v>190</v>
      </c>
      <c r="AH93" s="36" t="s">
        <v>134</v>
      </c>
      <c r="AI93" s="40">
        <v>4200</v>
      </c>
      <c r="AJ93" s="36">
        <v>4</v>
      </c>
      <c r="AK93" s="36">
        <v>4</v>
      </c>
      <c r="AL93" s="36" t="s">
        <v>133</v>
      </c>
      <c r="AP93" s="36" t="s">
        <v>536</v>
      </c>
      <c r="AQ93" s="40">
        <v>4770</v>
      </c>
      <c r="AR93" s="36">
        <v>4</v>
      </c>
      <c r="AS93" s="36">
        <v>5</v>
      </c>
      <c r="AT93" s="36">
        <v>4</v>
      </c>
      <c r="AU93" s="36">
        <v>4</v>
      </c>
      <c r="AV93" s="36">
        <v>4</v>
      </c>
      <c r="AW93" s="36" t="s">
        <v>192</v>
      </c>
      <c r="AX93" s="36" t="s">
        <v>206</v>
      </c>
      <c r="AY93" s="36" t="s">
        <v>210</v>
      </c>
      <c r="AZ93" s="36" t="s">
        <v>133</v>
      </c>
      <c r="BA93" s="36" t="s">
        <v>170</v>
      </c>
      <c r="BB93" s="36" t="s">
        <v>292</v>
      </c>
      <c r="BC93" s="36" t="s">
        <v>292</v>
      </c>
      <c r="BD93" s="36" t="s">
        <v>190</v>
      </c>
      <c r="BG93" s="36">
        <v>4</v>
      </c>
      <c r="BH93" s="36">
        <v>4</v>
      </c>
      <c r="BI93" s="36">
        <v>4</v>
      </c>
      <c r="BJ93" s="36">
        <v>4</v>
      </c>
      <c r="BK93" s="36">
        <v>4</v>
      </c>
      <c r="BL93" s="36">
        <v>4</v>
      </c>
      <c r="BM93" s="36">
        <v>4</v>
      </c>
      <c r="BN93" s="36">
        <v>5</v>
      </c>
      <c r="BO93" s="36">
        <v>5</v>
      </c>
      <c r="BP93" s="36">
        <v>5</v>
      </c>
      <c r="BQ93" s="36">
        <v>5</v>
      </c>
      <c r="BR93" s="36">
        <v>5</v>
      </c>
      <c r="BS93" s="36">
        <v>3</v>
      </c>
      <c r="BT93" s="36">
        <v>4</v>
      </c>
      <c r="BU93" s="36">
        <v>3</v>
      </c>
      <c r="BV93" s="36">
        <v>4</v>
      </c>
      <c r="BW93" s="36">
        <v>4</v>
      </c>
      <c r="BX93" s="36">
        <v>4</v>
      </c>
      <c r="BY93" s="36">
        <v>5</v>
      </c>
      <c r="BZ93" s="36">
        <v>4</v>
      </c>
      <c r="CA93" s="36">
        <v>5</v>
      </c>
      <c r="CB93" s="36">
        <v>3</v>
      </c>
      <c r="CC93" s="36">
        <v>4</v>
      </c>
      <c r="CD93" s="36">
        <v>5</v>
      </c>
      <c r="CE93" s="36">
        <v>5</v>
      </c>
      <c r="CF93" s="36">
        <v>3</v>
      </c>
      <c r="CG93" s="36">
        <v>4</v>
      </c>
      <c r="CH93" s="36" t="s">
        <v>222</v>
      </c>
      <c r="CI93" t="s">
        <v>225</v>
      </c>
      <c r="CJ93" t="s">
        <v>227</v>
      </c>
      <c r="CK93" s="36" t="s">
        <v>235</v>
      </c>
      <c r="CL93"/>
      <c r="CM93"/>
      <c r="CN93" s="36" t="s">
        <v>242</v>
      </c>
      <c r="CO93" s="36" t="s">
        <v>134</v>
      </c>
      <c r="CP93" s="36">
        <v>3</v>
      </c>
      <c r="CQ93" s="36">
        <v>5</v>
      </c>
      <c r="CR93" s="36" t="s">
        <v>248</v>
      </c>
      <c r="CS93" s="36">
        <v>4</v>
      </c>
      <c r="CT93" s="36">
        <v>2</v>
      </c>
      <c r="CU93" s="36">
        <v>4</v>
      </c>
      <c r="CV93" s="36">
        <v>3</v>
      </c>
      <c r="CW93" s="36">
        <v>3</v>
      </c>
      <c r="CX93" s="36">
        <v>4</v>
      </c>
      <c r="CY93" s="36">
        <v>4</v>
      </c>
      <c r="CZ93" s="36">
        <v>2</v>
      </c>
      <c r="DA93" s="36">
        <v>3</v>
      </c>
      <c r="DB93" s="36">
        <v>4</v>
      </c>
      <c r="DC93" s="36">
        <v>3</v>
      </c>
      <c r="DD93" s="36">
        <v>5</v>
      </c>
      <c r="DE93" s="36">
        <v>4</v>
      </c>
      <c r="DF93" s="36">
        <v>4</v>
      </c>
      <c r="DG93" s="36">
        <v>4</v>
      </c>
      <c r="DH93" s="36">
        <v>3</v>
      </c>
      <c r="DI93" s="36" t="s">
        <v>133</v>
      </c>
      <c r="DJ93" s="36" t="s">
        <v>133</v>
      </c>
      <c r="DK93" s="36" t="s">
        <v>254</v>
      </c>
      <c r="DL93" t="s">
        <v>255</v>
      </c>
      <c r="DM93"/>
      <c r="DN93"/>
      <c r="DO93"/>
      <c r="DP93"/>
      <c r="DQ93" s="36">
        <v>5</v>
      </c>
      <c r="DR93" s="36" t="s">
        <v>133</v>
      </c>
      <c r="DS93" s="36" t="s">
        <v>260</v>
      </c>
      <c r="DT93" t="s">
        <v>261</v>
      </c>
      <c r="DU93"/>
      <c r="DV93"/>
      <c r="DW93"/>
      <c r="DX93"/>
      <c r="DY93" s="36">
        <v>5</v>
      </c>
      <c r="DZ93" s="36" t="s">
        <v>134</v>
      </c>
      <c r="EB93" s="36" t="s">
        <v>263</v>
      </c>
      <c r="EC93" s="36" t="s">
        <v>265</v>
      </c>
      <c r="ED93" s="36">
        <v>44</v>
      </c>
      <c r="EE93" s="36" t="s">
        <v>537</v>
      </c>
      <c r="EF93" s="36" t="str">
        <f>Tabulacao!MC93</f>
        <v>Nossa Senhora do Socorro</v>
      </c>
      <c r="EG93" s="36" t="s">
        <v>538</v>
      </c>
      <c r="EH93" s="36" t="str">
        <f>Tabulacao!MG93</f>
        <v>Nossa Senhora do Socorro</v>
      </c>
      <c r="EI93" s="36" t="s">
        <v>538</v>
      </c>
      <c r="EJ93" s="36" t="str">
        <f>Tabulacao!MK93</f>
        <v>Nossa Senhora do Socorro</v>
      </c>
      <c r="EK93" s="36" t="s">
        <v>134</v>
      </c>
      <c r="EL93" s="36" t="s">
        <v>134</v>
      </c>
      <c r="EM93" s="36" t="s">
        <v>134</v>
      </c>
      <c r="EN93" s="36" t="s">
        <v>134</v>
      </c>
      <c r="EO93" s="36" t="s">
        <v>134</v>
      </c>
      <c r="EP93" s="36" t="s">
        <v>134</v>
      </c>
      <c r="EQ93" s="36" t="s">
        <v>539</v>
      </c>
      <c r="ER93" s="36" t="str">
        <f>IF(OR(EQ93=CaractAmostra!$BD$9,EQ93=CaractAmostra!$BD$10,EQ93=CaractAmostra!$BD$11,EQ93=CaractAmostra!$BD$12,EQ93=CaractAmostra!$BD$13),Respostas_Formatadas!EQ93,"Outros")</f>
        <v>Outros</v>
      </c>
      <c r="ES93" s="36" t="s">
        <v>539</v>
      </c>
      <c r="ET93" s="36" t="str">
        <f>IF(OR(ES93=CaractAmostra!$BH$9,ES93=CaractAmostra!$BH$10,ES93=CaractAmostra!$BH$11,ES93=CaractAmostra!$BH$12),Respostas_Formatadas!ES93,"Outros")</f>
        <v>Outros</v>
      </c>
      <c r="EU93" s="36" t="s">
        <v>280</v>
      </c>
      <c r="EV93" s="36" t="s">
        <v>192</v>
      </c>
      <c r="EW93" s="36" t="s">
        <v>283</v>
      </c>
      <c r="FE93" s="115" t="s">
        <v>1247</v>
      </c>
      <c r="FF93" s="97" t="s">
        <v>933</v>
      </c>
      <c r="FI93" s="47" t="str">
        <f t="shared" si="2"/>
        <v>Aracaju</v>
      </c>
      <c r="FJ93" s="47" t="str">
        <f t="shared" si="3"/>
        <v>Tecnologia</v>
      </c>
    </row>
    <row r="94" spans="1:166" s="36" customFormat="1" ht="15.75" customHeight="1" x14ac:dyDescent="0.2">
      <c r="A94" s="38">
        <v>43410.436681018517</v>
      </c>
      <c r="C94" s="36" t="s">
        <v>124</v>
      </c>
      <c r="D94" s="47" t="s">
        <v>134</v>
      </c>
      <c r="M94" s="36" t="s">
        <v>146</v>
      </c>
      <c r="N94" s="36" t="s">
        <v>133</v>
      </c>
      <c r="O94" s="36" t="s">
        <v>133</v>
      </c>
      <c r="P94" s="36" t="s">
        <v>133</v>
      </c>
      <c r="Q94" s="36" t="s">
        <v>134</v>
      </c>
      <c r="R94" s="36" t="s">
        <v>151</v>
      </c>
      <c r="Y94" s="36" t="s">
        <v>165</v>
      </c>
      <c r="Z94" s="36" t="s">
        <v>168</v>
      </c>
      <c r="AA94" s="36" t="s">
        <v>173</v>
      </c>
      <c r="AB94" s="36" t="s">
        <v>181</v>
      </c>
      <c r="AD94" s="36" t="s">
        <v>540</v>
      </c>
      <c r="AE94" s="36">
        <v>5</v>
      </c>
      <c r="AF94" s="36" t="s">
        <v>187</v>
      </c>
      <c r="AG94" s="36" t="s">
        <v>187</v>
      </c>
      <c r="AH94" s="36" t="s">
        <v>134</v>
      </c>
      <c r="AI94" s="40">
        <v>1200</v>
      </c>
      <c r="AJ94" s="36">
        <v>5</v>
      </c>
      <c r="AK94" s="36">
        <v>4</v>
      </c>
      <c r="AL94" s="36" t="s">
        <v>133</v>
      </c>
      <c r="AP94" s="36" t="s">
        <v>530</v>
      </c>
      <c r="AQ94" s="40">
        <v>2000</v>
      </c>
      <c r="AR94" s="36">
        <v>1</v>
      </c>
      <c r="AS94" s="36">
        <v>4</v>
      </c>
      <c r="AT94" s="36">
        <v>2</v>
      </c>
      <c r="AU94" s="36">
        <v>3</v>
      </c>
      <c r="AV94" s="36">
        <v>5</v>
      </c>
      <c r="AW94" s="36" t="s">
        <v>192</v>
      </c>
      <c r="AX94" s="36" t="s">
        <v>206</v>
      </c>
      <c r="AY94" s="36" t="s">
        <v>210</v>
      </c>
      <c r="AZ94" s="36" t="s">
        <v>133</v>
      </c>
      <c r="BA94" s="36" t="s">
        <v>170</v>
      </c>
      <c r="BB94" s="36" t="s">
        <v>367</v>
      </c>
      <c r="BC94" s="36" t="s">
        <v>292</v>
      </c>
      <c r="BD94" s="36" t="s">
        <v>187</v>
      </c>
      <c r="BE94" s="36" t="s">
        <v>217</v>
      </c>
      <c r="BG94" s="36">
        <v>5</v>
      </c>
      <c r="BH94" s="36">
        <v>4</v>
      </c>
      <c r="BI94" s="36">
        <v>5</v>
      </c>
      <c r="BJ94" s="36">
        <v>5</v>
      </c>
      <c r="BK94" s="36">
        <v>5</v>
      </c>
      <c r="BL94" s="36">
        <v>5</v>
      </c>
      <c r="BM94" s="36">
        <v>5</v>
      </c>
      <c r="BN94" s="36">
        <v>5</v>
      </c>
      <c r="BO94" s="36">
        <v>5</v>
      </c>
      <c r="BP94" s="36">
        <v>5</v>
      </c>
      <c r="BQ94" s="36">
        <v>5</v>
      </c>
      <c r="BR94" s="36">
        <v>5</v>
      </c>
      <c r="BS94" s="36">
        <v>1</v>
      </c>
      <c r="BT94" s="36">
        <v>5</v>
      </c>
      <c r="BU94" s="36">
        <v>5</v>
      </c>
      <c r="BV94" s="36">
        <v>5</v>
      </c>
      <c r="BW94" s="36">
        <v>5</v>
      </c>
      <c r="BX94" s="36">
        <v>5</v>
      </c>
      <c r="BY94" s="36">
        <v>5</v>
      </c>
      <c r="BZ94" s="36">
        <v>5</v>
      </c>
      <c r="CA94" s="36">
        <v>5</v>
      </c>
      <c r="CB94" s="36">
        <v>5</v>
      </c>
      <c r="CC94" s="36">
        <v>5</v>
      </c>
      <c r="CD94" s="36">
        <v>5</v>
      </c>
      <c r="CE94" s="36">
        <v>5</v>
      </c>
      <c r="CF94" s="36">
        <v>1</v>
      </c>
      <c r="CG94" s="36">
        <v>2</v>
      </c>
      <c r="CH94" s="36" t="s">
        <v>226</v>
      </c>
      <c r="CI94"/>
      <c r="CJ94"/>
      <c r="CK94" s="36" t="s">
        <v>233</v>
      </c>
      <c r="CL94"/>
      <c r="CM94"/>
      <c r="CN94" s="36" t="s">
        <v>242</v>
      </c>
      <c r="CO94" s="36" t="s">
        <v>134</v>
      </c>
      <c r="CP94" s="36">
        <v>3</v>
      </c>
      <c r="CQ94" s="36">
        <v>3</v>
      </c>
      <c r="CR94" s="36" t="s">
        <v>248</v>
      </c>
      <c r="CS94" s="36">
        <v>3</v>
      </c>
      <c r="CT94" s="36">
        <v>3</v>
      </c>
      <c r="CU94" s="36">
        <v>4</v>
      </c>
      <c r="CV94" s="36">
        <v>1</v>
      </c>
      <c r="CW94" s="36">
        <v>3</v>
      </c>
      <c r="CX94" s="36">
        <v>3</v>
      </c>
      <c r="CY94" s="36">
        <v>4</v>
      </c>
      <c r="CZ94" s="36">
        <v>3</v>
      </c>
      <c r="DA94" s="36">
        <v>2</v>
      </c>
      <c r="DB94" s="36">
        <v>4</v>
      </c>
      <c r="DC94" s="36">
        <v>3</v>
      </c>
      <c r="DD94" s="36">
        <v>3</v>
      </c>
      <c r="DE94" s="36">
        <v>3</v>
      </c>
      <c r="DF94" s="36">
        <v>3</v>
      </c>
      <c r="DG94" s="36">
        <v>4</v>
      </c>
      <c r="DH94" s="36">
        <v>3</v>
      </c>
      <c r="DI94" s="36" t="s">
        <v>250</v>
      </c>
      <c r="DJ94" s="36" t="s">
        <v>133</v>
      </c>
      <c r="DK94" s="36" t="s">
        <v>254</v>
      </c>
      <c r="DL94" t="s">
        <v>255</v>
      </c>
      <c r="DM94"/>
      <c r="DN94"/>
      <c r="DO94" t="s">
        <v>256</v>
      </c>
      <c r="DP94" t="s">
        <v>257</v>
      </c>
      <c r="DQ94" s="36">
        <v>4</v>
      </c>
      <c r="DR94" s="36" t="s">
        <v>133</v>
      </c>
      <c r="DS94" s="36" t="s">
        <v>259</v>
      </c>
      <c r="DT94"/>
      <c r="DU94"/>
      <c r="DV94" t="s">
        <v>260</v>
      </c>
      <c r="DW94" t="s">
        <v>261</v>
      </c>
      <c r="DX94"/>
      <c r="DY94" s="36">
        <v>4</v>
      </c>
      <c r="DZ94" s="36" t="s">
        <v>133</v>
      </c>
      <c r="EA94" s="36">
        <v>5</v>
      </c>
      <c r="EB94" s="36" t="s">
        <v>263</v>
      </c>
      <c r="EC94" s="36" t="s">
        <v>265</v>
      </c>
      <c r="ED94" s="36">
        <v>28</v>
      </c>
      <c r="EE94" s="36" t="s">
        <v>292</v>
      </c>
      <c r="EF94" s="36" t="str">
        <f>Tabulacao!MC94</f>
        <v>Aracaju</v>
      </c>
      <c r="EG94" s="36" t="s">
        <v>292</v>
      </c>
      <c r="EH94" s="36" t="str">
        <f>Tabulacao!MG94</f>
        <v>Aracaju</v>
      </c>
      <c r="EI94" s="36" t="s">
        <v>292</v>
      </c>
      <c r="EJ94" s="36" t="str">
        <f>Tabulacao!MK94</f>
        <v>Aracaju</v>
      </c>
      <c r="EK94" s="36" t="s">
        <v>134</v>
      </c>
      <c r="EL94" s="36" t="s">
        <v>134</v>
      </c>
      <c r="EM94" s="36" t="s">
        <v>134</v>
      </c>
      <c r="EN94" s="36" t="s">
        <v>134</v>
      </c>
      <c r="EO94" s="36" t="s">
        <v>134</v>
      </c>
      <c r="EP94" s="36" t="s">
        <v>134</v>
      </c>
      <c r="EQ94" s="36" t="s">
        <v>275</v>
      </c>
      <c r="ER94" s="36" t="str">
        <f>IF(OR(EQ94=CaractAmostra!$BD$9,EQ94=CaractAmostra!$BD$10,EQ94=CaractAmostra!$BD$11,EQ94=CaractAmostra!$BD$12,EQ94=CaractAmostra!$BD$13),Respostas_Formatadas!EQ94,"Outros")</f>
        <v>Com os pais</v>
      </c>
      <c r="ES94" s="36" t="s">
        <v>275</v>
      </c>
      <c r="ET94" s="36" t="str">
        <f>IF(OR(ES94=CaractAmostra!$BH$9,ES94=CaractAmostra!$BH$10,ES94=CaractAmostra!$BH$11,ES94=CaractAmostra!$BH$12),Respostas_Formatadas!ES94,"Outros")</f>
        <v>Com os pais</v>
      </c>
      <c r="EU94" s="36" t="s">
        <v>134</v>
      </c>
      <c r="EV94" s="36" t="s">
        <v>192</v>
      </c>
      <c r="EW94" s="36" t="s">
        <v>285</v>
      </c>
      <c r="FE94" s="115" t="s">
        <v>1248</v>
      </c>
      <c r="FF94" s="97">
        <v>7.2244000000000002</v>
      </c>
      <c r="FI94" s="47" t="str">
        <f t="shared" si="2"/>
        <v>Aracaju</v>
      </c>
      <c r="FJ94" s="47" t="str">
        <f t="shared" si="3"/>
        <v>Tecnologia</v>
      </c>
    </row>
    <row r="95" spans="1:166" s="36" customFormat="1" ht="15.75" customHeight="1" x14ac:dyDescent="0.2">
      <c r="A95" s="38">
        <v>43410.446011238426</v>
      </c>
      <c r="C95" s="36" t="s">
        <v>124</v>
      </c>
      <c r="D95" s="47" t="s">
        <v>134</v>
      </c>
      <c r="M95" s="36" t="s">
        <v>146</v>
      </c>
      <c r="N95" s="36" t="s">
        <v>134</v>
      </c>
      <c r="O95" s="36" t="s">
        <v>133</v>
      </c>
      <c r="P95" s="36" t="s">
        <v>134</v>
      </c>
      <c r="Q95" s="36" t="s">
        <v>134</v>
      </c>
      <c r="R95" s="36" t="s">
        <v>153</v>
      </c>
      <c r="S95" s="36" t="s">
        <v>943</v>
      </c>
      <c r="T95" s="36" t="s">
        <v>154</v>
      </c>
      <c r="U95" s="36" t="s">
        <v>157</v>
      </c>
      <c r="V95" s="36">
        <v>5</v>
      </c>
      <c r="W95" s="36">
        <v>1</v>
      </c>
      <c r="X95" s="36">
        <v>5</v>
      </c>
      <c r="Y95" s="36" t="s">
        <v>166</v>
      </c>
      <c r="AC95" s="36" t="s">
        <v>185</v>
      </c>
      <c r="AD95" s="36" t="s">
        <v>326</v>
      </c>
      <c r="AE95" s="36">
        <v>4</v>
      </c>
      <c r="AF95" s="36" t="s">
        <v>188</v>
      </c>
      <c r="AG95" s="36" t="s">
        <v>188</v>
      </c>
      <c r="AH95" s="36" t="s">
        <v>134</v>
      </c>
      <c r="AI95" s="40">
        <v>800</v>
      </c>
      <c r="AJ95" s="36">
        <v>5</v>
      </c>
      <c r="AK95" s="36">
        <v>4</v>
      </c>
      <c r="AL95" s="36" t="s">
        <v>133</v>
      </c>
      <c r="AP95" s="36" t="s">
        <v>541</v>
      </c>
      <c r="AQ95" s="40">
        <v>1350</v>
      </c>
      <c r="AR95" s="36">
        <v>1</v>
      </c>
      <c r="AS95" s="36">
        <v>5</v>
      </c>
      <c r="AT95" s="36">
        <v>5</v>
      </c>
      <c r="AU95" s="36">
        <v>3</v>
      </c>
      <c r="AV95" s="36">
        <v>5</v>
      </c>
      <c r="AW95" s="36" t="s">
        <v>197</v>
      </c>
      <c r="AX95" s="36" t="s">
        <v>206</v>
      </c>
      <c r="AY95" s="36" t="s">
        <v>210</v>
      </c>
      <c r="AZ95" s="36" t="s">
        <v>133</v>
      </c>
      <c r="BA95" s="36" t="s">
        <v>170</v>
      </c>
      <c r="BB95" s="36" t="s">
        <v>292</v>
      </c>
      <c r="BC95" s="36" t="s">
        <v>292</v>
      </c>
      <c r="BD95" s="36" t="s">
        <v>188</v>
      </c>
      <c r="BF95" s="36" t="s">
        <v>221</v>
      </c>
      <c r="BG95" s="36">
        <v>5</v>
      </c>
      <c r="BH95" s="36">
        <v>5</v>
      </c>
      <c r="BI95" s="36">
        <v>5</v>
      </c>
      <c r="BJ95" s="36">
        <v>5</v>
      </c>
      <c r="BK95" s="36">
        <v>5</v>
      </c>
      <c r="BL95" s="36">
        <v>5</v>
      </c>
      <c r="BM95" s="36">
        <v>5</v>
      </c>
      <c r="BN95" s="36">
        <v>5</v>
      </c>
      <c r="BO95" s="36">
        <v>5</v>
      </c>
      <c r="BP95" s="36">
        <v>5</v>
      </c>
      <c r="BQ95" s="36">
        <v>5</v>
      </c>
      <c r="BR95" s="36">
        <v>5</v>
      </c>
      <c r="BS95" s="36">
        <v>2</v>
      </c>
      <c r="BT95" s="36">
        <v>5</v>
      </c>
      <c r="BU95" s="36">
        <v>5</v>
      </c>
      <c r="BV95" s="36">
        <v>5</v>
      </c>
      <c r="BW95" s="36">
        <v>5</v>
      </c>
      <c r="BX95" s="36">
        <v>5</v>
      </c>
      <c r="BY95" s="36">
        <v>5</v>
      </c>
      <c r="BZ95" s="36">
        <v>5</v>
      </c>
      <c r="CA95" s="36">
        <v>5</v>
      </c>
      <c r="CB95" s="36">
        <v>5</v>
      </c>
      <c r="CC95" s="36">
        <v>5</v>
      </c>
      <c r="CD95" s="36">
        <v>5</v>
      </c>
      <c r="CE95" s="36">
        <v>5</v>
      </c>
      <c r="CF95" s="36">
        <v>2</v>
      </c>
      <c r="CG95" s="36">
        <v>5</v>
      </c>
      <c r="CH95" s="36" t="s">
        <v>222</v>
      </c>
      <c r="CI95" t="s">
        <v>226</v>
      </c>
      <c r="CJ95" t="s">
        <v>229</v>
      </c>
      <c r="CK95" s="36" t="s">
        <v>233</v>
      </c>
      <c r="CL95" t="s">
        <v>240</v>
      </c>
      <c r="CM95"/>
      <c r="CN95" s="36" t="s">
        <v>241</v>
      </c>
      <c r="CO95" s="36" t="s">
        <v>134</v>
      </c>
      <c r="CP95" s="36">
        <v>1</v>
      </c>
      <c r="CQ95" s="36">
        <v>5</v>
      </c>
      <c r="CR95" s="36" t="s">
        <v>248</v>
      </c>
      <c r="CS95" s="36">
        <v>3</v>
      </c>
      <c r="CT95" s="36">
        <v>5</v>
      </c>
      <c r="CU95" s="36">
        <v>5</v>
      </c>
      <c r="CV95" s="36">
        <v>5</v>
      </c>
      <c r="CW95" s="36">
        <v>2</v>
      </c>
      <c r="CX95" s="36">
        <v>5</v>
      </c>
      <c r="CY95" s="36">
        <v>5</v>
      </c>
      <c r="CZ95" s="36">
        <v>5</v>
      </c>
      <c r="DA95" s="36">
        <v>4</v>
      </c>
      <c r="DB95" s="36">
        <v>4</v>
      </c>
      <c r="DC95" s="36">
        <v>5</v>
      </c>
      <c r="DD95" s="36">
        <v>5</v>
      </c>
      <c r="DE95" s="36">
        <v>5</v>
      </c>
      <c r="DF95" s="36">
        <v>5</v>
      </c>
      <c r="DG95" s="36">
        <v>5</v>
      </c>
      <c r="DH95" s="36">
        <v>5</v>
      </c>
      <c r="DI95" s="36" t="s">
        <v>250</v>
      </c>
      <c r="DJ95" s="36" t="s">
        <v>134</v>
      </c>
      <c r="DL95"/>
      <c r="DM95"/>
      <c r="DN95"/>
      <c r="DO95"/>
      <c r="DP95"/>
      <c r="DR95" s="36" t="s">
        <v>134</v>
      </c>
      <c r="DT95"/>
      <c r="DU95"/>
      <c r="DV95"/>
      <c r="DW95"/>
      <c r="DX95"/>
      <c r="DZ95" s="36" t="s">
        <v>133</v>
      </c>
      <c r="EA95" s="36">
        <v>5</v>
      </c>
      <c r="EB95" s="36" t="s">
        <v>263</v>
      </c>
      <c r="EC95" s="36" t="s">
        <v>265</v>
      </c>
      <c r="ED95" s="36">
        <v>26</v>
      </c>
      <c r="EE95" s="36" t="s">
        <v>459</v>
      </c>
      <c r="EF95" s="36" t="str">
        <f>Tabulacao!MC95</f>
        <v>São Cristóvão</v>
      </c>
      <c r="EG95" s="36" t="s">
        <v>459</v>
      </c>
      <c r="EH95" s="36" t="str">
        <f>Tabulacao!MG95</f>
        <v>São Cristóvão</v>
      </c>
      <c r="EI95" s="36" t="s">
        <v>459</v>
      </c>
      <c r="EJ95" s="36" t="str">
        <f>Tabulacao!MK95</f>
        <v>São Cristóvão</v>
      </c>
      <c r="EK95" s="36" t="s">
        <v>134</v>
      </c>
      <c r="EL95" s="36" t="s">
        <v>134</v>
      </c>
      <c r="EM95" s="36" t="s">
        <v>134</v>
      </c>
      <c r="EN95" s="36" t="s">
        <v>134</v>
      </c>
      <c r="EO95" s="36" t="s">
        <v>134</v>
      </c>
      <c r="EP95" s="36" t="s">
        <v>134</v>
      </c>
      <c r="EQ95" s="36" t="s">
        <v>275</v>
      </c>
      <c r="ER95" s="36" t="str">
        <f>IF(OR(EQ95=CaractAmostra!$BD$9,EQ95=CaractAmostra!$BD$10,EQ95=CaractAmostra!$BD$11,EQ95=CaractAmostra!$BD$12,EQ95=CaractAmostra!$BD$13),Respostas_Formatadas!EQ95,"Outros")</f>
        <v>Com os pais</v>
      </c>
      <c r="ES95" s="36" t="s">
        <v>275</v>
      </c>
      <c r="ET95" s="36" t="str">
        <f>IF(OR(ES95=CaractAmostra!$BH$9,ES95=CaractAmostra!$BH$10,ES95=CaractAmostra!$BH$11,ES95=CaractAmostra!$BH$12),Respostas_Formatadas!ES95,"Outros")</f>
        <v>Com os pais</v>
      </c>
      <c r="EU95" s="36" t="s">
        <v>134</v>
      </c>
      <c r="EV95" s="36" t="s">
        <v>285</v>
      </c>
      <c r="EW95" s="36" t="s">
        <v>286</v>
      </c>
      <c r="FE95" s="47">
        <v>2014</v>
      </c>
      <c r="FF95" s="97">
        <v>8.0770999999999997</v>
      </c>
      <c r="FI95" s="47" t="str">
        <f t="shared" si="2"/>
        <v>Aracaju</v>
      </c>
      <c r="FJ95" s="47" t="str">
        <f t="shared" si="3"/>
        <v>Tecnologia</v>
      </c>
    </row>
    <row r="96" spans="1:166" s="36" customFormat="1" ht="15.75" customHeight="1" x14ac:dyDescent="0.2">
      <c r="A96" s="38">
        <v>43410.467645231482</v>
      </c>
      <c r="C96" s="36" t="s">
        <v>124</v>
      </c>
      <c r="D96" s="47" t="s">
        <v>134</v>
      </c>
      <c r="M96" s="36" t="s">
        <v>148</v>
      </c>
      <c r="N96" s="36" t="s">
        <v>133</v>
      </c>
      <c r="O96" s="36" t="s">
        <v>133</v>
      </c>
      <c r="P96" s="36" t="s">
        <v>133</v>
      </c>
      <c r="Q96" s="36" t="s">
        <v>133</v>
      </c>
      <c r="R96" s="36" t="s">
        <v>151</v>
      </c>
      <c r="Y96" s="36" t="s">
        <v>165</v>
      </c>
      <c r="Z96" s="36" t="s">
        <v>170</v>
      </c>
      <c r="AA96" s="36" t="s">
        <v>173</v>
      </c>
      <c r="AB96" s="36" t="s">
        <v>177</v>
      </c>
      <c r="AD96" s="36" t="s">
        <v>542</v>
      </c>
      <c r="AE96" s="36">
        <v>5</v>
      </c>
      <c r="AF96" s="36" t="s">
        <v>187</v>
      </c>
      <c r="AG96" s="36" t="s">
        <v>187</v>
      </c>
      <c r="AH96" s="36" t="s">
        <v>134</v>
      </c>
      <c r="AI96" s="40">
        <v>1600</v>
      </c>
      <c r="AJ96" s="36">
        <v>5</v>
      </c>
      <c r="AK96" s="36">
        <v>3</v>
      </c>
      <c r="AL96" s="36" t="s">
        <v>133</v>
      </c>
      <c r="AP96" s="36" t="s">
        <v>498</v>
      </c>
      <c r="AQ96" s="40">
        <v>2100</v>
      </c>
      <c r="AR96" s="36">
        <v>4</v>
      </c>
      <c r="AS96" s="36">
        <v>4</v>
      </c>
      <c r="AT96" s="36">
        <v>3</v>
      </c>
      <c r="AU96" s="36">
        <v>3</v>
      </c>
      <c r="AV96" s="36">
        <v>2</v>
      </c>
      <c r="AW96" s="36" t="s">
        <v>192</v>
      </c>
      <c r="AX96" s="36" t="s">
        <v>206</v>
      </c>
      <c r="AY96" s="36" t="s">
        <v>210</v>
      </c>
      <c r="AZ96" s="36" t="s">
        <v>133</v>
      </c>
      <c r="BA96" s="36" t="s">
        <v>170</v>
      </c>
      <c r="BB96" s="36" t="s">
        <v>292</v>
      </c>
      <c r="BC96" s="36" t="s">
        <v>292</v>
      </c>
      <c r="BD96" s="36" t="s">
        <v>187</v>
      </c>
      <c r="BE96" s="36" t="s">
        <v>217</v>
      </c>
      <c r="BG96" s="36">
        <v>5</v>
      </c>
      <c r="BH96" s="36">
        <v>4</v>
      </c>
      <c r="BI96" s="36">
        <v>5</v>
      </c>
      <c r="BJ96" s="36">
        <v>5</v>
      </c>
      <c r="BK96" s="36">
        <v>5</v>
      </c>
      <c r="BL96" s="36">
        <v>5</v>
      </c>
      <c r="BM96" s="36">
        <v>5</v>
      </c>
      <c r="BN96" s="36">
        <v>5</v>
      </c>
      <c r="BO96" s="36">
        <v>5</v>
      </c>
      <c r="BP96" s="36">
        <v>4</v>
      </c>
      <c r="BQ96" s="36">
        <v>5</v>
      </c>
      <c r="BR96" s="36">
        <v>5</v>
      </c>
      <c r="BS96" s="36">
        <v>2</v>
      </c>
      <c r="BT96" s="36">
        <v>5</v>
      </c>
      <c r="BU96" s="36">
        <v>4</v>
      </c>
      <c r="BV96" s="36">
        <v>5</v>
      </c>
      <c r="BW96" s="36">
        <v>5</v>
      </c>
      <c r="BX96" s="36">
        <v>5</v>
      </c>
      <c r="BY96" s="36">
        <v>4</v>
      </c>
      <c r="BZ96" s="36">
        <v>5</v>
      </c>
      <c r="CA96" s="36">
        <v>5</v>
      </c>
      <c r="CB96" s="36">
        <v>5</v>
      </c>
      <c r="CC96" s="36">
        <v>5</v>
      </c>
      <c r="CD96" s="36">
        <v>5</v>
      </c>
      <c r="CE96" s="36">
        <v>5</v>
      </c>
      <c r="CF96" s="36">
        <v>5</v>
      </c>
      <c r="CG96" s="36">
        <v>4</v>
      </c>
      <c r="CH96" s="36" t="s">
        <v>222</v>
      </c>
      <c r="CI96" t="s">
        <v>225</v>
      </c>
      <c r="CJ96" t="s">
        <v>226</v>
      </c>
      <c r="CK96" s="36" t="s">
        <v>233</v>
      </c>
      <c r="CL96" t="s">
        <v>234</v>
      </c>
      <c r="CM96" t="s">
        <v>239</v>
      </c>
      <c r="CN96" s="36" t="s">
        <v>242</v>
      </c>
      <c r="CO96" s="36" t="s">
        <v>134</v>
      </c>
      <c r="CP96" s="36">
        <v>4</v>
      </c>
      <c r="CQ96" s="36">
        <v>4</v>
      </c>
      <c r="CR96" s="36" t="s">
        <v>249</v>
      </c>
      <c r="CS96" s="36">
        <v>4</v>
      </c>
      <c r="CT96" s="36">
        <v>4</v>
      </c>
      <c r="CU96" s="36">
        <v>3</v>
      </c>
      <c r="CV96" s="36">
        <v>2</v>
      </c>
      <c r="CW96" s="36">
        <v>3</v>
      </c>
      <c r="CX96" s="36">
        <v>5</v>
      </c>
      <c r="CY96" s="36">
        <v>3</v>
      </c>
      <c r="CZ96" s="36">
        <v>4</v>
      </c>
      <c r="DA96" s="36">
        <v>2</v>
      </c>
      <c r="DB96" s="36">
        <v>3</v>
      </c>
      <c r="DC96" s="36">
        <v>2</v>
      </c>
      <c r="DD96" s="36">
        <v>3</v>
      </c>
      <c r="DE96" s="36">
        <v>4</v>
      </c>
      <c r="DF96" s="36">
        <v>3</v>
      </c>
      <c r="DG96" s="36">
        <v>4</v>
      </c>
      <c r="DH96" s="36">
        <v>3</v>
      </c>
      <c r="DI96" s="36" t="s">
        <v>133</v>
      </c>
      <c r="DJ96" s="36" t="s">
        <v>134</v>
      </c>
      <c r="DL96"/>
      <c r="DM96"/>
      <c r="DN96"/>
      <c r="DO96"/>
      <c r="DP96"/>
      <c r="DR96" s="36" t="s">
        <v>134</v>
      </c>
      <c r="DT96"/>
      <c r="DU96"/>
      <c r="DV96"/>
      <c r="DW96"/>
      <c r="DX96"/>
      <c r="DZ96" s="36" t="s">
        <v>134</v>
      </c>
      <c r="EB96" s="36" t="s">
        <v>262</v>
      </c>
      <c r="EC96" s="36" t="s">
        <v>265</v>
      </c>
      <c r="ED96" s="36">
        <v>35</v>
      </c>
      <c r="EE96" s="36" t="s">
        <v>543</v>
      </c>
      <c r="EF96" s="36" t="str">
        <f>Tabulacao!MC96</f>
        <v>Laranjeiras</v>
      </c>
      <c r="EG96" s="36" t="s">
        <v>543</v>
      </c>
      <c r="EH96" s="36" t="str">
        <f>Tabulacao!MG96</f>
        <v>Laranjeiras</v>
      </c>
      <c r="EI96" s="36" t="s">
        <v>292</v>
      </c>
      <c r="EJ96" s="36" t="str">
        <f>Tabulacao!MK96</f>
        <v>Aracaju</v>
      </c>
      <c r="EK96" s="36" t="s">
        <v>134</v>
      </c>
      <c r="EL96" s="36" t="s">
        <v>134</v>
      </c>
      <c r="EM96" s="36" t="s">
        <v>134</v>
      </c>
      <c r="EN96" s="36" t="s">
        <v>134</v>
      </c>
      <c r="EO96" s="36" t="s">
        <v>134</v>
      </c>
      <c r="EP96" s="36" t="s">
        <v>134</v>
      </c>
      <c r="EQ96" s="36" t="s">
        <v>275</v>
      </c>
      <c r="ER96" s="36" t="str">
        <f>IF(OR(EQ96=CaractAmostra!$BD$9,EQ96=CaractAmostra!$BD$10,EQ96=CaractAmostra!$BD$11,EQ96=CaractAmostra!$BD$12,EQ96=CaractAmostra!$BD$13),Respostas_Formatadas!EQ96,"Outros")</f>
        <v>Com os pais</v>
      </c>
      <c r="ES96" s="36" t="s">
        <v>274</v>
      </c>
      <c r="ET96" s="36" t="str">
        <f>IF(OR(ES96=CaractAmostra!$BH$9,ES96=CaractAmostra!$BH$10,ES96=CaractAmostra!$BH$11,ES96=CaractAmostra!$BH$12),Respostas_Formatadas!ES96,"Outros")</f>
        <v>Com um(a) parceiro(a)</v>
      </c>
      <c r="EU96" s="36" t="s">
        <v>134</v>
      </c>
      <c r="EV96" s="36" t="s">
        <v>284</v>
      </c>
      <c r="EW96" s="36" t="s">
        <v>285</v>
      </c>
      <c r="FE96" s="47">
        <v>2013</v>
      </c>
      <c r="FF96" s="97">
        <v>7.1025999999999998</v>
      </c>
      <c r="FI96" s="47" t="str">
        <f t="shared" si="2"/>
        <v>Aracaju</v>
      </c>
      <c r="FJ96" s="47" t="str">
        <f t="shared" si="3"/>
        <v>Tecnologia</v>
      </c>
    </row>
    <row r="97" spans="1:166" s="36" customFormat="1" ht="15.75" customHeight="1" x14ac:dyDescent="0.2">
      <c r="A97" s="38">
        <v>43410.474752291666</v>
      </c>
      <c r="C97" s="36" t="s">
        <v>124</v>
      </c>
      <c r="D97" s="47" t="s">
        <v>133</v>
      </c>
      <c r="E97" s="36" t="s">
        <v>138</v>
      </c>
      <c r="F97" s="36" t="s">
        <v>139</v>
      </c>
      <c r="H97" s="36" t="s">
        <v>144</v>
      </c>
      <c r="M97" s="36" t="s">
        <v>146</v>
      </c>
      <c r="N97" s="36" t="s">
        <v>134</v>
      </c>
      <c r="O97" s="36" t="s">
        <v>134</v>
      </c>
      <c r="P97" s="36" t="s">
        <v>134</v>
      </c>
      <c r="Q97" s="36" t="s">
        <v>134</v>
      </c>
      <c r="R97" s="36" t="s">
        <v>152</v>
      </c>
      <c r="S97" s="36" t="s">
        <v>544</v>
      </c>
      <c r="T97" s="36" t="s">
        <v>154</v>
      </c>
      <c r="U97" s="36" t="s">
        <v>157</v>
      </c>
      <c r="V97" s="36">
        <v>5</v>
      </c>
      <c r="W97" s="36">
        <v>1</v>
      </c>
      <c r="X97" s="36">
        <v>5</v>
      </c>
      <c r="Y97" s="36" t="s">
        <v>165</v>
      </c>
      <c r="Z97" s="36" t="s">
        <v>169</v>
      </c>
      <c r="AA97" s="36" t="s">
        <v>174</v>
      </c>
      <c r="AB97" s="36" t="s">
        <v>184</v>
      </c>
      <c r="AD97" s="36" t="s">
        <v>388</v>
      </c>
      <c r="AE97" s="36">
        <v>3</v>
      </c>
      <c r="AF97" s="36" t="s">
        <v>190</v>
      </c>
      <c r="AG97" s="36" t="s">
        <v>190</v>
      </c>
      <c r="AH97" s="36" t="s">
        <v>134</v>
      </c>
      <c r="AI97" s="40">
        <v>2500</v>
      </c>
      <c r="AJ97" s="36">
        <v>4</v>
      </c>
      <c r="AK97" s="36">
        <v>2</v>
      </c>
      <c r="AL97" s="36" t="s">
        <v>134</v>
      </c>
      <c r="AM97" s="36" t="s">
        <v>169</v>
      </c>
      <c r="AN97" s="36">
        <v>3</v>
      </c>
      <c r="AO97" s="36" t="s">
        <v>134</v>
      </c>
      <c r="AQ97" s="40"/>
      <c r="BT97" s="36">
        <v>4</v>
      </c>
      <c r="BU97" s="36">
        <v>3</v>
      </c>
      <c r="BV97" s="36">
        <v>4</v>
      </c>
      <c r="BW97" s="36">
        <v>3</v>
      </c>
      <c r="BX97" s="36">
        <v>5</v>
      </c>
      <c r="BY97" s="36">
        <v>4</v>
      </c>
      <c r="BZ97" s="36">
        <v>5</v>
      </c>
      <c r="CA97" s="36">
        <v>5</v>
      </c>
      <c r="CB97" s="36">
        <v>4</v>
      </c>
      <c r="CC97" s="36">
        <v>4</v>
      </c>
      <c r="CD97" s="36">
        <v>5</v>
      </c>
      <c r="CE97" s="36">
        <v>5</v>
      </c>
      <c r="CF97" s="36">
        <v>3</v>
      </c>
      <c r="CG97" s="36">
        <v>3</v>
      </c>
      <c r="CH97" s="36" t="s">
        <v>222</v>
      </c>
      <c r="CI97" t="s">
        <v>225</v>
      </c>
      <c r="CJ97"/>
      <c r="CK97" s="36" t="s">
        <v>240</v>
      </c>
      <c r="CL97"/>
      <c r="CM97"/>
      <c r="CN97" s="36" t="s">
        <v>242</v>
      </c>
      <c r="CO97" s="36" t="s">
        <v>134</v>
      </c>
      <c r="CP97" s="36">
        <v>1</v>
      </c>
      <c r="CQ97" s="36">
        <v>5</v>
      </c>
      <c r="CR97" s="36" t="s">
        <v>248</v>
      </c>
      <c r="CS97" s="36">
        <v>3</v>
      </c>
      <c r="CT97" s="36">
        <v>3</v>
      </c>
      <c r="CU97" s="36">
        <v>1</v>
      </c>
      <c r="CV97" s="36">
        <v>2</v>
      </c>
      <c r="CW97" s="36">
        <v>3</v>
      </c>
      <c r="CX97" s="36">
        <v>5</v>
      </c>
      <c r="CY97" s="36">
        <v>5</v>
      </c>
      <c r="CZ97" s="36">
        <v>3</v>
      </c>
      <c r="DA97" s="36">
        <v>2</v>
      </c>
      <c r="DB97" s="36">
        <v>3</v>
      </c>
      <c r="DC97" s="36">
        <v>3</v>
      </c>
      <c r="DD97" s="36">
        <v>1</v>
      </c>
      <c r="DE97" s="36">
        <v>4</v>
      </c>
      <c r="DF97" s="36">
        <v>1</v>
      </c>
      <c r="DG97" s="36">
        <v>1</v>
      </c>
      <c r="DH97" s="36">
        <v>1</v>
      </c>
      <c r="DI97" s="36" t="s">
        <v>250</v>
      </c>
      <c r="DJ97" s="36" t="s">
        <v>133</v>
      </c>
      <c r="DK97" s="36" t="s">
        <v>257</v>
      </c>
      <c r="DL97"/>
      <c r="DM97"/>
      <c r="DN97"/>
      <c r="DO97"/>
      <c r="DP97"/>
      <c r="DQ97" s="36">
        <v>1</v>
      </c>
      <c r="DR97" s="36" t="s">
        <v>134</v>
      </c>
      <c r="DT97"/>
      <c r="DU97"/>
      <c r="DV97"/>
      <c r="DW97"/>
      <c r="DX97"/>
      <c r="DZ97" s="36" t="s">
        <v>134</v>
      </c>
      <c r="EB97" s="36" t="s">
        <v>263</v>
      </c>
      <c r="EC97" s="36" t="s">
        <v>267</v>
      </c>
      <c r="ED97" s="36">
        <v>30</v>
      </c>
      <c r="EE97" s="36" t="s">
        <v>292</v>
      </c>
      <c r="EF97" s="36" t="str">
        <f>Tabulacao!MC97</f>
        <v>Aracaju</v>
      </c>
      <c r="EG97" s="36" t="s">
        <v>292</v>
      </c>
      <c r="EH97" s="36" t="str">
        <f>Tabulacao!MG97</f>
        <v>Aracaju</v>
      </c>
      <c r="EI97" s="36" t="s">
        <v>292</v>
      </c>
      <c r="EJ97" s="36" t="str">
        <f>Tabulacao!MK97</f>
        <v>Aracaju</v>
      </c>
      <c r="EK97" s="36" t="s">
        <v>134</v>
      </c>
      <c r="EL97" s="36" t="s">
        <v>134</v>
      </c>
      <c r="EM97" s="36" t="s">
        <v>134</v>
      </c>
      <c r="EN97" s="36" t="s">
        <v>134</v>
      </c>
      <c r="EO97" s="36" t="s">
        <v>134</v>
      </c>
      <c r="EP97" s="36" t="s">
        <v>134</v>
      </c>
      <c r="EQ97" s="36" t="s">
        <v>275</v>
      </c>
      <c r="ER97" s="36" t="str">
        <f>IF(OR(EQ97=CaractAmostra!$BD$9,EQ97=CaractAmostra!$BD$10,EQ97=CaractAmostra!$BD$11,EQ97=CaractAmostra!$BD$12,EQ97=CaractAmostra!$BD$13),Respostas_Formatadas!EQ97,"Outros")</f>
        <v>Com os pais</v>
      </c>
      <c r="ES97" s="36" t="s">
        <v>274</v>
      </c>
      <c r="ET97" s="36" t="str">
        <f>IF(OR(ES97=CaractAmostra!$BH$9,ES97=CaractAmostra!$BH$10,ES97=CaractAmostra!$BH$11,ES97=CaractAmostra!$BH$12),Respostas_Formatadas!ES97,"Outros")</f>
        <v>Com um(a) parceiro(a)</v>
      </c>
      <c r="EU97" s="36" t="s">
        <v>279</v>
      </c>
      <c r="EV97" s="36" t="s">
        <v>288</v>
      </c>
      <c r="EW97" s="36" t="s">
        <v>288</v>
      </c>
      <c r="FE97" s="115" t="s">
        <v>1247</v>
      </c>
      <c r="FF97" s="97" t="s">
        <v>933</v>
      </c>
      <c r="FI97" s="47" t="str">
        <f t="shared" si="2"/>
        <v>Aracaju</v>
      </c>
      <c r="FJ97" s="47" t="str">
        <f t="shared" si="3"/>
        <v>Tecnologia</v>
      </c>
    </row>
    <row r="98" spans="1:166" s="36" customFormat="1" ht="15.75" customHeight="1" x14ac:dyDescent="0.2">
      <c r="A98" s="38">
        <v>43410.48957513889</v>
      </c>
      <c r="C98" s="36" t="s">
        <v>124</v>
      </c>
      <c r="D98" s="47" t="s">
        <v>133</v>
      </c>
      <c r="E98" s="36" t="s">
        <v>138</v>
      </c>
      <c r="F98" s="36" t="s">
        <v>139</v>
      </c>
      <c r="H98" s="36" t="s">
        <v>142</v>
      </c>
      <c r="I98" s="36" t="s">
        <v>144</v>
      </c>
      <c r="M98" s="36" t="s">
        <v>146</v>
      </c>
      <c r="N98" s="36" t="s">
        <v>134</v>
      </c>
      <c r="O98" s="36" t="s">
        <v>133</v>
      </c>
      <c r="P98" s="36" t="s">
        <v>133</v>
      </c>
      <c r="Q98" s="36" t="s">
        <v>133</v>
      </c>
      <c r="R98" s="36" t="s">
        <v>151</v>
      </c>
      <c r="Y98" s="36" t="s">
        <v>166</v>
      </c>
      <c r="AC98" s="36" t="s">
        <v>186</v>
      </c>
      <c r="AD98" s="36" t="s">
        <v>545</v>
      </c>
      <c r="AE98" s="36">
        <v>1</v>
      </c>
      <c r="AF98" s="36" t="s">
        <v>546</v>
      </c>
      <c r="AG98" s="36" t="s">
        <v>189</v>
      </c>
      <c r="AH98" s="36" t="s">
        <v>134</v>
      </c>
      <c r="AI98" s="40">
        <v>1800</v>
      </c>
      <c r="AJ98" s="36">
        <v>1</v>
      </c>
      <c r="AK98" s="36">
        <v>1</v>
      </c>
      <c r="AL98" s="36" t="s">
        <v>133</v>
      </c>
      <c r="AP98" s="36" t="s">
        <v>545</v>
      </c>
      <c r="AQ98" s="40">
        <v>3600</v>
      </c>
      <c r="AR98" s="36">
        <v>2</v>
      </c>
      <c r="AS98" s="36">
        <v>1</v>
      </c>
      <c r="AT98" s="36">
        <v>1</v>
      </c>
      <c r="AU98" s="36">
        <v>2</v>
      </c>
      <c r="AV98" s="36">
        <v>1</v>
      </c>
      <c r="AW98" s="36" t="s">
        <v>547</v>
      </c>
      <c r="AX98" s="36" t="s">
        <v>206</v>
      </c>
      <c r="AY98" s="36" t="s">
        <v>210</v>
      </c>
      <c r="AZ98" s="36" t="s">
        <v>133</v>
      </c>
      <c r="BA98" s="36" t="s">
        <v>170</v>
      </c>
      <c r="BB98" s="36" t="s">
        <v>501</v>
      </c>
      <c r="BC98" s="36" t="s">
        <v>292</v>
      </c>
      <c r="BD98" s="36" t="s">
        <v>190</v>
      </c>
      <c r="BG98" s="36">
        <v>1</v>
      </c>
      <c r="BH98" s="36">
        <v>1</v>
      </c>
      <c r="BI98" s="36">
        <v>3</v>
      </c>
      <c r="BJ98" s="36">
        <v>5</v>
      </c>
      <c r="BK98" s="36">
        <v>4</v>
      </c>
      <c r="BL98" s="36">
        <v>5</v>
      </c>
      <c r="BM98" s="36">
        <v>4</v>
      </c>
      <c r="BN98" s="36">
        <v>2</v>
      </c>
      <c r="BO98" s="36">
        <v>4</v>
      </c>
      <c r="BP98" s="36">
        <v>4</v>
      </c>
      <c r="BQ98" s="36">
        <v>4</v>
      </c>
      <c r="BR98" s="36">
        <v>4</v>
      </c>
      <c r="BS98" s="36">
        <v>1</v>
      </c>
      <c r="BT98" s="36">
        <v>5</v>
      </c>
      <c r="BU98" s="36">
        <v>5</v>
      </c>
      <c r="BV98" s="36">
        <v>5</v>
      </c>
      <c r="BW98" s="36">
        <v>5</v>
      </c>
      <c r="BX98" s="36">
        <v>5</v>
      </c>
      <c r="BY98" s="36">
        <v>5</v>
      </c>
      <c r="BZ98" s="36">
        <v>5</v>
      </c>
      <c r="CA98" s="36">
        <v>5</v>
      </c>
      <c r="CB98" s="36">
        <v>4</v>
      </c>
      <c r="CC98" s="36">
        <v>4</v>
      </c>
      <c r="CD98" s="36">
        <v>4</v>
      </c>
      <c r="CE98" s="36">
        <v>5</v>
      </c>
      <c r="CF98" s="36">
        <v>5</v>
      </c>
      <c r="CG98" s="36">
        <v>3</v>
      </c>
      <c r="CH98" s="36" t="s">
        <v>222</v>
      </c>
      <c r="CI98" t="s">
        <v>225</v>
      </c>
      <c r="CJ98" t="s">
        <v>1016</v>
      </c>
      <c r="CK98" s="36" t="s">
        <v>548</v>
      </c>
      <c r="CL98"/>
      <c r="CM98"/>
      <c r="CN98" s="36" t="s">
        <v>242</v>
      </c>
      <c r="CO98" s="36" t="s">
        <v>134</v>
      </c>
      <c r="CP98" s="36">
        <v>2</v>
      </c>
      <c r="CQ98" s="36">
        <v>4</v>
      </c>
      <c r="CR98" s="36" t="s">
        <v>248</v>
      </c>
      <c r="CS98" s="36">
        <v>4</v>
      </c>
      <c r="CT98" s="36">
        <v>3</v>
      </c>
      <c r="CU98" s="36">
        <v>4</v>
      </c>
      <c r="CV98" s="36">
        <v>4</v>
      </c>
      <c r="CW98" s="36">
        <v>4</v>
      </c>
      <c r="CX98" s="36">
        <v>4</v>
      </c>
      <c r="CY98" s="36">
        <v>5</v>
      </c>
      <c r="CZ98" s="36">
        <v>3</v>
      </c>
      <c r="DA98" s="36">
        <v>2</v>
      </c>
      <c r="DB98" s="36">
        <v>4</v>
      </c>
      <c r="DC98" s="36">
        <v>3</v>
      </c>
      <c r="DD98" s="36">
        <v>5</v>
      </c>
      <c r="DE98" s="36">
        <v>1</v>
      </c>
      <c r="DF98" s="36">
        <v>5</v>
      </c>
      <c r="DG98" s="36">
        <v>5</v>
      </c>
      <c r="DH98" s="36">
        <v>5</v>
      </c>
      <c r="DI98" s="36" t="s">
        <v>133</v>
      </c>
      <c r="DJ98" s="36" t="s">
        <v>133</v>
      </c>
      <c r="DK98" s="36" t="s">
        <v>254</v>
      </c>
      <c r="DL98" t="s">
        <v>255</v>
      </c>
      <c r="DM98"/>
      <c r="DN98"/>
      <c r="DO98" t="s">
        <v>256</v>
      </c>
      <c r="DP98" t="s">
        <v>257</v>
      </c>
      <c r="DQ98" s="36">
        <v>1</v>
      </c>
      <c r="DR98" s="36" t="s">
        <v>133</v>
      </c>
      <c r="DS98" s="36" t="s">
        <v>260</v>
      </c>
      <c r="DT98" t="s">
        <v>261</v>
      </c>
      <c r="DU98"/>
      <c r="DV98"/>
      <c r="DW98"/>
      <c r="DX98"/>
      <c r="DY98" s="36">
        <v>1</v>
      </c>
      <c r="DZ98" s="36" t="s">
        <v>134</v>
      </c>
      <c r="EB98" s="36" t="s">
        <v>262</v>
      </c>
      <c r="EC98" s="36" t="s">
        <v>265</v>
      </c>
      <c r="ED98" s="36">
        <v>41</v>
      </c>
      <c r="EE98" s="36" t="s">
        <v>292</v>
      </c>
      <c r="EF98" s="36" t="str">
        <f>Tabulacao!MC98</f>
        <v>Aracaju</v>
      </c>
      <c r="EG98" s="36" t="s">
        <v>292</v>
      </c>
      <c r="EH98" s="36" t="str">
        <f>Tabulacao!MG98</f>
        <v>Aracaju</v>
      </c>
      <c r="EI98" s="36" t="s">
        <v>292</v>
      </c>
      <c r="EJ98" s="36" t="str">
        <f>Tabulacao!MK98</f>
        <v>Aracaju</v>
      </c>
      <c r="EK98" s="36" t="s">
        <v>134</v>
      </c>
      <c r="EL98" s="36" t="s">
        <v>134</v>
      </c>
      <c r="EM98" s="36" t="s">
        <v>134</v>
      </c>
      <c r="EN98" s="36" t="s">
        <v>271</v>
      </c>
      <c r="EO98" s="36" t="s">
        <v>134</v>
      </c>
      <c r="EP98" s="36" t="s">
        <v>134</v>
      </c>
      <c r="EQ98" s="36" t="s">
        <v>272</v>
      </c>
      <c r="ER98" s="36" t="str">
        <f>IF(OR(EQ98=CaractAmostra!$BD$9,EQ98=CaractAmostra!$BD$10,EQ98=CaractAmostra!$BD$11,EQ98=CaractAmostra!$BD$12,EQ98=CaractAmostra!$BD$13),Respostas_Formatadas!EQ98,"Outros")</f>
        <v>Morava sozinho</v>
      </c>
      <c r="ES98" s="36" t="s">
        <v>515</v>
      </c>
      <c r="ET98" s="36" t="str">
        <f>IF(OR(ES98=CaractAmostra!$BH$9,ES98=CaractAmostra!$BH$10,ES98=CaractAmostra!$BH$11,ES98=CaractAmostra!$BH$12),Respostas_Formatadas!ES98,"Outros")</f>
        <v>Outros</v>
      </c>
      <c r="EU98" s="36" t="s">
        <v>134</v>
      </c>
      <c r="EV98" s="36" t="s">
        <v>283</v>
      </c>
      <c r="EW98" s="36" t="s">
        <v>282</v>
      </c>
      <c r="FD98" s="36" t="s">
        <v>549</v>
      </c>
      <c r="FE98" s="115" t="s">
        <v>1250</v>
      </c>
      <c r="FF98" s="97" t="s">
        <v>933</v>
      </c>
      <c r="FI98" s="47" t="str">
        <f t="shared" si="2"/>
        <v>Aracaju</v>
      </c>
      <c r="FJ98" s="47" t="str">
        <f t="shared" si="3"/>
        <v>Tecnologia</v>
      </c>
    </row>
    <row r="99" spans="1:166" s="36" customFormat="1" ht="15.75" customHeight="1" x14ac:dyDescent="0.2">
      <c r="A99" s="38">
        <v>43410.498658136574</v>
      </c>
      <c r="C99" s="36" t="s">
        <v>119</v>
      </c>
      <c r="D99" s="47" t="s">
        <v>133</v>
      </c>
      <c r="E99" s="36" t="s">
        <v>138</v>
      </c>
      <c r="H99" s="36" t="s">
        <v>144</v>
      </c>
      <c r="M99" s="36" t="s">
        <v>146</v>
      </c>
      <c r="N99" s="36" t="s">
        <v>134</v>
      </c>
      <c r="O99" s="36" t="s">
        <v>133</v>
      </c>
      <c r="P99" s="36" t="s">
        <v>134</v>
      </c>
      <c r="Q99" s="36" t="s">
        <v>134</v>
      </c>
      <c r="R99" s="36" t="s">
        <v>151</v>
      </c>
      <c r="Y99" s="36" t="s">
        <v>134</v>
      </c>
      <c r="AI99" s="40"/>
      <c r="AQ99" s="40"/>
      <c r="BT99" s="36">
        <v>3</v>
      </c>
      <c r="BU99" s="36">
        <v>3</v>
      </c>
      <c r="BV99" s="36">
        <v>4</v>
      </c>
      <c r="BW99" s="36">
        <v>3</v>
      </c>
      <c r="BX99" s="36">
        <v>4</v>
      </c>
      <c r="BY99" s="36">
        <v>4</v>
      </c>
      <c r="BZ99" s="36">
        <v>4</v>
      </c>
      <c r="CA99" s="36">
        <v>4</v>
      </c>
      <c r="CB99" s="36">
        <v>4</v>
      </c>
      <c r="CC99" s="36">
        <v>4</v>
      </c>
      <c r="CD99" s="36">
        <v>4</v>
      </c>
      <c r="CE99" s="36">
        <v>4</v>
      </c>
      <c r="CF99" s="36">
        <v>2</v>
      </c>
      <c r="CG99" s="36">
        <v>2</v>
      </c>
      <c r="CH99" s="36" t="s">
        <v>225</v>
      </c>
      <c r="CI99"/>
      <c r="CJ99"/>
      <c r="CK99" s="36" t="s">
        <v>240</v>
      </c>
      <c r="CL99"/>
      <c r="CM99"/>
      <c r="CN99" s="36" t="s">
        <v>241</v>
      </c>
      <c r="CO99" s="36" t="s">
        <v>134</v>
      </c>
      <c r="CP99" s="36">
        <v>2</v>
      </c>
      <c r="CQ99" s="36">
        <v>4</v>
      </c>
      <c r="CR99" s="36" t="s">
        <v>249</v>
      </c>
      <c r="CS99" s="36">
        <v>3</v>
      </c>
      <c r="CT99" s="36">
        <v>3</v>
      </c>
      <c r="CU99" s="36">
        <v>3</v>
      </c>
      <c r="CV99" s="36">
        <v>1</v>
      </c>
      <c r="CW99" s="36">
        <v>2</v>
      </c>
      <c r="CX99" s="36">
        <v>3</v>
      </c>
      <c r="CY99" s="36">
        <v>3</v>
      </c>
      <c r="CZ99" s="36">
        <v>3</v>
      </c>
      <c r="DA99" s="36">
        <v>3</v>
      </c>
      <c r="DB99" s="36">
        <v>2</v>
      </c>
      <c r="DC99" s="36">
        <v>3</v>
      </c>
      <c r="DD99" s="36">
        <v>2</v>
      </c>
      <c r="DE99" s="36">
        <v>4</v>
      </c>
      <c r="DF99" s="36">
        <v>3</v>
      </c>
      <c r="DG99" s="36">
        <v>3</v>
      </c>
      <c r="DH99" s="36">
        <v>3</v>
      </c>
      <c r="DI99" s="36" t="s">
        <v>133</v>
      </c>
      <c r="DJ99" s="36" t="s">
        <v>133</v>
      </c>
      <c r="DK99" s="36" t="s">
        <v>550</v>
      </c>
      <c r="DL99"/>
      <c r="DM99"/>
      <c r="DN99"/>
      <c r="DO99"/>
      <c r="DP99"/>
      <c r="DQ99" s="36">
        <v>4</v>
      </c>
      <c r="DR99" s="36" t="s">
        <v>133</v>
      </c>
      <c r="DS99" s="36" t="s">
        <v>1047</v>
      </c>
      <c r="DT99"/>
      <c r="DU99"/>
      <c r="DV99"/>
      <c r="DW99"/>
      <c r="DX99"/>
      <c r="DY99" s="36">
        <v>4</v>
      </c>
      <c r="DZ99" s="36" t="s">
        <v>133</v>
      </c>
      <c r="EA99" s="36">
        <v>5</v>
      </c>
      <c r="EB99" s="36" t="s">
        <v>263</v>
      </c>
      <c r="EC99" s="36" t="s">
        <v>264</v>
      </c>
      <c r="ED99" s="36">
        <v>29</v>
      </c>
      <c r="EE99" s="36" t="s">
        <v>551</v>
      </c>
      <c r="EF99" s="36" t="str">
        <f>Tabulacao!MC99</f>
        <v>Itaberaba - BA</v>
      </c>
      <c r="EG99" s="36" t="s">
        <v>458</v>
      </c>
      <c r="EH99" s="36" t="str">
        <f>Tabulacao!MG99</f>
        <v>Aracaju</v>
      </c>
      <c r="EI99" s="36" t="s">
        <v>552</v>
      </c>
      <c r="EJ99" s="36" t="str">
        <f>Tabulacao!MK99</f>
        <v>Salvador - BA</v>
      </c>
      <c r="EK99" s="36" t="s">
        <v>134</v>
      </c>
      <c r="EL99" s="36" t="s">
        <v>134</v>
      </c>
      <c r="EM99" s="36" t="s">
        <v>134</v>
      </c>
      <c r="EN99" s="36" t="s">
        <v>134</v>
      </c>
      <c r="EO99" s="36" t="s">
        <v>134</v>
      </c>
      <c r="EP99" s="36" t="s">
        <v>134</v>
      </c>
      <c r="EQ99" s="36" t="s">
        <v>273</v>
      </c>
      <c r="ER99" s="36" t="str">
        <f>IF(OR(EQ99=CaractAmostra!$BD$9,EQ99=CaractAmostra!$BD$10,EQ99=CaractAmostra!$BD$11,EQ99=CaractAmostra!$BD$12,EQ99=CaractAmostra!$BD$13),Respostas_Formatadas!EQ99,"Outros")</f>
        <v>Dividia residência com outras pessoas</v>
      </c>
      <c r="ES99" s="36" t="s">
        <v>278</v>
      </c>
      <c r="ET99" s="36" t="str">
        <f>IF(OR(ES99=CaractAmostra!$BH$9,ES99=CaractAmostra!$BH$10,ES99=CaractAmostra!$BH$11,ES99=CaractAmostra!$BH$12),Respostas_Formatadas!ES99,"Outros")</f>
        <v>Divido residência com outras pessoas</v>
      </c>
      <c r="EU99" s="36" t="s">
        <v>134</v>
      </c>
      <c r="EV99" s="36" t="s">
        <v>283</v>
      </c>
      <c r="EW99" s="36" t="s">
        <v>283</v>
      </c>
      <c r="FE99" s="47">
        <v>2017</v>
      </c>
      <c r="FF99" s="97">
        <v>7.4646999999999997</v>
      </c>
      <c r="FI99" s="47" t="str">
        <f t="shared" si="2"/>
        <v>Aracaju</v>
      </c>
      <c r="FJ99" s="47" t="str">
        <f t="shared" si="3"/>
        <v>Bacharelado</v>
      </c>
    </row>
    <row r="100" spans="1:166" s="36" customFormat="1" ht="15.75" customHeight="1" x14ac:dyDescent="0.2">
      <c r="A100" s="38">
        <v>43410.533621076393</v>
      </c>
      <c r="C100" s="36" t="s">
        <v>124</v>
      </c>
      <c r="D100" s="47" t="s">
        <v>134</v>
      </c>
      <c r="M100" s="36" t="s">
        <v>148</v>
      </c>
      <c r="N100" s="36" t="s">
        <v>133</v>
      </c>
      <c r="O100" s="36" t="s">
        <v>133</v>
      </c>
      <c r="P100" s="36" t="s">
        <v>133</v>
      </c>
      <c r="Q100" s="36" t="s">
        <v>133</v>
      </c>
      <c r="R100" s="36" t="s">
        <v>151</v>
      </c>
      <c r="Y100" s="36" t="s">
        <v>134</v>
      </c>
      <c r="AI100" s="40"/>
      <c r="AQ100" s="40"/>
      <c r="BT100" s="36">
        <v>5</v>
      </c>
      <c r="BU100" s="36">
        <v>5</v>
      </c>
      <c r="BV100" s="36">
        <v>5</v>
      </c>
      <c r="BW100" s="36">
        <v>5</v>
      </c>
      <c r="BX100" s="36">
        <v>5</v>
      </c>
      <c r="BY100" s="36">
        <v>5</v>
      </c>
      <c r="BZ100" s="36">
        <v>5</v>
      </c>
      <c r="CA100" s="36">
        <v>5</v>
      </c>
      <c r="CB100" s="36">
        <v>5</v>
      </c>
      <c r="CC100" s="36">
        <v>5</v>
      </c>
      <c r="CD100" s="36">
        <v>5</v>
      </c>
      <c r="CE100" s="36">
        <v>5</v>
      </c>
      <c r="CF100" s="36">
        <v>1</v>
      </c>
      <c r="CG100" s="36">
        <v>5</v>
      </c>
      <c r="CH100" s="36" t="s">
        <v>222</v>
      </c>
      <c r="CI100"/>
      <c r="CJ100"/>
      <c r="CK100" s="36" t="s">
        <v>239</v>
      </c>
      <c r="CL100"/>
      <c r="CM100"/>
      <c r="CN100" s="36" t="s">
        <v>241</v>
      </c>
      <c r="CO100" s="36" t="s">
        <v>134</v>
      </c>
      <c r="CP100" s="36">
        <v>3</v>
      </c>
      <c r="CQ100" s="36">
        <v>4</v>
      </c>
      <c r="CR100" s="36" t="s">
        <v>249</v>
      </c>
      <c r="CS100" s="36">
        <v>4</v>
      </c>
      <c r="CT100" s="36">
        <v>4</v>
      </c>
      <c r="CU100" s="36">
        <v>2</v>
      </c>
      <c r="CV100" s="36">
        <v>1</v>
      </c>
      <c r="CW100" s="36">
        <v>5</v>
      </c>
      <c r="CX100" s="36">
        <v>5</v>
      </c>
      <c r="CY100" s="36">
        <v>5</v>
      </c>
      <c r="CZ100" s="36">
        <v>4</v>
      </c>
      <c r="DA100" s="36">
        <v>3</v>
      </c>
      <c r="DB100" s="36">
        <v>3</v>
      </c>
      <c r="DC100" s="36">
        <v>4</v>
      </c>
      <c r="DD100" s="36">
        <v>5</v>
      </c>
      <c r="DE100" s="36">
        <v>5</v>
      </c>
      <c r="DF100" s="36">
        <v>5</v>
      </c>
      <c r="DG100" s="36">
        <v>4</v>
      </c>
      <c r="DH100" s="36">
        <v>3</v>
      </c>
      <c r="DI100" s="36" t="s">
        <v>133</v>
      </c>
      <c r="DJ100" s="36" t="s">
        <v>134</v>
      </c>
      <c r="DL100"/>
      <c r="DM100"/>
      <c r="DN100"/>
      <c r="DO100"/>
      <c r="DP100"/>
      <c r="DR100" s="36" t="s">
        <v>134</v>
      </c>
      <c r="DT100"/>
      <c r="DU100"/>
      <c r="DV100"/>
      <c r="DW100"/>
      <c r="DX100"/>
      <c r="DZ100" s="36" t="s">
        <v>134</v>
      </c>
      <c r="EB100" s="36" t="s">
        <v>262</v>
      </c>
      <c r="EC100" s="36" t="s">
        <v>265</v>
      </c>
      <c r="ED100" s="36">
        <v>48</v>
      </c>
      <c r="EE100" s="36" t="s">
        <v>304</v>
      </c>
      <c r="EF100" s="36" t="str">
        <f>Tabulacao!MC100</f>
        <v>Aracaju</v>
      </c>
      <c r="EG100" s="36" t="s">
        <v>304</v>
      </c>
      <c r="EH100" s="36" t="str">
        <f>Tabulacao!MG100</f>
        <v>Aracaju</v>
      </c>
      <c r="EI100" s="36" t="s">
        <v>304</v>
      </c>
      <c r="EJ100" s="36" t="str">
        <f>Tabulacao!MK100</f>
        <v>Aracaju</v>
      </c>
      <c r="EK100" s="36" t="s">
        <v>134</v>
      </c>
      <c r="EL100" s="36" t="s">
        <v>134</v>
      </c>
      <c r="EM100" s="36" t="s">
        <v>134</v>
      </c>
      <c r="EN100" s="36" t="s">
        <v>134</v>
      </c>
      <c r="EO100" s="36" t="s">
        <v>134</v>
      </c>
      <c r="EP100" s="36" t="s">
        <v>134</v>
      </c>
      <c r="EQ100" s="36" t="s">
        <v>274</v>
      </c>
      <c r="ER100" s="36" t="str">
        <f>IF(OR(EQ100=CaractAmostra!$BD$9,EQ100=CaractAmostra!$BD$10,EQ100=CaractAmostra!$BD$11,EQ100=CaractAmostra!$BD$12,EQ100=CaractAmostra!$BD$13),Respostas_Formatadas!EQ100,"Outros")</f>
        <v>Com um(a) parceiro(a)</v>
      </c>
      <c r="ES100" s="36" t="s">
        <v>274</v>
      </c>
      <c r="ET100" s="36" t="str">
        <f>IF(OR(ES100=CaractAmostra!$BH$9,ES100=CaractAmostra!$BH$10,ES100=CaractAmostra!$BH$11,ES100=CaractAmostra!$BH$12),Respostas_Formatadas!ES100,"Outros")</f>
        <v>Com um(a) parceiro(a)</v>
      </c>
      <c r="EU100" s="36" t="s">
        <v>279</v>
      </c>
      <c r="EV100" s="36" t="s">
        <v>282</v>
      </c>
      <c r="EW100" s="36" t="s">
        <v>192</v>
      </c>
      <c r="FD100" s="36" t="s">
        <v>553</v>
      </c>
      <c r="FE100" s="47">
        <v>2017</v>
      </c>
      <c r="FF100" s="97">
        <v>8.2453000000000003</v>
      </c>
      <c r="FI100" s="47" t="str">
        <f t="shared" si="2"/>
        <v>Aracaju</v>
      </c>
      <c r="FJ100" s="47" t="str">
        <f t="shared" si="3"/>
        <v>Tecnologia</v>
      </c>
    </row>
    <row r="101" spans="1:166" s="36" customFormat="1" ht="15.75" customHeight="1" x14ac:dyDescent="0.2">
      <c r="A101" s="38">
        <v>43410.543258472222</v>
      </c>
      <c r="C101" s="36" t="s">
        <v>119</v>
      </c>
      <c r="D101" s="47" t="s">
        <v>134</v>
      </c>
      <c r="M101" s="36" t="s">
        <v>146</v>
      </c>
      <c r="N101" s="36" t="s">
        <v>134</v>
      </c>
      <c r="O101" s="36" t="s">
        <v>133</v>
      </c>
      <c r="P101" s="36" t="s">
        <v>134</v>
      </c>
      <c r="Q101" s="36" t="s">
        <v>134</v>
      </c>
      <c r="R101" s="36" t="s">
        <v>151</v>
      </c>
      <c r="Y101" s="36" t="s">
        <v>165</v>
      </c>
      <c r="Z101" s="36" t="s">
        <v>169</v>
      </c>
      <c r="AA101" s="36" t="s">
        <v>172</v>
      </c>
      <c r="AB101" s="36" t="s">
        <v>181</v>
      </c>
      <c r="AD101" s="36" t="s">
        <v>554</v>
      </c>
      <c r="AE101" s="36">
        <v>4</v>
      </c>
      <c r="AF101" s="36" t="s">
        <v>189</v>
      </c>
      <c r="AG101" s="36" t="s">
        <v>189</v>
      </c>
      <c r="AH101" s="36" t="s">
        <v>134</v>
      </c>
      <c r="AI101" s="40">
        <v>1800</v>
      </c>
      <c r="AJ101" s="36">
        <v>4</v>
      </c>
      <c r="AK101" s="36">
        <v>4</v>
      </c>
      <c r="AL101" s="36" t="s">
        <v>133</v>
      </c>
      <c r="AP101" s="36" t="s">
        <v>555</v>
      </c>
      <c r="AQ101" s="40">
        <v>1900</v>
      </c>
      <c r="AR101" s="36">
        <v>3</v>
      </c>
      <c r="AS101" s="36">
        <v>4</v>
      </c>
      <c r="AT101" s="36">
        <v>3</v>
      </c>
      <c r="AU101" s="36">
        <v>4</v>
      </c>
      <c r="AV101" s="36">
        <v>3</v>
      </c>
      <c r="AW101" s="36" t="s">
        <v>193</v>
      </c>
      <c r="AX101" s="36" t="s">
        <v>206</v>
      </c>
      <c r="AY101" s="36" t="s">
        <v>209</v>
      </c>
      <c r="AZ101" s="36" t="s">
        <v>133</v>
      </c>
      <c r="BA101" s="36" t="s">
        <v>167</v>
      </c>
      <c r="BB101" s="36" t="s">
        <v>556</v>
      </c>
      <c r="BC101" s="36" t="s">
        <v>1289</v>
      </c>
      <c r="BD101" s="36" t="s">
        <v>189</v>
      </c>
      <c r="BF101" s="36" t="s">
        <v>220</v>
      </c>
      <c r="BG101" s="36">
        <v>4</v>
      </c>
      <c r="BH101" s="36">
        <v>3</v>
      </c>
      <c r="BI101" s="36">
        <v>4</v>
      </c>
      <c r="BJ101" s="36">
        <v>4</v>
      </c>
      <c r="BK101" s="36">
        <v>4</v>
      </c>
      <c r="BL101" s="36">
        <v>5</v>
      </c>
      <c r="BM101" s="36">
        <v>4</v>
      </c>
      <c r="BN101" s="36">
        <v>5</v>
      </c>
      <c r="BO101" s="36">
        <v>4</v>
      </c>
      <c r="BP101" s="36">
        <v>4</v>
      </c>
      <c r="BQ101" s="36">
        <v>4</v>
      </c>
      <c r="BR101" s="36">
        <v>3</v>
      </c>
      <c r="BS101" s="36">
        <v>1</v>
      </c>
      <c r="BT101" s="36">
        <v>4</v>
      </c>
      <c r="BU101" s="36">
        <v>3</v>
      </c>
      <c r="BV101" s="36">
        <v>4</v>
      </c>
      <c r="BW101" s="36">
        <v>4</v>
      </c>
      <c r="BX101" s="36">
        <v>4</v>
      </c>
      <c r="BY101" s="36">
        <v>4</v>
      </c>
      <c r="BZ101" s="36">
        <v>3</v>
      </c>
      <c r="CA101" s="36">
        <v>4</v>
      </c>
      <c r="CB101" s="36">
        <v>4</v>
      </c>
      <c r="CC101" s="36">
        <v>4</v>
      </c>
      <c r="CD101" s="36">
        <v>3</v>
      </c>
      <c r="CE101" s="36">
        <v>3</v>
      </c>
      <c r="CF101" s="36">
        <v>4</v>
      </c>
      <c r="CG101" s="36">
        <v>4</v>
      </c>
      <c r="CH101" s="36" t="s">
        <v>222</v>
      </c>
      <c r="CI101" t="s">
        <v>225</v>
      </c>
      <c r="CJ101" t="s">
        <v>226</v>
      </c>
      <c r="CK101" s="36" t="s">
        <v>234</v>
      </c>
      <c r="CL101" t="s">
        <v>235</v>
      </c>
      <c r="CM101" t="s">
        <v>240</v>
      </c>
      <c r="CN101" s="36" t="s">
        <v>241</v>
      </c>
      <c r="CO101" s="36" t="s">
        <v>134</v>
      </c>
      <c r="CP101" s="36">
        <v>3</v>
      </c>
      <c r="CQ101" s="36">
        <v>4</v>
      </c>
      <c r="CR101" s="36" t="s">
        <v>248</v>
      </c>
      <c r="CS101" s="36">
        <v>3</v>
      </c>
      <c r="CT101" s="36">
        <v>4</v>
      </c>
      <c r="CU101" s="36">
        <v>3</v>
      </c>
      <c r="CV101" s="36">
        <v>3</v>
      </c>
      <c r="CW101" s="36">
        <v>4</v>
      </c>
      <c r="CX101" s="36">
        <v>3</v>
      </c>
      <c r="CY101" s="36">
        <v>4</v>
      </c>
      <c r="CZ101" s="36">
        <v>4</v>
      </c>
      <c r="DA101" s="36">
        <v>4</v>
      </c>
      <c r="DB101" s="36">
        <v>4</v>
      </c>
      <c r="DC101" s="36">
        <v>4</v>
      </c>
      <c r="DD101" s="36">
        <v>3</v>
      </c>
      <c r="DE101" s="36">
        <v>3</v>
      </c>
      <c r="DF101" s="36">
        <v>3</v>
      </c>
      <c r="DG101" s="36">
        <v>4</v>
      </c>
      <c r="DH101" s="36">
        <v>2</v>
      </c>
      <c r="DI101" s="36" t="s">
        <v>133</v>
      </c>
      <c r="DJ101" s="36" t="s">
        <v>133</v>
      </c>
      <c r="DK101" s="36" t="s">
        <v>255</v>
      </c>
      <c r="DL101"/>
      <c r="DM101"/>
      <c r="DN101"/>
      <c r="DO101"/>
      <c r="DP101"/>
      <c r="DQ101" s="36">
        <v>4</v>
      </c>
      <c r="DR101" s="36" t="s">
        <v>134</v>
      </c>
      <c r="DT101"/>
      <c r="DU101"/>
      <c r="DV101"/>
      <c r="DW101"/>
      <c r="DX101"/>
      <c r="DZ101" s="36" t="s">
        <v>134</v>
      </c>
      <c r="EB101" s="36" t="s">
        <v>263</v>
      </c>
      <c r="EC101" s="36" t="s">
        <v>264</v>
      </c>
      <c r="ED101" s="36">
        <v>28</v>
      </c>
      <c r="EE101" s="36" t="s">
        <v>516</v>
      </c>
      <c r="EF101" s="36" t="str">
        <f>Tabulacao!MC101</f>
        <v>Salvador - BA</v>
      </c>
      <c r="EG101" s="36" t="s">
        <v>292</v>
      </c>
      <c r="EH101" s="36" t="str">
        <f>Tabulacao!MG101</f>
        <v>Aracaju</v>
      </c>
      <c r="EI101" s="36" t="s">
        <v>557</v>
      </c>
      <c r="EJ101" s="36" t="str">
        <f>Tabulacao!MK101</f>
        <v>Belém - PA</v>
      </c>
      <c r="EK101" s="36" t="s">
        <v>271</v>
      </c>
      <c r="EL101" s="36" t="s">
        <v>134</v>
      </c>
      <c r="EM101" s="36" t="s">
        <v>134</v>
      </c>
      <c r="EN101" s="36" t="s">
        <v>134</v>
      </c>
      <c r="EO101" s="36" t="s">
        <v>134</v>
      </c>
      <c r="EP101" s="36" t="s">
        <v>134</v>
      </c>
      <c r="EQ101" s="36" t="s">
        <v>272</v>
      </c>
      <c r="ER101" s="36" t="str">
        <f>IF(OR(EQ101=CaractAmostra!$BD$9,EQ101=CaractAmostra!$BD$10,EQ101=CaractAmostra!$BD$11,EQ101=CaractAmostra!$BD$12,EQ101=CaractAmostra!$BD$13),Respostas_Formatadas!EQ101,"Outros")</f>
        <v>Morava sozinho</v>
      </c>
      <c r="ES101" s="36" t="s">
        <v>275</v>
      </c>
      <c r="ET101" s="36" t="str">
        <f>IF(OR(ES101=CaractAmostra!$BH$9,ES101=CaractAmostra!$BH$10,ES101=CaractAmostra!$BH$11,ES101=CaractAmostra!$BH$12),Respostas_Formatadas!ES101,"Outros")</f>
        <v>Com os pais</v>
      </c>
      <c r="EU101" s="36" t="s">
        <v>134</v>
      </c>
      <c r="EV101" s="36" t="s">
        <v>288</v>
      </c>
      <c r="EW101" s="36" t="s">
        <v>287</v>
      </c>
      <c r="FA101" s="39"/>
      <c r="FE101" s="47">
        <v>2017</v>
      </c>
      <c r="FF101" s="97">
        <v>7.8616999999999999</v>
      </c>
      <c r="FI101" s="47" t="str">
        <f t="shared" si="2"/>
        <v>Aracaju</v>
      </c>
      <c r="FJ101" s="47" t="str">
        <f t="shared" si="3"/>
        <v>Bacharelado</v>
      </c>
    </row>
    <row r="102" spans="1:166" s="36" customFormat="1" ht="15.75" customHeight="1" x14ac:dyDescent="0.2">
      <c r="A102" s="38">
        <v>43410.558527638888</v>
      </c>
      <c r="C102" s="36" t="s">
        <v>120</v>
      </c>
      <c r="D102" s="47" t="s">
        <v>134</v>
      </c>
      <c r="M102" s="36" t="s">
        <v>146</v>
      </c>
      <c r="N102" s="36" t="s">
        <v>134</v>
      </c>
      <c r="O102" s="36" t="s">
        <v>133</v>
      </c>
      <c r="P102" s="36" t="s">
        <v>133</v>
      </c>
      <c r="Q102" s="36" t="s">
        <v>133</v>
      </c>
      <c r="R102" s="36" t="s">
        <v>151</v>
      </c>
      <c r="Y102" s="36" t="s">
        <v>166</v>
      </c>
      <c r="AC102" s="36" t="s">
        <v>181</v>
      </c>
      <c r="AD102" s="36" t="s">
        <v>298</v>
      </c>
      <c r="AE102" s="36">
        <v>5</v>
      </c>
      <c r="AF102" s="36" t="s">
        <v>188</v>
      </c>
      <c r="AG102" s="36" t="s">
        <v>188</v>
      </c>
      <c r="AH102" s="36" t="s">
        <v>134</v>
      </c>
      <c r="AI102" s="40">
        <v>2600</v>
      </c>
      <c r="AJ102" s="36">
        <v>4</v>
      </c>
      <c r="AK102" s="36">
        <v>4</v>
      </c>
      <c r="AL102" s="36" t="s">
        <v>133</v>
      </c>
      <c r="AP102" s="36" t="s">
        <v>298</v>
      </c>
      <c r="AQ102" s="40">
        <v>2600</v>
      </c>
      <c r="AR102" s="36">
        <v>2</v>
      </c>
      <c r="AS102" s="36">
        <v>3</v>
      </c>
      <c r="AT102" s="36">
        <v>3</v>
      </c>
      <c r="AU102" s="36">
        <v>4</v>
      </c>
      <c r="AV102" s="36">
        <v>3</v>
      </c>
      <c r="AW102" s="36" t="s">
        <v>192</v>
      </c>
      <c r="AX102" s="36" t="s">
        <v>206</v>
      </c>
      <c r="AY102" s="36" t="s">
        <v>210</v>
      </c>
      <c r="AZ102" s="36" t="s">
        <v>134</v>
      </c>
      <c r="BA102" s="36" t="s">
        <v>170</v>
      </c>
      <c r="BB102" s="36" t="s">
        <v>485</v>
      </c>
      <c r="BC102" s="36" t="s">
        <v>358</v>
      </c>
      <c r="BD102" s="36" t="s">
        <v>188</v>
      </c>
      <c r="BF102" s="36" t="s">
        <v>221</v>
      </c>
      <c r="BG102" s="36">
        <v>5</v>
      </c>
      <c r="BH102" s="36">
        <v>4</v>
      </c>
      <c r="BI102" s="36">
        <v>5</v>
      </c>
      <c r="BJ102" s="36">
        <v>1</v>
      </c>
      <c r="BK102" s="36">
        <v>1</v>
      </c>
      <c r="BL102" s="36">
        <v>4</v>
      </c>
      <c r="BM102" s="36">
        <v>5</v>
      </c>
      <c r="BN102" s="36">
        <v>5</v>
      </c>
      <c r="BO102" s="36">
        <v>4</v>
      </c>
      <c r="BP102" s="36">
        <v>3</v>
      </c>
      <c r="BQ102" s="36">
        <v>1</v>
      </c>
      <c r="BR102" s="36">
        <v>1</v>
      </c>
      <c r="BS102" s="36">
        <v>1</v>
      </c>
      <c r="BT102" s="36">
        <v>4</v>
      </c>
      <c r="BU102" s="36">
        <v>4</v>
      </c>
      <c r="BV102" s="36">
        <v>4</v>
      </c>
      <c r="BW102" s="36">
        <v>3</v>
      </c>
      <c r="BX102" s="36">
        <v>2</v>
      </c>
      <c r="BY102" s="36">
        <v>3</v>
      </c>
      <c r="BZ102" s="36">
        <v>4</v>
      </c>
      <c r="CA102" s="36">
        <v>5</v>
      </c>
      <c r="CB102" s="36">
        <v>3</v>
      </c>
      <c r="CC102" s="36">
        <v>3</v>
      </c>
      <c r="CD102" s="36">
        <v>5</v>
      </c>
      <c r="CE102" s="36">
        <v>5</v>
      </c>
      <c r="CF102" s="36">
        <v>4</v>
      </c>
      <c r="CG102" s="36">
        <v>4</v>
      </c>
      <c r="CH102" s="36" t="s">
        <v>222</v>
      </c>
      <c r="CI102" t="s">
        <v>224</v>
      </c>
      <c r="CJ102" t="s">
        <v>229</v>
      </c>
      <c r="CK102" s="36" t="s">
        <v>233</v>
      </c>
      <c r="CL102" t="s">
        <v>235</v>
      </c>
      <c r="CM102" t="s">
        <v>239</v>
      </c>
      <c r="CN102" s="36" t="s">
        <v>242</v>
      </c>
      <c r="CO102" s="36" t="s">
        <v>134</v>
      </c>
      <c r="CP102" s="36">
        <v>2</v>
      </c>
      <c r="CQ102" s="36">
        <v>3</v>
      </c>
      <c r="CR102" s="36" t="s">
        <v>249</v>
      </c>
      <c r="CS102" s="36">
        <v>4</v>
      </c>
      <c r="CT102" s="36">
        <v>1</v>
      </c>
      <c r="CU102" s="36">
        <v>4</v>
      </c>
      <c r="CV102" s="36">
        <v>3</v>
      </c>
      <c r="CW102" s="36">
        <v>5</v>
      </c>
      <c r="CX102" s="36">
        <v>3</v>
      </c>
      <c r="CY102" s="36">
        <v>4</v>
      </c>
      <c r="CZ102" s="36">
        <v>3</v>
      </c>
      <c r="DA102" s="36">
        <v>4</v>
      </c>
      <c r="DB102" s="36">
        <v>4</v>
      </c>
      <c r="DC102" s="36">
        <v>3</v>
      </c>
      <c r="DD102" s="36">
        <v>4</v>
      </c>
      <c r="DE102" s="36">
        <v>4</v>
      </c>
      <c r="DF102" s="36">
        <v>3</v>
      </c>
      <c r="DG102" s="36">
        <v>3</v>
      </c>
      <c r="DH102" s="36">
        <v>3</v>
      </c>
      <c r="DI102" s="36" t="s">
        <v>133</v>
      </c>
      <c r="DJ102" s="36" t="s">
        <v>134</v>
      </c>
      <c r="DL102"/>
      <c r="DM102"/>
      <c r="DN102"/>
      <c r="DO102"/>
      <c r="DP102"/>
      <c r="DR102" s="36" t="s">
        <v>133</v>
      </c>
      <c r="DS102" s="36" t="s">
        <v>259</v>
      </c>
      <c r="DT102"/>
      <c r="DU102"/>
      <c r="DV102"/>
      <c r="DW102"/>
      <c r="DX102"/>
      <c r="DY102" s="36">
        <v>5</v>
      </c>
      <c r="DZ102" s="36" t="s">
        <v>133</v>
      </c>
      <c r="EA102" s="36">
        <v>5</v>
      </c>
      <c r="EB102" s="36" t="s">
        <v>263</v>
      </c>
      <c r="EC102" s="36" t="s">
        <v>264</v>
      </c>
      <c r="ED102" s="36">
        <v>28</v>
      </c>
      <c r="EE102" s="36" t="s">
        <v>558</v>
      </c>
      <c r="EF102" s="36" t="str">
        <f>Tabulacao!MC102</f>
        <v>Rio Real - BA</v>
      </c>
      <c r="EG102" s="36" t="s">
        <v>291</v>
      </c>
      <c r="EH102" s="36" t="str">
        <f>Tabulacao!MG102</f>
        <v>Lagarto</v>
      </c>
      <c r="EI102" s="36" t="s">
        <v>292</v>
      </c>
      <c r="EJ102" s="36" t="str">
        <f>Tabulacao!MK102</f>
        <v>Aracaju</v>
      </c>
      <c r="EK102" s="36" t="s">
        <v>134</v>
      </c>
      <c r="EL102" s="36" t="s">
        <v>134</v>
      </c>
      <c r="EM102" s="36" t="s">
        <v>134</v>
      </c>
      <c r="EN102" s="36" t="s">
        <v>134</v>
      </c>
      <c r="EO102" s="36" t="s">
        <v>134</v>
      </c>
      <c r="EP102" s="36" t="s">
        <v>134</v>
      </c>
      <c r="EQ102" s="36" t="s">
        <v>273</v>
      </c>
      <c r="ER102" s="36" t="str">
        <f>IF(OR(EQ102=CaractAmostra!$BD$9,EQ102=CaractAmostra!$BD$10,EQ102=CaractAmostra!$BD$11,EQ102=CaractAmostra!$BD$12,EQ102=CaractAmostra!$BD$13),Respostas_Formatadas!EQ102,"Outros")</f>
        <v>Dividia residência com outras pessoas</v>
      </c>
      <c r="ES102" s="36" t="s">
        <v>278</v>
      </c>
      <c r="ET102" s="36" t="str">
        <f>IF(OR(ES102=CaractAmostra!$BH$9,ES102=CaractAmostra!$BH$10,ES102=CaractAmostra!$BH$11,ES102=CaractAmostra!$BH$12),Respostas_Formatadas!ES102,"Outros")</f>
        <v>Divido residência com outras pessoas</v>
      </c>
      <c r="EU102" s="36" t="s">
        <v>134</v>
      </c>
      <c r="EV102" s="36" t="s">
        <v>282</v>
      </c>
      <c r="EW102" s="36" t="s">
        <v>282</v>
      </c>
      <c r="FE102" s="47">
        <v>2017</v>
      </c>
      <c r="FF102" s="97">
        <v>6.4724000000000004</v>
      </c>
      <c r="FI102" s="47" t="str">
        <f t="shared" si="2"/>
        <v>Lagarto</v>
      </c>
      <c r="FJ102" s="47" t="str">
        <f t="shared" si="3"/>
        <v>Bacharelado</v>
      </c>
    </row>
    <row r="103" spans="1:166" s="36" customFormat="1" ht="15.75" customHeight="1" x14ac:dyDescent="0.2">
      <c r="A103" s="38">
        <v>43410.583049293986</v>
      </c>
      <c r="C103" s="36" t="s">
        <v>124</v>
      </c>
      <c r="D103" s="47" t="s">
        <v>133</v>
      </c>
      <c r="E103" s="36" t="s">
        <v>135</v>
      </c>
      <c r="H103" s="36" t="s">
        <v>142</v>
      </c>
      <c r="M103" s="36" t="s">
        <v>146</v>
      </c>
      <c r="N103" s="36" t="s">
        <v>134</v>
      </c>
      <c r="O103" s="36" t="s">
        <v>133</v>
      </c>
      <c r="P103" s="36" t="s">
        <v>133</v>
      </c>
      <c r="Q103" s="36" t="s">
        <v>134</v>
      </c>
      <c r="R103" s="36" t="s">
        <v>151</v>
      </c>
      <c r="Y103" s="36" t="s">
        <v>165</v>
      </c>
      <c r="Z103" s="36" t="s">
        <v>170</v>
      </c>
      <c r="AA103" s="36" t="s">
        <v>171</v>
      </c>
      <c r="AB103" s="36" t="s">
        <v>180</v>
      </c>
      <c r="AD103" s="36" t="s">
        <v>559</v>
      </c>
      <c r="AE103" s="36">
        <v>5</v>
      </c>
      <c r="AF103" s="36" t="s">
        <v>190</v>
      </c>
      <c r="AG103" s="36" t="s">
        <v>190</v>
      </c>
      <c r="AH103" s="36" t="s">
        <v>134</v>
      </c>
      <c r="AI103" s="40">
        <v>1200</v>
      </c>
      <c r="AJ103" s="36">
        <v>5</v>
      </c>
      <c r="AK103" s="36">
        <v>3</v>
      </c>
      <c r="AL103" s="36" t="s">
        <v>134</v>
      </c>
      <c r="AM103" s="36" t="s">
        <v>170</v>
      </c>
      <c r="AN103" s="36">
        <v>2</v>
      </c>
      <c r="AO103" s="36" t="s">
        <v>134</v>
      </c>
      <c r="AQ103" s="40"/>
      <c r="BT103" s="36">
        <v>2</v>
      </c>
      <c r="BU103" s="36">
        <v>1</v>
      </c>
      <c r="BV103" s="36">
        <v>3</v>
      </c>
      <c r="BW103" s="36">
        <v>5</v>
      </c>
      <c r="BX103" s="36">
        <v>5</v>
      </c>
      <c r="BY103" s="36">
        <v>5</v>
      </c>
      <c r="BZ103" s="36">
        <v>5</v>
      </c>
      <c r="CA103" s="36">
        <v>5</v>
      </c>
      <c r="CB103" s="36">
        <v>5</v>
      </c>
      <c r="CC103" s="36">
        <v>5</v>
      </c>
      <c r="CD103" s="36">
        <v>5</v>
      </c>
      <c r="CE103" s="36">
        <v>5</v>
      </c>
      <c r="CF103" s="36">
        <v>2</v>
      </c>
      <c r="CG103" s="36">
        <v>1</v>
      </c>
      <c r="CH103" s="36" t="s">
        <v>222</v>
      </c>
      <c r="CI103" t="s">
        <v>227</v>
      </c>
      <c r="CJ103" t="s">
        <v>230</v>
      </c>
      <c r="CK103" s="36" t="s">
        <v>235</v>
      </c>
      <c r="CL103"/>
      <c r="CM103"/>
      <c r="CN103" s="36" t="s">
        <v>242</v>
      </c>
      <c r="CO103" s="36" t="s">
        <v>134</v>
      </c>
      <c r="CP103" s="36">
        <v>5</v>
      </c>
      <c r="CQ103" s="36">
        <v>5</v>
      </c>
      <c r="CR103" s="36" t="s">
        <v>249</v>
      </c>
      <c r="CS103" s="36">
        <v>5</v>
      </c>
      <c r="CT103" s="36">
        <v>5</v>
      </c>
      <c r="CU103" s="36">
        <v>5</v>
      </c>
      <c r="CV103" s="36">
        <v>5</v>
      </c>
      <c r="CW103" s="36">
        <v>5</v>
      </c>
      <c r="CX103" s="36">
        <v>5</v>
      </c>
      <c r="CY103" s="36">
        <v>5</v>
      </c>
      <c r="CZ103" s="36">
        <v>5</v>
      </c>
      <c r="DA103" s="36">
        <v>5</v>
      </c>
      <c r="DB103" s="36">
        <v>5</v>
      </c>
      <c r="DC103" s="36">
        <v>5</v>
      </c>
      <c r="DD103" s="36">
        <v>5</v>
      </c>
      <c r="DE103" s="36">
        <v>5</v>
      </c>
      <c r="DF103" s="36">
        <v>5</v>
      </c>
      <c r="DG103" s="36">
        <v>5</v>
      </c>
      <c r="DH103" s="36">
        <v>5</v>
      </c>
      <c r="DI103" s="36" t="s">
        <v>133</v>
      </c>
      <c r="DJ103" s="36" t="s">
        <v>133</v>
      </c>
      <c r="DK103" s="36" t="s">
        <v>254</v>
      </c>
      <c r="DL103"/>
      <c r="DM103"/>
      <c r="DN103"/>
      <c r="DO103"/>
      <c r="DP103"/>
      <c r="DQ103" s="36">
        <v>5</v>
      </c>
      <c r="DR103" s="36" t="s">
        <v>133</v>
      </c>
      <c r="DS103" s="36" t="s">
        <v>260</v>
      </c>
      <c r="DT103"/>
      <c r="DU103"/>
      <c r="DV103"/>
      <c r="DW103"/>
      <c r="DX103"/>
      <c r="DY103" s="36">
        <v>5</v>
      </c>
      <c r="DZ103" s="36" t="s">
        <v>134</v>
      </c>
      <c r="EB103" s="36" t="s">
        <v>263</v>
      </c>
      <c r="EC103" s="36" t="s">
        <v>267</v>
      </c>
      <c r="ED103" s="36">
        <v>54</v>
      </c>
      <c r="EE103" s="36" t="s">
        <v>458</v>
      </c>
      <c r="EF103" s="36" t="str">
        <f>Tabulacao!MC103</f>
        <v>Aracaju</v>
      </c>
      <c r="EG103" s="36" t="s">
        <v>458</v>
      </c>
      <c r="EH103" s="36" t="str">
        <f>Tabulacao!MG103</f>
        <v>Aracaju</v>
      </c>
      <c r="EI103" s="36" t="s">
        <v>458</v>
      </c>
      <c r="EJ103" s="36" t="str">
        <f>Tabulacao!MK103</f>
        <v>Aracaju</v>
      </c>
      <c r="EK103" s="36" t="s">
        <v>134</v>
      </c>
      <c r="EL103" s="36" t="s">
        <v>134</v>
      </c>
      <c r="EM103" s="36" t="s">
        <v>134</v>
      </c>
      <c r="EN103" s="36" t="s">
        <v>134</v>
      </c>
      <c r="EO103" s="36" t="s">
        <v>134</v>
      </c>
      <c r="EP103" s="36" t="s">
        <v>134</v>
      </c>
      <c r="EQ103" s="36" t="s">
        <v>273</v>
      </c>
      <c r="ER103" s="36" t="str">
        <f>IF(OR(EQ103=CaractAmostra!$BD$9,EQ103=CaractAmostra!$BD$10,EQ103=CaractAmostra!$BD$11,EQ103=CaractAmostra!$BD$12,EQ103=CaractAmostra!$BD$13),Respostas_Formatadas!EQ103,"Outros")</f>
        <v>Dividia residência com outras pessoas</v>
      </c>
      <c r="ES103" s="36" t="s">
        <v>278</v>
      </c>
      <c r="ET103" s="36" t="str">
        <f>IF(OR(ES103=CaractAmostra!$BH$9,ES103=CaractAmostra!$BH$10,ES103=CaractAmostra!$BH$11,ES103=CaractAmostra!$BH$12),Respostas_Formatadas!ES103,"Outros")</f>
        <v>Divido residência com outras pessoas</v>
      </c>
      <c r="EU103" s="36" t="s">
        <v>281</v>
      </c>
      <c r="EV103" s="36" t="s">
        <v>283</v>
      </c>
      <c r="EW103" s="36" t="s">
        <v>283</v>
      </c>
      <c r="FD103" s="36" t="s">
        <v>560</v>
      </c>
      <c r="FE103" s="115">
        <v>2005</v>
      </c>
      <c r="FF103" s="97">
        <v>0</v>
      </c>
      <c r="FI103" s="47" t="str">
        <f t="shared" si="2"/>
        <v>Aracaju</v>
      </c>
      <c r="FJ103" s="47" t="str">
        <f t="shared" si="3"/>
        <v>Tecnologia</v>
      </c>
    </row>
    <row r="104" spans="1:166" s="36" customFormat="1" ht="15.75" customHeight="1" x14ac:dyDescent="0.2">
      <c r="A104" s="38">
        <v>43410.636109965279</v>
      </c>
      <c r="C104" s="36" t="s">
        <v>124</v>
      </c>
      <c r="D104" s="47" t="s">
        <v>133</v>
      </c>
      <c r="E104" s="36" t="s">
        <v>135</v>
      </c>
      <c r="H104" s="36" t="s">
        <v>144</v>
      </c>
      <c r="M104" s="36" t="s">
        <v>149</v>
      </c>
      <c r="N104" s="36" t="s">
        <v>133</v>
      </c>
      <c r="O104" s="36" t="s">
        <v>133</v>
      </c>
      <c r="P104" s="36" t="s">
        <v>133</v>
      </c>
      <c r="Q104" s="36" t="s">
        <v>133</v>
      </c>
      <c r="R104" s="36" t="s">
        <v>151</v>
      </c>
      <c r="Y104" s="36" t="s">
        <v>165</v>
      </c>
      <c r="Z104" s="36" t="s">
        <v>167</v>
      </c>
      <c r="AA104" s="36" t="s">
        <v>171</v>
      </c>
      <c r="AB104" s="36" t="s">
        <v>179</v>
      </c>
      <c r="AD104" s="36" t="s">
        <v>388</v>
      </c>
      <c r="AE104" s="36">
        <v>4</v>
      </c>
      <c r="AF104" s="36" t="s">
        <v>190</v>
      </c>
      <c r="AG104" s="36" t="s">
        <v>190</v>
      </c>
      <c r="AH104" s="36" t="s">
        <v>133</v>
      </c>
      <c r="AI104" s="40">
        <v>2200</v>
      </c>
      <c r="AJ104" s="36">
        <v>4</v>
      </c>
      <c r="AK104" s="36">
        <v>4</v>
      </c>
      <c r="AL104" s="36" t="s">
        <v>133</v>
      </c>
      <c r="AP104" s="36" t="s">
        <v>561</v>
      </c>
      <c r="AQ104" s="40">
        <v>2200</v>
      </c>
      <c r="AR104" s="36">
        <v>3</v>
      </c>
      <c r="AS104" s="36">
        <v>4</v>
      </c>
      <c r="AT104" s="36">
        <v>4</v>
      </c>
      <c r="AU104" s="36">
        <v>4</v>
      </c>
      <c r="AV104" s="36">
        <v>5</v>
      </c>
      <c r="AW104" s="36" t="s">
        <v>192</v>
      </c>
      <c r="AX104" s="36" t="s">
        <v>204</v>
      </c>
      <c r="AY104" s="36" t="s">
        <v>208</v>
      </c>
      <c r="AZ104" s="36" t="s">
        <v>133</v>
      </c>
      <c r="BA104" s="36" t="s">
        <v>170</v>
      </c>
      <c r="BB104" s="36" t="s">
        <v>522</v>
      </c>
      <c r="BC104" s="36" t="s">
        <v>292</v>
      </c>
      <c r="BD104" s="36" t="s">
        <v>190</v>
      </c>
      <c r="BG104" s="36">
        <v>4</v>
      </c>
      <c r="BH104" s="36">
        <v>4</v>
      </c>
      <c r="BI104" s="36">
        <v>5</v>
      </c>
      <c r="BJ104" s="36">
        <v>3</v>
      </c>
      <c r="BK104" s="36">
        <v>5</v>
      </c>
      <c r="BL104" s="36">
        <v>5</v>
      </c>
      <c r="BM104" s="36">
        <v>5</v>
      </c>
      <c r="BN104" s="36">
        <v>5</v>
      </c>
      <c r="BO104" s="36">
        <v>5</v>
      </c>
      <c r="BP104" s="36">
        <v>5</v>
      </c>
      <c r="BQ104" s="36">
        <v>5</v>
      </c>
      <c r="BR104" s="36">
        <v>5</v>
      </c>
      <c r="BS104" s="36">
        <v>3</v>
      </c>
      <c r="BT104" s="36">
        <v>4</v>
      </c>
      <c r="BU104" s="36">
        <v>4</v>
      </c>
      <c r="BV104" s="36">
        <v>5</v>
      </c>
      <c r="BW104" s="36">
        <v>4</v>
      </c>
      <c r="BX104" s="36">
        <v>4</v>
      </c>
      <c r="BY104" s="36">
        <v>5</v>
      </c>
      <c r="BZ104" s="36">
        <v>5</v>
      </c>
      <c r="CA104" s="36">
        <v>5</v>
      </c>
      <c r="CB104" s="36">
        <v>5</v>
      </c>
      <c r="CC104" s="36">
        <v>5</v>
      </c>
      <c r="CD104" s="36">
        <v>5</v>
      </c>
      <c r="CE104" s="36">
        <v>5</v>
      </c>
      <c r="CF104" s="36">
        <v>3</v>
      </c>
      <c r="CG104" s="36">
        <v>5</v>
      </c>
      <c r="CH104" s="36" t="s">
        <v>222</v>
      </c>
      <c r="CI104"/>
      <c r="CJ104"/>
      <c r="CK104" s="36" t="s">
        <v>239</v>
      </c>
      <c r="CL104" t="s">
        <v>240</v>
      </c>
      <c r="CM104"/>
      <c r="CN104" s="36" t="s">
        <v>247</v>
      </c>
      <c r="CO104" s="36" t="s">
        <v>134</v>
      </c>
      <c r="CP104" s="36">
        <v>4</v>
      </c>
      <c r="CQ104" s="36">
        <v>5</v>
      </c>
      <c r="CR104" s="36" t="s">
        <v>249</v>
      </c>
      <c r="CS104" s="36">
        <v>2</v>
      </c>
      <c r="CT104" s="36">
        <v>2</v>
      </c>
      <c r="CU104" s="36">
        <v>4</v>
      </c>
      <c r="CV104" s="36">
        <v>1</v>
      </c>
      <c r="CW104" s="36">
        <v>1</v>
      </c>
      <c r="CX104" s="36">
        <v>4</v>
      </c>
      <c r="CY104" s="36">
        <v>4</v>
      </c>
      <c r="CZ104" s="36">
        <v>5</v>
      </c>
      <c r="DA104" s="36">
        <v>1</v>
      </c>
      <c r="DB104" s="36">
        <v>4</v>
      </c>
      <c r="DC104" s="36">
        <v>3</v>
      </c>
      <c r="DD104" s="36">
        <v>4</v>
      </c>
      <c r="DE104" s="36">
        <v>4</v>
      </c>
      <c r="DF104" s="36">
        <v>3</v>
      </c>
      <c r="DG104" s="36">
        <v>4</v>
      </c>
      <c r="DH104" s="36">
        <v>4</v>
      </c>
      <c r="DI104" s="36" t="s">
        <v>250</v>
      </c>
      <c r="DJ104" s="36" t="s">
        <v>133</v>
      </c>
      <c r="DK104" s="36" t="s">
        <v>255</v>
      </c>
      <c r="DL104"/>
      <c r="DM104"/>
      <c r="DN104" t="s">
        <v>256</v>
      </c>
      <c r="DO104" t="s">
        <v>257</v>
      </c>
      <c r="DP104"/>
      <c r="DQ104" s="36">
        <v>4</v>
      </c>
      <c r="DR104" s="36" t="s">
        <v>133</v>
      </c>
      <c r="DS104" s="36" t="s">
        <v>258</v>
      </c>
      <c r="DT104" t="s">
        <v>259</v>
      </c>
      <c r="DU104"/>
      <c r="DV104"/>
      <c r="DW104" t="s">
        <v>260</v>
      </c>
      <c r="DX104" t="s">
        <v>261</v>
      </c>
      <c r="DY104" s="36">
        <v>5</v>
      </c>
      <c r="DZ104" s="36" t="s">
        <v>133</v>
      </c>
      <c r="EA104" s="36">
        <v>3</v>
      </c>
      <c r="EB104" s="36" t="s">
        <v>262</v>
      </c>
      <c r="EC104" s="36" t="s">
        <v>265</v>
      </c>
      <c r="ED104" s="36">
        <v>33</v>
      </c>
      <c r="EE104" s="36" t="s">
        <v>562</v>
      </c>
      <c r="EF104" s="36" t="str">
        <f>Tabulacao!MC104</f>
        <v>São Cristóvão</v>
      </c>
      <c r="EG104" s="36" t="s">
        <v>562</v>
      </c>
      <c r="EH104" s="36" t="str">
        <f>Tabulacao!MG104</f>
        <v>São Cristóvão</v>
      </c>
      <c r="EI104" s="36" t="s">
        <v>562</v>
      </c>
      <c r="EJ104" s="36" t="str">
        <f>Tabulacao!MK104</f>
        <v>São Cristóvão</v>
      </c>
      <c r="EK104" s="36" t="s">
        <v>134</v>
      </c>
      <c r="EL104" s="36" t="s">
        <v>134</v>
      </c>
      <c r="EM104" s="36" t="s">
        <v>134</v>
      </c>
      <c r="EN104" s="36" t="s">
        <v>134</v>
      </c>
      <c r="EO104" s="36" t="s">
        <v>134</v>
      </c>
      <c r="EP104" s="36" t="s">
        <v>134</v>
      </c>
      <c r="EQ104" s="36" t="s">
        <v>275</v>
      </c>
      <c r="ER104" s="36" t="str">
        <f>IF(OR(EQ104=CaractAmostra!$BD$9,EQ104=CaractAmostra!$BD$10,EQ104=CaractAmostra!$BD$11,EQ104=CaractAmostra!$BD$12,EQ104=CaractAmostra!$BD$13),Respostas_Formatadas!EQ104,"Outros")</f>
        <v>Com os pais</v>
      </c>
      <c r="ES104" s="36" t="s">
        <v>275</v>
      </c>
      <c r="ET104" s="36" t="str">
        <f>IF(OR(ES104=CaractAmostra!$BH$9,ES104=CaractAmostra!$BH$10,ES104=CaractAmostra!$BH$11,ES104=CaractAmostra!$BH$12),Respostas_Formatadas!ES104,"Outros")</f>
        <v>Com os pais</v>
      </c>
      <c r="EU104" s="36" t="s">
        <v>279</v>
      </c>
      <c r="EV104" s="36" t="s">
        <v>282</v>
      </c>
      <c r="EW104" s="36" t="s">
        <v>282</v>
      </c>
      <c r="FE104" s="47">
        <v>2018</v>
      </c>
      <c r="FF104" s="97">
        <v>8.0395000000000003</v>
      </c>
      <c r="FI104" s="47" t="str">
        <f t="shared" si="2"/>
        <v>Aracaju</v>
      </c>
      <c r="FJ104" s="47" t="str">
        <f t="shared" si="3"/>
        <v>Tecnologia</v>
      </c>
    </row>
    <row r="105" spans="1:166" s="36" customFormat="1" ht="15.75" customHeight="1" x14ac:dyDescent="0.2">
      <c r="A105" s="38">
        <v>43410.679764664354</v>
      </c>
      <c r="C105" s="36" t="s">
        <v>125</v>
      </c>
      <c r="D105" s="47" t="s">
        <v>134</v>
      </c>
      <c r="M105" s="36" t="s">
        <v>149</v>
      </c>
      <c r="N105" s="36" t="s">
        <v>133</v>
      </c>
      <c r="O105" s="36" t="s">
        <v>133</v>
      </c>
      <c r="P105" s="36" t="s">
        <v>133</v>
      </c>
      <c r="Q105" s="36" t="s">
        <v>133</v>
      </c>
      <c r="R105" s="36" t="s">
        <v>151</v>
      </c>
      <c r="Y105" s="36" t="s">
        <v>166</v>
      </c>
      <c r="AC105" s="36" t="s">
        <v>185</v>
      </c>
      <c r="AD105" s="36" t="s">
        <v>564</v>
      </c>
      <c r="AE105" s="36">
        <v>3</v>
      </c>
      <c r="AF105" s="36" t="s">
        <v>189</v>
      </c>
      <c r="AG105" s="36" t="s">
        <v>189</v>
      </c>
      <c r="AH105" s="36" t="s">
        <v>133</v>
      </c>
      <c r="AI105" s="40">
        <v>800</v>
      </c>
      <c r="AJ105" s="36">
        <v>4</v>
      </c>
      <c r="AK105" s="36">
        <v>5</v>
      </c>
      <c r="AL105" s="36" t="s">
        <v>133</v>
      </c>
      <c r="AP105" s="36" t="s">
        <v>565</v>
      </c>
      <c r="AQ105" s="40">
        <v>1000</v>
      </c>
      <c r="AR105" s="36">
        <v>4</v>
      </c>
      <c r="AS105" s="36">
        <v>4</v>
      </c>
      <c r="AT105" s="36">
        <v>5</v>
      </c>
      <c r="AU105" s="36">
        <v>4</v>
      </c>
      <c r="AV105" s="36">
        <v>3</v>
      </c>
      <c r="AW105" s="36" t="s">
        <v>566</v>
      </c>
      <c r="AX105" s="36" t="s">
        <v>203</v>
      </c>
      <c r="AY105" s="36" t="s">
        <v>211</v>
      </c>
      <c r="BG105" s="36">
        <v>5</v>
      </c>
      <c r="BH105" s="36">
        <v>5</v>
      </c>
      <c r="BI105" s="36">
        <v>5</v>
      </c>
      <c r="BJ105" s="36">
        <v>5</v>
      </c>
      <c r="BK105" s="36">
        <v>5</v>
      </c>
      <c r="BL105" s="36">
        <v>5</v>
      </c>
      <c r="BM105" s="36">
        <v>5</v>
      </c>
      <c r="BN105" s="36">
        <v>5</v>
      </c>
      <c r="BO105" s="36">
        <v>5</v>
      </c>
      <c r="BP105" s="36">
        <v>5</v>
      </c>
      <c r="BQ105" s="36">
        <v>5</v>
      </c>
      <c r="BR105" s="36">
        <v>2</v>
      </c>
      <c r="BS105" s="36">
        <v>3</v>
      </c>
      <c r="BT105" s="36">
        <v>4</v>
      </c>
      <c r="BU105" s="36">
        <v>4</v>
      </c>
      <c r="BV105" s="36">
        <v>4</v>
      </c>
      <c r="BW105" s="36">
        <v>4</v>
      </c>
      <c r="BX105" s="36">
        <v>5</v>
      </c>
      <c r="BY105" s="36">
        <v>5</v>
      </c>
      <c r="BZ105" s="36">
        <v>5</v>
      </c>
      <c r="CA105" s="36">
        <v>4</v>
      </c>
      <c r="CB105" s="36">
        <v>5</v>
      </c>
      <c r="CC105" s="36">
        <v>5</v>
      </c>
      <c r="CD105" s="36">
        <v>5</v>
      </c>
      <c r="CE105" s="36">
        <v>4</v>
      </c>
      <c r="CF105" s="36">
        <v>3</v>
      </c>
      <c r="CG105" s="36">
        <v>4</v>
      </c>
      <c r="CH105" s="36" t="s">
        <v>225</v>
      </c>
      <c r="CI105" t="s">
        <v>1009</v>
      </c>
      <c r="CJ105"/>
      <c r="CK105" s="36" t="s">
        <v>232</v>
      </c>
      <c r="CL105" t="s">
        <v>235</v>
      </c>
      <c r="CM105" t="s">
        <v>240</v>
      </c>
      <c r="CN105" s="36" t="s">
        <v>241</v>
      </c>
      <c r="CO105" s="36" t="s">
        <v>133</v>
      </c>
      <c r="CP105" s="36">
        <v>1</v>
      </c>
      <c r="CQ105" s="36">
        <v>5</v>
      </c>
      <c r="CR105" s="36" t="s">
        <v>249</v>
      </c>
      <c r="CS105" s="36">
        <v>3</v>
      </c>
      <c r="CT105" s="36">
        <v>1</v>
      </c>
      <c r="CU105" s="36">
        <v>2</v>
      </c>
      <c r="CV105" s="36">
        <v>4</v>
      </c>
      <c r="CW105" s="36">
        <v>4</v>
      </c>
      <c r="CX105" s="36">
        <v>5</v>
      </c>
      <c r="CY105" s="36">
        <v>5</v>
      </c>
      <c r="CZ105" s="36">
        <v>5</v>
      </c>
      <c r="DA105" s="36">
        <v>2</v>
      </c>
      <c r="DB105" s="36">
        <v>3</v>
      </c>
      <c r="DC105" s="36">
        <v>3</v>
      </c>
      <c r="DD105" s="36">
        <v>5</v>
      </c>
      <c r="DE105" s="36">
        <v>5</v>
      </c>
      <c r="DF105" s="36">
        <v>5</v>
      </c>
      <c r="DG105" s="36">
        <v>5</v>
      </c>
      <c r="DH105" s="36">
        <v>3</v>
      </c>
      <c r="DI105" s="36" t="s">
        <v>133</v>
      </c>
      <c r="DJ105" s="36" t="s">
        <v>133</v>
      </c>
      <c r="DK105" s="36" t="s">
        <v>255</v>
      </c>
      <c r="DL105"/>
      <c r="DM105"/>
      <c r="DN105" t="s">
        <v>257</v>
      </c>
      <c r="DO105"/>
      <c r="DP105"/>
      <c r="DQ105" s="36">
        <v>4</v>
      </c>
      <c r="DR105" s="36" t="s">
        <v>133</v>
      </c>
      <c r="DS105" s="36" t="s">
        <v>258</v>
      </c>
      <c r="DT105" t="s">
        <v>259</v>
      </c>
      <c r="DU105" t="s">
        <v>260</v>
      </c>
      <c r="DV105" t="s">
        <v>261</v>
      </c>
      <c r="DW105" t="s">
        <v>1051</v>
      </c>
      <c r="DX105"/>
      <c r="DY105" s="36">
        <v>4</v>
      </c>
      <c r="DZ105" s="36" t="s">
        <v>133</v>
      </c>
      <c r="EA105" s="36">
        <v>5</v>
      </c>
      <c r="EB105" s="36" t="s">
        <v>262</v>
      </c>
      <c r="EC105" s="36" t="s">
        <v>265</v>
      </c>
      <c r="ED105" s="36">
        <v>40</v>
      </c>
      <c r="EE105" s="36" t="s">
        <v>567</v>
      </c>
      <c r="EF105" s="36" t="str">
        <f>Tabulacao!MC105</f>
        <v>Alagoinhas - BA</v>
      </c>
      <c r="EG105" s="36" t="s">
        <v>568</v>
      </c>
      <c r="EH105" s="36" t="str">
        <f>Tabulacao!MG105</f>
        <v>Aracaju</v>
      </c>
      <c r="EI105" s="36" t="s">
        <v>569</v>
      </c>
      <c r="EJ105" s="36" t="str">
        <f>Tabulacao!MK105</f>
        <v>São Cristóvão</v>
      </c>
      <c r="EK105" s="36" t="s">
        <v>134</v>
      </c>
      <c r="EL105" s="36" t="s">
        <v>270</v>
      </c>
      <c r="EM105" s="36" t="s">
        <v>134</v>
      </c>
      <c r="EN105" s="36" t="s">
        <v>134</v>
      </c>
      <c r="EO105" s="36" t="s">
        <v>134</v>
      </c>
      <c r="EP105" s="36" t="s">
        <v>134</v>
      </c>
      <c r="EQ105" s="36" t="s">
        <v>272</v>
      </c>
      <c r="ER105" s="36" t="str">
        <f>IF(OR(EQ105=CaractAmostra!$BD$9,EQ105=CaractAmostra!$BD$10,EQ105=CaractAmostra!$BD$11,EQ105=CaractAmostra!$BD$12,EQ105=CaractAmostra!$BD$13),Respostas_Formatadas!EQ105,"Outros")</f>
        <v>Morava sozinho</v>
      </c>
      <c r="ES105" s="36" t="s">
        <v>274</v>
      </c>
      <c r="ET105" s="36" t="str">
        <f>IF(OR(ES105=CaractAmostra!$BH$9,ES105=CaractAmostra!$BH$10,ES105=CaractAmostra!$BH$11,ES105=CaractAmostra!$BH$12),Respostas_Formatadas!ES105,"Outros")</f>
        <v>Com um(a) parceiro(a)</v>
      </c>
      <c r="EU105" s="36" t="s">
        <v>134</v>
      </c>
      <c r="EV105" s="36" t="s">
        <v>285</v>
      </c>
      <c r="EW105" s="36" t="s">
        <v>284</v>
      </c>
      <c r="FD105" s="36" t="s">
        <v>570</v>
      </c>
      <c r="FE105" s="47">
        <v>2017</v>
      </c>
      <c r="FF105" s="97">
        <v>7.5648999999999997</v>
      </c>
      <c r="FI105" s="47" t="str">
        <f t="shared" si="2"/>
        <v>Aracaju</v>
      </c>
      <c r="FJ105" s="47" t="str">
        <f t="shared" si="3"/>
        <v>Tecnologia</v>
      </c>
    </row>
    <row r="106" spans="1:166" s="36" customFormat="1" ht="15.75" customHeight="1" x14ac:dyDescent="0.2">
      <c r="A106" s="38">
        <v>43410.688154710646</v>
      </c>
      <c r="C106" s="36" t="s">
        <v>124</v>
      </c>
      <c r="D106" s="47" t="s">
        <v>133</v>
      </c>
      <c r="E106" s="36" t="s">
        <v>138</v>
      </c>
      <c r="H106" s="36" t="s">
        <v>142</v>
      </c>
      <c r="M106" s="36" t="s">
        <v>146</v>
      </c>
      <c r="N106" s="36" t="s">
        <v>134</v>
      </c>
      <c r="O106" s="36" t="s">
        <v>133</v>
      </c>
      <c r="P106" s="36" t="s">
        <v>133</v>
      </c>
      <c r="Q106" s="36" t="s">
        <v>133</v>
      </c>
      <c r="R106" s="36" t="s">
        <v>151</v>
      </c>
      <c r="Y106" s="36" t="s">
        <v>165</v>
      </c>
      <c r="Z106" s="36" t="s">
        <v>169</v>
      </c>
      <c r="AA106" s="36" t="s">
        <v>172</v>
      </c>
      <c r="AB106" s="36" t="s">
        <v>181</v>
      </c>
      <c r="AD106" s="36" t="s">
        <v>571</v>
      </c>
      <c r="AE106" s="36">
        <v>1</v>
      </c>
      <c r="AF106" s="36" t="s">
        <v>190</v>
      </c>
      <c r="AG106" s="36" t="s">
        <v>190</v>
      </c>
      <c r="AH106" s="36" t="s">
        <v>134</v>
      </c>
      <c r="AI106" s="40">
        <v>800</v>
      </c>
      <c r="AJ106" s="36">
        <v>3</v>
      </c>
      <c r="AK106" s="36">
        <v>1</v>
      </c>
      <c r="AL106" s="36" t="s">
        <v>134</v>
      </c>
      <c r="AM106" s="36" t="s">
        <v>167</v>
      </c>
      <c r="AN106" s="36">
        <v>6</v>
      </c>
      <c r="AO106" s="36" t="s">
        <v>133</v>
      </c>
      <c r="AP106" s="36" t="s">
        <v>572</v>
      </c>
      <c r="AQ106" s="40">
        <v>2500</v>
      </c>
      <c r="AR106" s="36">
        <v>2</v>
      </c>
      <c r="AS106" s="36">
        <v>4</v>
      </c>
      <c r="AT106" s="36">
        <v>2</v>
      </c>
      <c r="AU106" s="36">
        <v>4</v>
      </c>
      <c r="AV106" s="36">
        <v>3</v>
      </c>
      <c r="AW106" s="36" t="s">
        <v>192</v>
      </c>
      <c r="AX106" s="36" t="s">
        <v>205</v>
      </c>
      <c r="AY106" s="36" t="s">
        <v>208</v>
      </c>
      <c r="AZ106" s="36" t="s">
        <v>133</v>
      </c>
      <c r="BA106" s="36" t="s">
        <v>170</v>
      </c>
      <c r="BB106" s="36" t="s">
        <v>367</v>
      </c>
      <c r="BC106" s="36" t="s">
        <v>292</v>
      </c>
      <c r="BD106" s="36" t="s">
        <v>190</v>
      </c>
      <c r="BG106" s="36">
        <v>4</v>
      </c>
      <c r="BH106" s="36">
        <v>4</v>
      </c>
      <c r="BI106" s="36">
        <v>4</v>
      </c>
      <c r="BJ106" s="36">
        <v>4</v>
      </c>
      <c r="BK106" s="36">
        <v>4</v>
      </c>
      <c r="BL106" s="36">
        <v>4</v>
      </c>
      <c r="BM106" s="36">
        <v>4</v>
      </c>
      <c r="BN106" s="36">
        <v>4</v>
      </c>
      <c r="BO106" s="36">
        <v>4</v>
      </c>
      <c r="BP106" s="36">
        <v>4</v>
      </c>
      <c r="BQ106" s="36">
        <v>4</v>
      </c>
      <c r="BR106" s="36">
        <v>4</v>
      </c>
      <c r="BS106" s="36">
        <v>4</v>
      </c>
      <c r="BT106" s="36">
        <v>4</v>
      </c>
      <c r="BU106" s="36">
        <v>4</v>
      </c>
      <c r="BV106" s="36">
        <v>4</v>
      </c>
      <c r="BW106" s="36">
        <v>4</v>
      </c>
      <c r="BX106" s="36">
        <v>4</v>
      </c>
      <c r="BY106" s="36">
        <v>4</v>
      </c>
      <c r="BZ106" s="36">
        <v>4</v>
      </c>
      <c r="CA106" s="36">
        <v>4</v>
      </c>
      <c r="CB106" s="36">
        <v>4</v>
      </c>
      <c r="CC106" s="36">
        <v>4</v>
      </c>
      <c r="CD106" s="36">
        <v>4</v>
      </c>
      <c r="CE106" s="36">
        <v>4</v>
      </c>
      <c r="CF106" s="36">
        <v>4</v>
      </c>
      <c r="CG106" s="36">
        <v>2</v>
      </c>
      <c r="CH106" s="36" t="s">
        <v>222</v>
      </c>
      <c r="CI106" t="s">
        <v>226</v>
      </c>
      <c r="CJ106" t="s">
        <v>1015</v>
      </c>
      <c r="CK106" s="36" t="s">
        <v>234</v>
      </c>
      <c r="CL106" t="s">
        <v>239</v>
      </c>
      <c r="CM106" t="s">
        <v>1026</v>
      </c>
      <c r="CN106" s="36" t="s">
        <v>242</v>
      </c>
      <c r="CO106" s="36" t="s">
        <v>134</v>
      </c>
      <c r="CP106" s="36">
        <v>4</v>
      </c>
      <c r="CQ106" s="36">
        <v>5</v>
      </c>
      <c r="CR106" s="36" t="s">
        <v>248</v>
      </c>
      <c r="CS106" s="36">
        <v>4</v>
      </c>
      <c r="CT106" s="36">
        <v>4</v>
      </c>
      <c r="CU106" s="36">
        <v>3</v>
      </c>
      <c r="CV106" s="36">
        <v>4</v>
      </c>
      <c r="CW106" s="36">
        <v>3</v>
      </c>
      <c r="CX106" s="36">
        <v>4</v>
      </c>
      <c r="CY106" s="36">
        <v>4</v>
      </c>
      <c r="CZ106" s="36">
        <v>4</v>
      </c>
      <c r="DA106" s="36">
        <v>3</v>
      </c>
      <c r="DB106" s="36">
        <v>3</v>
      </c>
      <c r="DC106" s="36">
        <v>3</v>
      </c>
      <c r="DD106" s="36">
        <v>4</v>
      </c>
      <c r="DE106" s="36">
        <v>3</v>
      </c>
      <c r="DF106" s="36">
        <v>3</v>
      </c>
      <c r="DG106" s="36">
        <v>3</v>
      </c>
      <c r="DH106" s="36">
        <v>3</v>
      </c>
      <c r="DI106" s="36" t="s">
        <v>252</v>
      </c>
      <c r="DJ106" s="36" t="s">
        <v>133</v>
      </c>
      <c r="DK106" s="36" t="s">
        <v>573</v>
      </c>
      <c r="DL106"/>
      <c r="DM106"/>
      <c r="DN106"/>
      <c r="DO106"/>
      <c r="DP106"/>
      <c r="DQ106" s="36">
        <v>5</v>
      </c>
      <c r="DR106" s="36" t="s">
        <v>134</v>
      </c>
      <c r="DT106"/>
      <c r="DU106"/>
      <c r="DV106"/>
      <c r="DW106"/>
      <c r="DX106"/>
      <c r="DZ106" s="36" t="s">
        <v>134</v>
      </c>
      <c r="EB106" s="36" t="s">
        <v>263</v>
      </c>
      <c r="EC106" s="36" t="s">
        <v>264</v>
      </c>
      <c r="ED106" s="36">
        <v>40</v>
      </c>
      <c r="EE106" s="36" t="s">
        <v>292</v>
      </c>
      <c r="EF106" s="36" t="str">
        <f>Tabulacao!MC106</f>
        <v>Aracaju</v>
      </c>
      <c r="EG106" s="36" t="s">
        <v>292</v>
      </c>
      <c r="EH106" s="36" t="str">
        <f>Tabulacao!MG106</f>
        <v>Aracaju</v>
      </c>
      <c r="EI106" s="36" t="s">
        <v>292</v>
      </c>
      <c r="EJ106" s="36" t="str">
        <f>Tabulacao!MK106</f>
        <v>Aracaju</v>
      </c>
      <c r="EK106" s="36" t="s">
        <v>134</v>
      </c>
      <c r="EL106" s="36" t="s">
        <v>134</v>
      </c>
      <c r="EM106" s="36" t="s">
        <v>134</v>
      </c>
      <c r="EN106" s="36" t="s">
        <v>134</v>
      </c>
      <c r="EO106" s="36" t="s">
        <v>134</v>
      </c>
      <c r="EP106" s="36" t="s">
        <v>134</v>
      </c>
      <c r="EQ106" s="36" t="s">
        <v>275</v>
      </c>
      <c r="ER106" s="36" t="str">
        <f>IF(OR(EQ106=CaractAmostra!$BD$9,EQ106=CaractAmostra!$BD$10,EQ106=CaractAmostra!$BD$11,EQ106=CaractAmostra!$BD$12,EQ106=CaractAmostra!$BD$13),Respostas_Formatadas!EQ106,"Outros")</f>
        <v>Com os pais</v>
      </c>
      <c r="ES106" s="36" t="s">
        <v>275</v>
      </c>
      <c r="ET106" s="36" t="str">
        <f>IF(OR(ES106=CaractAmostra!$BH$9,ES106=CaractAmostra!$BH$10,ES106=CaractAmostra!$BH$11,ES106=CaractAmostra!$BH$12),Respostas_Formatadas!ES106,"Outros")</f>
        <v>Com os pais</v>
      </c>
      <c r="EU106" s="36" t="s">
        <v>134</v>
      </c>
      <c r="EV106" s="36" t="s">
        <v>286</v>
      </c>
      <c r="EW106" s="36" t="s">
        <v>285</v>
      </c>
      <c r="FD106" s="36" t="s">
        <v>574</v>
      </c>
      <c r="FE106" s="115" t="s">
        <v>1247</v>
      </c>
      <c r="FF106" s="97" t="s">
        <v>933</v>
      </c>
      <c r="FI106" s="47" t="str">
        <f t="shared" si="2"/>
        <v>Aracaju</v>
      </c>
      <c r="FJ106" s="47" t="str">
        <f t="shared" si="3"/>
        <v>Tecnologia</v>
      </c>
    </row>
    <row r="107" spans="1:166" s="36" customFormat="1" ht="15.75" customHeight="1" x14ac:dyDescent="0.2">
      <c r="A107" s="38">
        <v>43410.801700856478</v>
      </c>
      <c r="C107" s="36" t="s">
        <v>125</v>
      </c>
      <c r="D107" s="47" t="s">
        <v>134</v>
      </c>
      <c r="M107" s="36" t="s">
        <v>146</v>
      </c>
      <c r="N107" s="36" t="s">
        <v>134</v>
      </c>
      <c r="O107" s="36" t="s">
        <v>133</v>
      </c>
      <c r="P107" s="36" t="s">
        <v>134</v>
      </c>
      <c r="Q107" s="36" t="s">
        <v>134</v>
      </c>
      <c r="R107" s="36" t="s">
        <v>153</v>
      </c>
      <c r="S107" s="36" t="s">
        <v>311</v>
      </c>
      <c r="T107" s="36" t="s">
        <v>154</v>
      </c>
      <c r="U107" s="36" t="s">
        <v>157</v>
      </c>
      <c r="V107" s="36">
        <v>1</v>
      </c>
      <c r="W107" s="36">
        <v>1</v>
      </c>
      <c r="X107" s="36">
        <v>1</v>
      </c>
      <c r="Y107" s="36" t="s">
        <v>165</v>
      </c>
      <c r="Z107" s="36" t="s">
        <v>167</v>
      </c>
      <c r="AA107" s="36" t="s">
        <v>171</v>
      </c>
      <c r="AB107" s="36" t="s">
        <v>178</v>
      </c>
      <c r="AD107" s="36" t="s">
        <v>575</v>
      </c>
      <c r="AE107" s="36">
        <v>5</v>
      </c>
      <c r="AF107" s="36" t="s">
        <v>189</v>
      </c>
      <c r="AG107" s="36" t="s">
        <v>189</v>
      </c>
      <c r="AH107" s="36" t="s">
        <v>134</v>
      </c>
      <c r="AI107" s="40">
        <v>1000</v>
      </c>
      <c r="AJ107" s="36">
        <v>5</v>
      </c>
      <c r="AK107" s="36">
        <v>1</v>
      </c>
      <c r="AL107" s="36" t="s">
        <v>134</v>
      </c>
      <c r="AM107" s="36" t="s">
        <v>170</v>
      </c>
      <c r="AN107" s="36">
        <v>4</v>
      </c>
      <c r="AO107" s="36" t="s">
        <v>133</v>
      </c>
      <c r="AP107" s="36" t="s">
        <v>576</v>
      </c>
      <c r="AQ107" s="40">
        <v>1500</v>
      </c>
      <c r="AR107" s="36">
        <v>3</v>
      </c>
      <c r="AS107" s="36">
        <v>2</v>
      </c>
      <c r="AT107" s="36">
        <v>1</v>
      </c>
      <c r="AU107" s="36">
        <v>4</v>
      </c>
      <c r="AV107" s="36">
        <v>4</v>
      </c>
      <c r="AW107" s="36" t="s">
        <v>192</v>
      </c>
      <c r="AX107" s="36" t="s">
        <v>206</v>
      </c>
      <c r="AY107" s="36" t="s">
        <v>210</v>
      </c>
      <c r="AZ107" s="36" t="s">
        <v>133</v>
      </c>
      <c r="BA107" s="36" t="s">
        <v>167</v>
      </c>
      <c r="BB107" s="36" t="s">
        <v>292</v>
      </c>
      <c r="BC107" s="36" t="s">
        <v>292</v>
      </c>
      <c r="BD107" s="36" t="s">
        <v>189</v>
      </c>
      <c r="BF107" s="36" t="s">
        <v>221</v>
      </c>
      <c r="BG107" s="36">
        <v>1</v>
      </c>
      <c r="BH107" s="36">
        <v>1</v>
      </c>
      <c r="BI107" s="36">
        <v>5</v>
      </c>
      <c r="BJ107" s="36">
        <v>5</v>
      </c>
      <c r="BK107" s="36">
        <v>5</v>
      </c>
      <c r="BL107" s="36">
        <v>5</v>
      </c>
      <c r="BM107" s="36">
        <v>5</v>
      </c>
      <c r="BN107" s="36">
        <v>5</v>
      </c>
      <c r="BO107" s="36">
        <v>4</v>
      </c>
      <c r="BP107" s="36">
        <v>3</v>
      </c>
      <c r="BQ107" s="36">
        <v>4</v>
      </c>
      <c r="BR107" s="36">
        <v>2</v>
      </c>
      <c r="BS107" s="36">
        <v>5</v>
      </c>
      <c r="BT107" s="36">
        <v>4</v>
      </c>
      <c r="BU107" s="36">
        <v>3</v>
      </c>
      <c r="BV107" s="36">
        <v>3</v>
      </c>
      <c r="BW107" s="36">
        <v>4</v>
      </c>
      <c r="BX107" s="36">
        <v>4</v>
      </c>
      <c r="BY107" s="36">
        <v>5</v>
      </c>
      <c r="BZ107" s="36">
        <v>4</v>
      </c>
      <c r="CA107" s="36">
        <v>4</v>
      </c>
      <c r="CB107" s="36">
        <v>4</v>
      </c>
      <c r="CC107" s="36">
        <v>4</v>
      </c>
      <c r="CD107" s="36">
        <v>4</v>
      </c>
      <c r="CE107" s="36">
        <v>4</v>
      </c>
      <c r="CF107" s="36">
        <v>1</v>
      </c>
      <c r="CG107" s="36">
        <v>4</v>
      </c>
      <c r="CH107" s="36" t="s">
        <v>222</v>
      </c>
      <c r="CI107" t="s">
        <v>229</v>
      </c>
      <c r="CJ107"/>
      <c r="CK107" s="36" t="s">
        <v>233</v>
      </c>
      <c r="CL107" t="s">
        <v>234</v>
      </c>
      <c r="CM107" t="s">
        <v>240</v>
      </c>
      <c r="CN107" s="36" t="s">
        <v>242</v>
      </c>
      <c r="CO107" s="36" t="s">
        <v>134</v>
      </c>
      <c r="CP107" s="36">
        <v>5</v>
      </c>
      <c r="CQ107" s="36">
        <v>3</v>
      </c>
      <c r="CR107" s="36" t="s">
        <v>249</v>
      </c>
      <c r="CS107" s="36">
        <v>3</v>
      </c>
      <c r="CT107" s="36">
        <v>3</v>
      </c>
      <c r="CU107" s="36">
        <v>1</v>
      </c>
      <c r="CV107" s="36">
        <v>2</v>
      </c>
      <c r="CW107" s="36">
        <v>3</v>
      </c>
      <c r="CX107" s="36">
        <v>3</v>
      </c>
      <c r="CY107" s="36">
        <v>3</v>
      </c>
      <c r="CZ107" s="36">
        <v>5</v>
      </c>
      <c r="DA107" s="36">
        <v>3</v>
      </c>
      <c r="DB107" s="36">
        <v>3</v>
      </c>
      <c r="DC107" s="36">
        <v>3</v>
      </c>
      <c r="DD107" s="36">
        <v>5</v>
      </c>
      <c r="DE107" s="36">
        <v>3</v>
      </c>
      <c r="DF107" s="36">
        <v>5</v>
      </c>
      <c r="DG107" s="36">
        <v>5</v>
      </c>
      <c r="DH107" s="36">
        <v>5</v>
      </c>
      <c r="DI107" s="36" t="s">
        <v>250</v>
      </c>
      <c r="DJ107" s="36" t="s">
        <v>133</v>
      </c>
      <c r="DK107" s="36" t="s">
        <v>257</v>
      </c>
      <c r="DL107"/>
      <c r="DM107"/>
      <c r="DN107"/>
      <c r="DO107"/>
      <c r="DP107"/>
      <c r="DQ107" s="36">
        <v>1</v>
      </c>
      <c r="DR107" s="36" t="s">
        <v>133</v>
      </c>
      <c r="DS107" s="36" t="s">
        <v>260</v>
      </c>
      <c r="DT107" t="s">
        <v>261</v>
      </c>
      <c r="DU107"/>
      <c r="DV107"/>
      <c r="DW107"/>
      <c r="DX107"/>
      <c r="DY107" s="36">
        <v>1</v>
      </c>
      <c r="DZ107" s="36" t="s">
        <v>133</v>
      </c>
      <c r="EA107" s="36">
        <v>3</v>
      </c>
      <c r="EB107" s="36" t="s">
        <v>263</v>
      </c>
      <c r="EC107" s="36" t="s">
        <v>267</v>
      </c>
      <c r="ED107" s="36">
        <v>28</v>
      </c>
      <c r="EE107" s="36" t="s">
        <v>292</v>
      </c>
      <c r="EF107" s="36" t="str">
        <f>Tabulacao!MC107</f>
        <v>Aracaju</v>
      </c>
      <c r="EG107" s="36" t="s">
        <v>292</v>
      </c>
      <c r="EH107" s="36" t="str">
        <f>Tabulacao!MG107</f>
        <v>Aracaju</v>
      </c>
      <c r="EI107" s="36" t="s">
        <v>292</v>
      </c>
      <c r="EJ107" s="36" t="str">
        <f>Tabulacao!MK107</f>
        <v>Aracaju</v>
      </c>
      <c r="EK107" s="36" t="s">
        <v>134</v>
      </c>
      <c r="EL107" s="36" t="s">
        <v>134</v>
      </c>
      <c r="EM107" s="36" t="s">
        <v>134</v>
      </c>
      <c r="EN107" s="36" t="s">
        <v>134</v>
      </c>
      <c r="EO107" s="36" t="s">
        <v>270</v>
      </c>
      <c r="EP107" s="36" t="s">
        <v>134</v>
      </c>
      <c r="EQ107" s="36" t="s">
        <v>275</v>
      </c>
      <c r="ER107" s="36" t="str">
        <f>IF(OR(EQ107=CaractAmostra!$BD$9,EQ107=CaractAmostra!$BD$10,EQ107=CaractAmostra!$BD$11,EQ107=CaractAmostra!$BD$12,EQ107=CaractAmostra!$BD$13),Respostas_Formatadas!EQ107,"Outros")</f>
        <v>Com os pais</v>
      </c>
      <c r="ES107" s="36" t="s">
        <v>278</v>
      </c>
      <c r="ET107" s="36" t="str">
        <f>IF(OR(ES107=CaractAmostra!$BH$9,ES107=CaractAmostra!$BH$10,ES107=CaractAmostra!$BH$11,ES107=CaractAmostra!$BH$12),Respostas_Formatadas!ES107,"Outros")</f>
        <v>Divido residência com outras pessoas</v>
      </c>
      <c r="EU107" s="36" t="s">
        <v>134</v>
      </c>
      <c r="EV107" s="36" t="s">
        <v>285</v>
      </c>
      <c r="EW107" s="36" t="s">
        <v>285</v>
      </c>
      <c r="FD107" s="36" t="s">
        <v>577</v>
      </c>
      <c r="FE107" s="47">
        <v>2015</v>
      </c>
      <c r="FF107" s="97">
        <v>6.8449999999999998</v>
      </c>
      <c r="FI107" s="47" t="str">
        <f t="shared" si="2"/>
        <v>Aracaju</v>
      </c>
      <c r="FJ107" s="47" t="str">
        <f t="shared" si="3"/>
        <v>Tecnologia</v>
      </c>
    </row>
    <row r="108" spans="1:166" s="36" customFormat="1" ht="15.75" customHeight="1" x14ac:dyDescent="0.2">
      <c r="A108" s="38">
        <v>43410.834062013892</v>
      </c>
      <c r="C108" s="36" t="s">
        <v>125</v>
      </c>
      <c r="D108" s="47" t="s">
        <v>134</v>
      </c>
      <c r="M108" s="36" t="s">
        <v>146</v>
      </c>
      <c r="N108" s="36" t="s">
        <v>134</v>
      </c>
      <c r="O108" s="36" t="s">
        <v>133</v>
      </c>
      <c r="P108" s="36" t="s">
        <v>134</v>
      </c>
      <c r="Q108" s="36" t="s">
        <v>134</v>
      </c>
      <c r="R108" s="36" t="s">
        <v>151</v>
      </c>
      <c r="Y108" s="36" t="s">
        <v>165</v>
      </c>
      <c r="Z108" s="36" t="s">
        <v>168</v>
      </c>
      <c r="AA108" s="36" t="s">
        <v>173</v>
      </c>
      <c r="AB108" s="36" t="s">
        <v>178</v>
      </c>
      <c r="AD108" s="36" t="s">
        <v>578</v>
      </c>
      <c r="AE108" s="36">
        <v>5</v>
      </c>
      <c r="AF108" s="36" t="s">
        <v>189</v>
      </c>
      <c r="AG108" s="36" t="s">
        <v>189</v>
      </c>
      <c r="AH108" s="36" t="s">
        <v>134</v>
      </c>
      <c r="AI108" s="40">
        <v>1000</v>
      </c>
      <c r="AJ108" s="36">
        <v>5</v>
      </c>
      <c r="AK108" s="36">
        <v>4</v>
      </c>
      <c r="AL108" s="36" t="s">
        <v>134</v>
      </c>
      <c r="AM108" s="36" t="s">
        <v>167</v>
      </c>
      <c r="AN108" s="36">
        <v>1</v>
      </c>
      <c r="AO108" s="36" t="s">
        <v>134</v>
      </c>
      <c r="AQ108" s="40"/>
      <c r="BT108" s="36">
        <v>3</v>
      </c>
      <c r="BU108" s="36">
        <v>3</v>
      </c>
      <c r="BV108" s="36">
        <v>3</v>
      </c>
      <c r="BW108" s="36">
        <v>2</v>
      </c>
      <c r="BX108" s="36">
        <v>3</v>
      </c>
      <c r="BY108" s="36">
        <v>3</v>
      </c>
      <c r="BZ108" s="36">
        <v>2</v>
      </c>
      <c r="CA108" s="36">
        <v>4</v>
      </c>
      <c r="CB108" s="36">
        <v>3</v>
      </c>
      <c r="CC108" s="36">
        <v>3</v>
      </c>
      <c r="CD108" s="36">
        <v>2</v>
      </c>
      <c r="CE108" s="36">
        <v>3</v>
      </c>
      <c r="CF108" s="36">
        <v>2</v>
      </c>
      <c r="CG108" s="36">
        <v>3</v>
      </c>
      <c r="CH108" s="36" t="s">
        <v>225</v>
      </c>
      <c r="CI108" t="s">
        <v>226</v>
      </c>
      <c r="CJ108" t="s">
        <v>229</v>
      </c>
      <c r="CK108" s="36" t="s">
        <v>233</v>
      </c>
      <c r="CL108" t="s">
        <v>234</v>
      </c>
      <c r="CM108" t="s">
        <v>235</v>
      </c>
      <c r="CN108" s="36" t="s">
        <v>242</v>
      </c>
      <c r="CO108" s="36" t="s">
        <v>134</v>
      </c>
      <c r="CP108" s="36">
        <v>4</v>
      </c>
      <c r="CQ108" s="36">
        <v>4</v>
      </c>
      <c r="CR108" s="36" t="s">
        <v>248</v>
      </c>
      <c r="CS108" s="36">
        <v>4</v>
      </c>
      <c r="CT108" s="36">
        <v>2</v>
      </c>
      <c r="CU108" s="36">
        <v>3</v>
      </c>
      <c r="CV108" s="36">
        <v>4</v>
      </c>
      <c r="CW108" s="36">
        <v>4</v>
      </c>
      <c r="CX108" s="36">
        <v>4</v>
      </c>
      <c r="CY108" s="36">
        <v>5</v>
      </c>
      <c r="CZ108" s="36">
        <v>5</v>
      </c>
      <c r="DA108" s="36">
        <v>4</v>
      </c>
      <c r="DB108" s="36">
        <v>4</v>
      </c>
      <c r="DC108" s="36">
        <v>3</v>
      </c>
      <c r="DD108" s="36">
        <v>5</v>
      </c>
      <c r="DE108" s="36">
        <v>5</v>
      </c>
      <c r="DF108" s="36">
        <v>5</v>
      </c>
      <c r="DG108" s="36">
        <v>5</v>
      </c>
      <c r="DH108" s="36">
        <v>4</v>
      </c>
      <c r="DI108" s="36" t="s">
        <v>133</v>
      </c>
      <c r="DJ108" s="36" t="s">
        <v>134</v>
      </c>
      <c r="DL108"/>
      <c r="DM108"/>
      <c r="DN108"/>
      <c r="DO108"/>
      <c r="DP108"/>
      <c r="DR108" s="36" t="s">
        <v>134</v>
      </c>
      <c r="DT108"/>
      <c r="DU108"/>
      <c r="DV108"/>
      <c r="DW108"/>
      <c r="DX108"/>
      <c r="DZ108" s="36" t="s">
        <v>133</v>
      </c>
      <c r="EA108" s="36">
        <v>5</v>
      </c>
      <c r="EB108" s="36" t="s">
        <v>262</v>
      </c>
      <c r="EC108" s="36" t="s">
        <v>265</v>
      </c>
      <c r="ED108" s="36">
        <v>30</v>
      </c>
      <c r="EE108" s="36" t="s">
        <v>291</v>
      </c>
      <c r="EF108" s="36" t="str">
        <f>Tabulacao!MC108</f>
        <v>Lagarto</v>
      </c>
      <c r="EG108" s="36" t="s">
        <v>292</v>
      </c>
      <c r="EH108" s="36" t="str">
        <f>Tabulacao!MG108</f>
        <v>Aracaju</v>
      </c>
      <c r="EI108" s="36" t="s">
        <v>291</v>
      </c>
      <c r="EJ108" s="36" t="str">
        <f>Tabulacao!MK108</f>
        <v>Lagarto</v>
      </c>
      <c r="EK108" s="36" t="s">
        <v>134</v>
      </c>
      <c r="EL108" s="36" t="s">
        <v>134</v>
      </c>
      <c r="EM108" s="36" t="s">
        <v>134</v>
      </c>
      <c r="EN108" s="36" t="s">
        <v>134</v>
      </c>
      <c r="EO108" s="36" t="s">
        <v>134</v>
      </c>
      <c r="EP108" s="36" t="s">
        <v>134</v>
      </c>
      <c r="EQ108" s="36" t="s">
        <v>273</v>
      </c>
      <c r="ER108" s="36" t="str">
        <f>IF(OR(EQ108=CaractAmostra!$BD$9,EQ108=CaractAmostra!$BD$10,EQ108=CaractAmostra!$BD$11,EQ108=CaractAmostra!$BD$12,EQ108=CaractAmostra!$BD$13),Respostas_Formatadas!EQ108,"Outros")</f>
        <v>Dividia residência com outras pessoas</v>
      </c>
      <c r="ES108" s="36" t="s">
        <v>275</v>
      </c>
      <c r="ET108" s="36" t="str">
        <f>IF(OR(ES108=CaractAmostra!$BH$9,ES108=CaractAmostra!$BH$10,ES108=CaractAmostra!$BH$11,ES108=CaractAmostra!$BH$12),Respostas_Formatadas!ES108,"Outros")</f>
        <v>Com os pais</v>
      </c>
      <c r="EU108" s="36" t="s">
        <v>134</v>
      </c>
      <c r="EV108" s="36" t="s">
        <v>282</v>
      </c>
      <c r="EW108" s="36" t="s">
        <v>282</v>
      </c>
      <c r="FE108" s="47">
        <v>2017</v>
      </c>
      <c r="FF108" s="97">
        <v>6.8951000000000002</v>
      </c>
      <c r="FI108" s="47" t="str">
        <f t="shared" si="2"/>
        <v>Aracaju</v>
      </c>
      <c r="FJ108" s="47" t="str">
        <f t="shared" si="3"/>
        <v>Tecnologia</v>
      </c>
    </row>
    <row r="109" spans="1:166" s="36" customFormat="1" ht="15.75" customHeight="1" x14ac:dyDescent="0.2">
      <c r="A109" s="38">
        <v>43410.875384571758</v>
      </c>
      <c r="C109" s="36" t="s">
        <v>124</v>
      </c>
      <c r="D109" s="47" t="s">
        <v>133</v>
      </c>
      <c r="E109" s="36" t="s">
        <v>135</v>
      </c>
      <c r="H109" s="36" t="s">
        <v>142</v>
      </c>
      <c r="I109" s="36" t="s">
        <v>144</v>
      </c>
      <c r="M109" s="36" t="s">
        <v>146</v>
      </c>
      <c r="N109" s="36" t="s">
        <v>134</v>
      </c>
      <c r="O109" s="36" t="s">
        <v>134</v>
      </c>
      <c r="P109" s="36" t="s">
        <v>133</v>
      </c>
      <c r="Q109" s="36" t="s">
        <v>134</v>
      </c>
      <c r="R109" s="36" t="s">
        <v>152</v>
      </c>
      <c r="S109" s="36" t="s">
        <v>579</v>
      </c>
      <c r="T109" s="36" t="s">
        <v>154</v>
      </c>
      <c r="U109" s="36" t="s">
        <v>159</v>
      </c>
      <c r="V109" s="36">
        <v>3</v>
      </c>
      <c r="W109" s="36">
        <v>5</v>
      </c>
      <c r="X109" s="36">
        <v>5</v>
      </c>
      <c r="Y109" s="36" t="s">
        <v>165</v>
      </c>
      <c r="Z109" s="36" t="s">
        <v>168</v>
      </c>
      <c r="AA109" s="36" t="s">
        <v>172</v>
      </c>
      <c r="AB109" s="36" t="s">
        <v>178</v>
      </c>
      <c r="AD109" s="36" t="s">
        <v>580</v>
      </c>
      <c r="AE109" s="36">
        <v>3</v>
      </c>
      <c r="AF109" s="36" t="s">
        <v>190</v>
      </c>
      <c r="AG109" s="36" t="s">
        <v>190</v>
      </c>
      <c r="AH109" s="36" t="s">
        <v>134</v>
      </c>
      <c r="AI109" s="40">
        <v>1200</v>
      </c>
      <c r="AJ109" s="36">
        <v>4</v>
      </c>
      <c r="AK109" s="36">
        <v>4</v>
      </c>
      <c r="AL109" s="36" t="s">
        <v>134</v>
      </c>
      <c r="AM109" s="36" t="s">
        <v>170</v>
      </c>
      <c r="AN109" s="36">
        <v>3</v>
      </c>
      <c r="AO109" s="36" t="s">
        <v>133</v>
      </c>
      <c r="AP109" s="36" t="s">
        <v>581</v>
      </c>
      <c r="AQ109" s="40"/>
      <c r="AR109" s="36">
        <v>3</v>
      </c>
      <c r="AS109" s="36">
        <v>4</v>
      </c>
      <c r="AT109" s="36">
        <v>3</v>
      </c>
      <c r="AU109" s="36">
        <v>4</v>
      </c>
      <c r="AV109" s="36">
        <v>5</v>
      </c>
      <c r="AW109" s="36" t="s">
        <v>192</v>
      </c>
      <c r="AX109" s="36" t="s">
        <v>206</v>
      </c>
      <c r="AY109" s="36" t="s">
        <v>210</v>
      </c>
      <c r="AZ109" s="36" t="s">
        <v>133</v>
      </c>
      <c r="BA109" s="36" t="s">
        <v>170</v>
      </c>
      <c r="BB109" s="36" t="s">
        <v>367</v>
      </c>
      <c r="BC109" s="36" t="s">
        <v>292</v>
      </c>
      <c r="BD109" s="36" t="s">
        <v>189</v>
      </c>
      <c r="BF109" s="36" t="s">
        <v>218</v>
      </c>
      <c r="BG109" s="36">
        <v>5</v>
      </c>
      <c r="BH109" s="36">
        <v>4</v>
      </c>
      <c r="BI109" s="36">
        <v>5</v>
      </c>
      <c r="BJ109" s="36">
        <v>5</v>
      </c>
      <c r="BK109" s="36">
        <v>5</v>
      </c>
      <c r="BL109" s="36">
        <v>5</v>
      </c>
      <c r="BM109" s="36">
        <v>4</v>
      </c>
      <c r="BN109" s="36">
        <v>5</v>
      </c>
      <c r="BO109" s="36">
        <v>4</v>
      </c>
      <c r="BP109" s="36">
        <v>5</v>
      </c>
      <c r="BQ109" s="36">
        <v>1</v>
      </c>
      <c r="BR109" s="36">
        <v>5</v>
      </c>
      <c r="BS109" s="36">
        <v>1</v>
      </c>
      <c r="BT109" s="36">
        <v>5</v>
      </c>
      <c r="BU109" s="36">
        <v>4</v>
      </c>
      <c r="BV109" s="36">
        <v>5</v>
      </c>
      <c r="BW109" s="36">
        <v>4</v>
      </c>
      <c r="BX109" s="36">
        <v>5</v>
      </c>
      <c r="BY109" s="36">
        <v>5</v>
      </c>
      <c r="BZ109" s="36">
        <v>4</v>
      </c>
      <c r="CA109" s="36">
        <v>5</v>
      </c>
      <c r="CB109" s="36">
        <v>4</v>
      </c>
      <c r="CC109" s="36">
        <v>5</v>
      </c>
      <c r="CD109" s="36">
        <v>1</v>
      </c>
      <c r="CE109" s="36">
        <v>5</v>
      </c>
      <c r="CF109" s="36">
        <v>3</v>
      </c>
      <c r="CG109" s="36">
        <v>3</v>
      </c>
      <c r="CH109" s="36" t="s">
        <v>222</v>
      </c>
      <c r="CI109" t="s">
        <v>1010</v>
      </c>
      <c r="CJ109"/>
      <c r="CK109" s="36" t="s">
        <v>233</v>
      </c>
      <c r="CL109" t="s">
        <v>235</v>
      </c>
      <c r="CM109" t="s">
        <v>240</v>
      </c>
      <c r="CN109" s="36" t="s">
        <v>242</v>
      </c>
      <c r="CO109" s="36" t="s">
        <v>134</v>
      </c>
      <c r="CP109" s="36">
        <v>5</v>
      </c>
      <c r="CQ109" s="36">
        <v>4</v>
      </c>
      <c r="CR109" s="36" t="s">
        <v>248</v>
      </c>
      <c r="CS109" s="36">
        <v>4</v>
      </c>
      <c r="CT109" s="36">
        <v>3</v>
      </c>
      <c r="CU109" s="36">
        <v>3</v>
      </c>
      <c r="CV109" s="36">
        <v>3</v>
      </c>
      <c r="CW109" s="36">
        <v>4</v>
      </c>
      <c r="CX109" s="36">
        <v>5</v>
      </c>
      <c r="CY109" s="36">
        <v>5</v>
      </c>
      <c r="CZ109" s="36">
        <v>4</v>
      </c>
      <c r="DA109" s="36">
        <v>4</v>
      </c>
      <c r="DB109" s="36">
        <v>2</v>
      </c>
      <c r="DC109" s="36">
        <v>3</v>
      </c>
      <c r="DD109" s="36">
        <v>4</v>
      </c>
      <c r="DE109" s="36">
        <v>4</v>
      </c>
      <c r="DF109" s="36">
        <v>4</v>
      </c>
      <c r="DG109" s="36">
        <v>5</v>
      </c>
      <c r="DH109" s="36">
        <v>2</v>
      </c>
      <c r="DI109" s="36" t="s">
        <v>133</v>
      </c>
      <c r="DJ109" s="36" t="s">
        <v>134</v>
      </c>
      <c r="DL109"/>
      <c r="DM109"/>
      <c r="DN109"/>
      <c r="DO109"/>
      <c r="DP109"/>
      <c r="DR109" s="36" t="s">
        <v>133</v>
      </c>
      <c r="DS109" s="36" t="s">
        <v>260</v>
      </c>
      <c r="DT109" t="s">
        <v>261</v>
      </c>
      <c r="DU109"/>
      <c r="DV109"/>
      <c r="DW109"/>
      <c r="DX109"/>
      <c r="DY109" s="36">
        <v>5</v>
      </c>
      <c r="DZ109" s="36" t="s">
        <v>134</v>
      </c>
      <c r="EB109" s="36" t="s">
        <v>263</v>
      </c>
      <c r="EC109" s="36" t="s">
        <v>267</v>
      </c>
      <c r="ED109" s="36">
        <v>34</v>
      </c>
      <c r="EE109" s="36" t="s">
        <v>292</v>
      </c>
      <c r="EF109" s="36" t="str">
        <f>Tabulacao!MC109</f>
        <v>Aracaju</v>
      </c>
      <c r="EG109" s="36" t="s">
        <v>292</v>
      </c>
      <c r="EH109" s="36" t="str">
        <f>Tabulacao!MG109</f>
        <v>Aracaju</v>
      </c>
      <c r="EI109" s="36" t="s">
        <v>292</v>
      </c>
      <c r="EJ109" s="36" t="str">
        <f>Tabulacao!MK109</f>
        <v>Aracaju</v>
      </c>
      <c r="EK109" s="36" t="s">
        <v>134</v>
      </c>
      <c r="EL109" s="36" t="s">
        <v>134</v>
      </c>
      <c r="EM109" s="36" t="s">
        <v>134</v>
      </c>
      <c r="EN109" s="36" t="s">
        <v>134</v>
      </c>
      <c r="EO109" s="36" t="s">
        <v>134</v>
      </c>
      <c r="EP109" s="36" t="s">
        <v>134</v>
      </c>
      <c r="EQ109" s="36" t="s">
        <v>275</v>
      </c>
      <c r="ER109" s="36" t="str">
        <f>IF(OR(EQ109=CaractAmostra!$BD$9,EQ109=CaractAmostra!$BD$10,EQ109=CaractAmostra!$BD$11,EQ109=CaractAmostra!$BD$12,EQ109=CaractAmostra!$BD$13),Respostas_Formatadas!EQ109,"Outros")</f>
        <v>Com os pais</v>
      </c>
      <c r="ES109" s="36" t="s">
        <v>275</v>
      </c>
      <c r="ET109" s="36" t="str">
        <f>IF(OR(ES109=CaractAmostra!$BH$9,ES109=CaractAmostra!$BH$10,ES109=CaractAmostra!$BH$11,ES109=CaractAmostra!$BH$12),Respostas_Formatadas!ES109,"Outros")</f>
        <v>Com os pais</v>
      </c>
      <c r="EU109" s="36" t="s">
        <v>134</v>
      </c>
      <c r="EV109" s="36" t="s">
        <v>287</v>
      </c>
      <c r="EW109" s="36" t="s">
        <v>285</v>
      </c>
      <c r="FD109" s="36" t="s">
        <v>582</v>
      </c>
      <c r="FE109" s="115" t="s">
        <v>1251</v>
      </c>
      <c r="FF109" s="97" t="s">
        <v>933</v>
      </c>
      <c r="FI109" s="47" t="str">
        <f t="shared" si="2"/>
        <v>Aracaju</v>
      </c>
      <c r="FJ109" s="47" t="str">
        <f t="shared" si="3"/>
        <v>Tecnologia</v>
      </c>
    </row>
    <row r="110" spans="1:166" s="36" customFormat="1" ht="15.75" customHeight="1" x14ac:dyDescent="0.2">
      <c r="A110" s="38">
        <v>43411.025195150462</v>
      </c>
      <c r="C110" s="36" t="s">
        <v>119</v>
      </c>
      <c r="D110" s="47" t="s">
        <v>133</v>
      </c>
      <c r="E110" s="36" t="s">
        <v>136</v>
      </c>
      <c r="H110" s="36" t="s">
        <v>142</v>
      </c>
      <c r="M110" s="36" t="s">
        <v>146</v>
      </c>
      <c r="N110" s="36" t="s">
        <v>134</v>
      </c>
      <c r="O110" s="36" t="s">
        <v>133</v>
      </c>
      <c r="P110" s="36" t="s">
        <v>133</v>
      </c>
      <c r="Q110" s="36" t="s">
        <v>134</v>
      </c>
      <c r="R110" s="36" t="s">
        <v>151</v>
      </c>
      <c r="Y110" s="36" t="s">
        <v>165</v>
      </c>
      <c r="Z110" s="36" t="s">
        <v>167</v>
      </c>
      <c r="AA110" s="36" t="s">
        <v>174</v>
      </c>
      <c r="AB110" s="36" t="s">
        <v>180</v>
      </c>
      <c r="AD110" s="36" t="s">
        <v>583</v>
      </c>
      <c r="AE110" s="36">
        <v>4</v>
      </c>
      <c r="AF110" s="36" t="s">
        <v>187</v>
      </c>
      <c r="AG110" s="36" t="s">
        <v>187</v>
      </c>
      <c r="AH110" s="36" t="s">
        <v>134</v>
      </c>
      <c r="AI110" s="40">
        <v>3000</v>
      </c>
      <c r="AJ110" s="36">
        <v>4</v>
      </c>
      <c r="AK110" s="36">
        <v>3</v>
      </c>
      <c r="AL110" s="36" t="s">
        <v>134</v>
      </c>
      <c r="AM110" s="36" t="s">
        <v>168</v>
      </c>
      <c r="AN110" s="36">
        <v>4</v>
      </c>
      <c r="AO110" s="36" t="s">
        <v>191</v>
      </c>
      <c r="AP110" s="36" t="s">
        <v>584</v>
      </c>
      <c r="AQ110" s="40">
        <v>5000</v>
      </c>
      <c r="AR110" s="36">
        <v>1</v>
      </c>
      <c r="AS110" s="36">
        <v>4</v>
      </c>
      <c r="AT110" s="36">
        <v>2</v>
      </c>
      <c r="AU110" s="36">
        <v>1</v>
      </c>
      <c r="AV110" s="36">
        <v>3</v>
      </c>
      <c r="AW110" s="36" t="s">
        <v>193</v>
      </c>
      <c r="AX110" s="36" t="s">
        <v>203</v>
      </c>
      <c r="AY110" s="36" t="s">
        <v>211</v>
      </c>
      <c r="BG110" s="36">
        <v>4</v>
      </c>
      <c r="BH110" s="36">
        <v>4</v>
      </c>
      <c r="BI110" s="36">
        <v>4</v>
      </c>
      <c r="BJ110" s="36">
        <v>5</v>
      </c>
      <c r="BK110" s="36">
        <v>5</v>
      </c>
      <c r="BL110" s="36">
        <v>5</v>
      </c>
      <c r="BM110" s="36">
        <v>5</v>
      </c>
      <c r="BN110" s="36">
        <v>3</v>
      </c>
      <c r="BO110" s="36">
        <v>3</v>
      </c>
      <c r="BP110" s="36">
        <v>4</v>
      </c>
      <c r="BQ110" s="36">
        <v>4</v>
      </c>
      <c r="BR110" s="36">
        <v>5</v>
      </c>
      <c r="BS110" s="36">
        <v>1</v>
      </c>
      <c r="BT110" s="36">
        <v>3</v>
      </c>
      <c r="BU110" s="36">
        <v>3</v>
      </c>
      <c r="BV110" s="36">
        <v>4</v>
      </c>
      <c r="BW110" s="36">
        <v>4</v>
      </c>
      <c r="BX110" s="36">
        <v>4</v>
      </c>
      <c r="BY110" s="36">
        <v>4</v>
      </c>
      <c r="BZ110" s="36">
        <v>4</v>
      </c>
      <c r="CA110" s="36">
        <v>3</v>
      </c>
      <c r="CB110" s="36">
        <v>5</v>
      </c>
      <c r="CC110" s="36">
        <v>5</v>
      </c>
      <c r="CD110" s="36">
        <v>4</v>
      </c>
      <c r="CE110" s="36">
        <v>4</v>
      </c>
      <c r="CF110" s="36">
        <v>1</v>
      </c>
      <c r="CG110" s="36">
        <v>5</v>
      </c>
      <c r="CH110" s="36" t="s">
        <v>222</v>
      </c>
      <c r="CI110"/>
      <c r="CJ110"/>
      <c r="CK110" s="36" t="s">
        <v>239</v>
      </c>
      <c r="CL110"/>
      <c r="CM110"/>
      <c r="CN110" s="36" t="s">
        <v>246</v>
      </c>
      <c r="CO110" s="36" t="s">
        <v>134</v>
      </c>
      <c r="CP110" s="36">
        <v>2</v>
      </c>
      <c r="CQ110" s="36">
        <v>4</v>
      </c>
      <c r="CR110" s="36" t="s">
        <v>249</v>
      </c>
      <c r="CS110" s="36">
        <v>2</v>
      </c>
      <c r="CT110" s="36">
        <v>1</v>
      </c>
      <c r="CU110" s="36">
        <v>1</v>
      </c>
      <c r="CV110" s="36">
        <v>2</v>
      </c>
      <c r="CW110" s="36">
        <v>4</v>
      </c>
      <c r="CX110" s="36">
        <v>4</v>
      </c>
      <c r="CY110" s="36">
        <v>3</v>
      </c>
      <c r="CZ110" s="36">
        <v>4</v>
      </c>
      <c r="DA110" s="36">
        <v>2</v>
      </c>
      <c r="DB110" s="36">
        <v>3</v>
      </c>
      <c r="DC110" s="36">
        <v>5</v>
      </c>
      <c r="DD110" s="36">
        <v>4</v>
      </c>
      <c r="DE110" s="36">
        <v>4</v>
      </c>
      <c r="DF110" s="36">
        <v>4</v>
      </c>
      <c r="DG110" s="36">
        <v>3</v>
      </c>
      <c r="DH110" s="36">
        <v>4</v>
      </c>
      <c r="DI110" s="36" t="s">
        <v>133</v>
      </c>
      <c r="DJ110" s="36" t="s">
        <v>134</v>
      </c>
      <c r="DL110"/>
      <c r="DM110"/>
      <c r="DN110"/>
      <c r="DO110"/>
      <c r="DP110"/>
      <c r="DR110" s="36" t="s">
        <v>134</v>
      </c>
      <c r="DT110"/>
      <c r="DU110"/>
      <c r="DV110"/>
      <c r="DW110"/>
      <c r="DX110"/>
      <c r="DZ110" s="36" t="s">
        <v>134</v>
      </c>
      <c r="EB110" s="36" t="s">
        <v>262</v>
      </c>
      <c r="EC110" s="36" t="s">
        <v>264</v>
      </c>
      <c r="ED110" s="36">
        <v>28</v>
      </c>
      <c r="EE110" s="36" t="s">
        <v>585</v>
      </c>
      <c r="EF110" s="36" t="str">
        <f>Tabulacao!MC110</f>
        <v>Barbalha - CE</v>
      </c>
      <c r="EG110" s="36" t="s">
        <v>292</v>
      </c>
      <c r="EH110" s="36" t="str">
        <f>Tabulacao!MG110</f>
        <v>Aracaju</v>
      </c>
      <c r="EI110" s="36" t="s">
        <v>292</v>
      </c>
      <c r="EJ110" s="36" t="str">
        <f>Tabulacao!MK110</f>
        <v>Aracaju</v>
      </c>
      <c r="EK110" s="36" t="s">
        <v>134</v>
      </c>
      <c r="EL110" s="36" t="s">
        <v>134</v>
      </c>
      <c r="EM110" s="36" t="s">
        <v>134</v>
      </c>
      <c r="EN110" s="36" t="s">
        <v>134</v>
      </c>
      <c r="EO110" s="36" t="s">
        <v>134</v>
      </c>
      <c r="EP110" s="36" t="s">
        <v>134</v>
      </c>
      <c r="EQ110" s="36" t="s">
        <v>274</v>
      </c>
      <c r="ER110" s="36" t="str">
        <f>IF(OR(EQ110=CaractAmostra!$BD$9,EQ110=CaractAmostra!$BD$10,EQ110=CaractAmostra!$BD$11,EQ110=CaractAmostra!$BD$12,EQ110=CaractAmostra!$BD$13),Respostas_Formatadas!EQ110,"Outros")</f>
        <v>Com um(a) parceiro(a)</v>
      </c>
      <c r="ES110" s="36" t="s">
        <v>274</v>
      </c>
      <c r="ET110" s="36" t="str">
        <f>IF(OR(ES110=CaractAmostra!$BH$9,ES110=CaractAmostra!$BH$10,ES110=CaractAmostra!$BH$11,ES110=CaractAmostra!$BH$12),Respostas_Formatadas!ES110,"Outros")</f>
        <v>Com um(a) parceiro(a)</v>
      </c>
      <c r="EU110" s="36" t="s">
        <v>134</v>
      </c>
      <c r="EV110" s="36" t="s">
        <v>285</v>
      </c>
      <c r="EW110" s="36" t="s">
        <v>288</v>
      </c>
      <c r="FE110" s="47">
        <v>2016</v>
      </c>
      <c r="FF110" s="97">
        <v>7.3962000000000003</v>
      </c>
      <c r="FI110" s="47" t="str">
        <f t="shared" si="2"/>
        <v>Aracaju</v>
      </c>
      <c r="FJ110" s="47" t="str">
        <f t="shared" si="3"/>
        <v>Bacharelado</v>
      </c>
    </row>
    <row r="111" spans="1:166" s="36" customFormat="1" ht="15.75" customHeight="1" x14ac:dyDescent="0.2">
      <c r="A111" s="38">
        <v>43411.100363912032</v>
      </c>
      <c r="C111" s="36" t="s">
        <v>121</v>
      </c>
      <c r="D111" s="47" t="s">
        <v>133</v>
      </c>
      <c r="E111" s="36" t="s">
        <v>138</v>
      </c>
      <c r="F111" s="36" t="s">
        <v>139</v>
      </c>
      <c r="H111" s="36" t="s">
        <v>141</v>
      </c>
      <c r="I111" s="36" t="s">
        <v>142</v>
      </c>
      <c r="J111" s="36" t="s">
        <v>144</v>
      </c>
      <c r="M111" s="36" t="s">
        <v>146</v>
      </c>
      <c r="N111" s="36" t="s">
        <v>134</v>
      </c>
      <c r="O111" s="36" t="s">
        <v>133</v>
      </c>
      <c r="P111" s="36" t="s">
        <v>134</v>
      </c>
      <c r="Q111" s="36" t="s">
        <v>134</v>
      </c>
      <c r="R111" s="36" t="s">
        <v>151</v>
      </c>
      <c r="Y111" s="36" t="s">
        <v>134</v>
      </c>
      <c r="AI111" s="40"/>
      <c r="AQ111" s="40"/>
      <c r="BT111" s="36">
        <v>5</v>
      </c>
      <c r="BU111" s="36">
        <v>5</v>
      </c>
      <c r="BV111" s="36">
        <v>5</v>
      </c>
      <c r="BW111" s="36">
        <v>5</v>
      </c>
      <c r="BX111" s="36">
        <v>5</v>
      </c>
      <c r="BY111" s="36">
        <v>5</v>
      </c>
      <c r="BZ111" s="36">
        <v>5</v>
      </c>
      <c r="CA111" s="36">
        <v>5</v>
      </c>
      <c r="CB111" s="36">
        <v>5</v>
      </c>
      <c r="CC111" s="36">
        <v>5</v>
      </c>
      <c r="CD111" s="36">
        <v>5</v>
      </c>
      <c r="CE111" s="36">
        <v>4</v>
      </c>
      <c r="CF111" s="36">
        <v>4</v>
      </c>
      <c r="CG111" s="36">
        <v>5</v>
      </c>
      <c r="CH111" s="36" t="s">
        <v>229</v>
      </c>
      <c r="CI111"/>
      <c r="CJ111"/>
      <c r="CK111" s="36" t="s">
        <v>236</v>
      </c>
      <c r="CL111" t="s">
        <v>240</v>
      </c>
      <c r="CM111"/>
      <c r="CN111" s="36" t="s">
        <v>242</v>
      </c>
      <c r="CO111" s="36" t="s">
        <v>134</v>
      </c>
      <c r="CP111" s="36">
        <v>1</v>
      </c>
      <c r="CQ111" s="36">
        <v>5</v>
      </c>
      <c r="CR111" s="36" t="s">
        <v>248</v>
      </c>
      <c r="CS111" s="36">
        <v>3</v>
      </c>
      <c r="CT111" s="36">
        <v>3</v>
      </c>
      <c r="CU111" s="36">
        <v>2</v>
      </c>
      <c r="CV111" s="36">
        <v>4</v>
      </c>
      <c r="CW111" s="36">
        <v>4</v>
      </c>
      <c r="CX111" s="36">
        <v>3</v>
      </c>
      <c r="CY111" s="36">
        <v>5</v>
      </c>
      <c r="CZ111" s="36">
        <v>4</v>
      </c>
      <c r="DA111" s="36">
        <v>1</v>
      </c>
      <c r="DB111" s="36">
        <v>2</v>
      </c>
      <c r="DC111" s="36">
        <v>2</v>
      </c>
      <c r="DD111" s="36">
        <v>5</v>
      </c>
      <c r="DE111" s="36">
        <v>4</v>
      </c>
      <c r="DF111" s="36">
        <v>4</v>
      </c>
      <c r="DG111" s="36">
        <v>4</v>
      </c>
      <c r="DH111" s="36">
        <v>3</v>
      </c>
      <c r="DI111" s="36" t="s">
        <v>133</v>
      </c>
      <c r="DJ111" s="36" t="s">
        <v>133</v>
      </c>
      <c r="DK111" s="36" t="s">
        <v>254</v>
      </c>
      <c r="DL111" t="s">
        <v>255</v>
      </c>
      <c r="DM111"/>
      <c r="DN111"/>
      <c r="DO111" t="s">
        <v>256</v>
      </c>
      <c r="DP111" t="s">
        <v>257</v>
      </c>
      <c r="DQ111" s="36">
        <v>4</v>
      </c>
      <c r="DR111" s="36" t="s">
        <v>133</v>
      </c>
      <c r="DS111" s="36" t="s">
        <v>259</v>
      </c>
      <c r="DT111"/>
      <c r="DU111"/>
      <c r="DV111"/>
      <c r="DW111"/>
      <c r="DX111"/>
      <c r="DY111" s="36">
        <v>5</v>
      </c>
      <c r="DZ111" s="36" t="s">
        <v>134</v>
      </c>
      <c r="EB111" s="36" t="s">
        <v>263</v>
      </c>
      <c r="EC111" s="36" t="s">
        <v>267</v>
      </c>
      <c r="ED111" s="36">
        <v>29</v>
      </c>
      <c r="EE111" s="36" t="s">
        <v>586</v>
      </c>
      <c r="EF111" s="36" t="str">
        <f>Tabulacao!MC111</f>
        <v>Propriá</v>
      </c>
      <c r="EG111" s="36" t="s">
        <v>292</v>
      </c>
      <c r="EH111" s="36" t="str">
        <f>Tabulacao!MG111</f>
        <v>Aracaju</v>
      </c>
      <c r="EI111" s="36" t="s">
        <v>587</v>
      </c>
      <c r="EJ111" s="36" t="str">
        <f>Tabulacao!MK111</f>
        <v>Curitiba - PR</v>
      </c>
      <c r="EK111" s="36" t="s">
        <v>134</v>
      </c>
      <c r="EL111" s="36" t="s">
        <v>134</v>
      </c>
      <c r="EM111" s="36" t="s">
        <v>134</v>
      </c>
      <c r="EN111" s="36" t="s">
        <v>134</v>
      </c>
      <c r="EO111" s="36" t="s">
        <v>134</v>
      </c>
      <c r="EP111" s="36" t="s">
        <v>134</v>
      </c>
      <c r="EQ111" s="36" t="s">
        <v>275</v>
      </c>
      <c r="ER111" s="36" t="str">
        <f>IF(OR(EQ111=CaractAmostra!$BD$9,EQ111=CaractAmostra!$BD$10,EQ111=CaractAmostra!$BD$11,EQ111=CaractAmostra!$BD$12,EQ111=CaractAmostra!$BD$13),Respostas_Formatadas!EQ111,"Outros")</f>
        <v>Com os pais</v>
      </c>
      <c r="ES111" s="36" t="s">
        <v>278</v>
      </c>
      <c r="ET111" s="36" t="str">
        <f>IF(OR(ES111=CaractAmostra!$BH$9,ES111=CaractAmostra!$BH$10,ES111=CaractAmostra!$BH$11,ES111=CaractAmostra!$BH$12),Respostas_Formatadas!ES111,"Outros")</f>
        <v>Divido residência com outras pessoas</v>
      </c>
      <c r="EU111" s="36" t="s">
        <v>134</v>
      </c>
      <c r="EV111" s="36" t="s">
        <v>285</v>
      </c>
      <c r="EW111" s="36" t="s">
        <v>287</v>
      </c>
      <c r="FA111" s="39"/>
      <c r="FD111" s="36" t="s">
        <v>588</v>
      </c>
      <c r="FE111" s="47">
        <v>2012</v>
      </c>
      <c r="FF111" s="97">
        <v>8.1545000000000005</v>
      </c>
      <c r="FI111" s="47" t="str">
        <f t="shared" si="2"/>
        <v>Aracaju</v>
      </c>
      <c r="FJ111" s="47" t="str">
        <f t="shared" si="3"/>
        <v>Licenciatura</v>
      </c>
    </row>
    <row r="112" spans="1:166" s="36" customFormat="1" ht="15.75" customHeight="1" x14ac:dyDescent="0.2">
      <c r="A112" s="38">
        <v>43411.410119374996</v>
      </c>
      <c r="C112" s="36" t="s">
        <v>124</v>
      </c>
      <c r="D112" s="47" t="s">
        <v>133</v>
      </c>
      <c r="E112" s="36" t="s">
        <v>135</v>
      </c>
      <c r="F112" s="36" t="s">
        <v>136</v>
      </c>
      <c r="H112" s="36" t="s">
        <v>142</v>
      </c>
      <c r="I112" s="36" t="s">
        <v>144</v>
      </c>
      <c r="M112" s="36" t="s">
        <v>146</v>
      </c>
      <c r="N112" s="36" t="s">
        <v>134</v>
      </c>
      <c r="O112" s="36" t="s">
        <v>133</v>
      </c>
      <c r="P112" s="36" t="s">
        <v>134</v>
      </c>
      <c r="Q112" s="36" t="s">
        <v>134</v>
      </c>
      <c r="R112" s="36" t="s">
        <v>153</v>
      </c>
      <c r="S112" s="36" t="s">
        <v>940</v>
      </c>
      <c r="T112" s="36" t="s">
        <v>154</v>
      </c>
      <c r="U112" s="36" t="s">
        <v>157</v>
      </c>
      <c r="V112" s="36">
        <v>4</v>
      </c>
      <c r="W112" s="36">
        <v>3</v>
      </c>
      <c r="X112" s="36">
        <v>3</v>
      </c>
      <c r="Y112" s="36" t="s">
        <v>165</v>
      </c>
      <c r="Z112" s="36" t="s">
        <v>167</v>
      </c>
      <c r="AA112" s="36" t="s">
        <v>173</v>
      </c>
      <c r="AB112" s="36" t="s">
        <v>181</v>
      </c>
      <c r="AD112" s="36" t="s">
        <v>589</v>
      </c>
      <c r="AE112" s="36">
        <v>5</v>
      </c>
      <c r="AF112" s="36" t="s">
        <v>590</v>
      </c>
      <c r="AG112" s="36" t="s">
        <v>189</v>
      </c>
      <c r="AH112" s="36" t="s">
        <v>134</v>
      </c>
      <c r="AI112" s="40">
        <v>1500</v>
      </c>
      <c r="AJ112" s="36">
        <v>5</v>
      </c>
      <c r="AK112" s="36">
        <v>3</v>
      </c>
      <c r="AL112" s="36" t="s">
        <v>134</v>
      </c>
      <c r="AM112" s="36" t="s">
        <v>168</v>
      </c>
      <c r="AN112" s="36">
        <v>4</v>
      </c>
      <c r="AO112" s="36" t="s">
        <v>134</v>
      </c>
      <c r="AQ112" s="40"/>
      <c r="BT112" s="36">
        <v>4</v>
      </c>
      <c r="BU112" s="36">
        <v>3</v>
      </c>
      <c r="BV112" s="36">
        <v>4</v>
      </c>
      <c r="BW112" s="36">
        <v>5</v>
      </c>
      <c r="BX112" s="36">
        <v>4</v>
      </c>
      <c r="BY112" s="36">
        <v>4</v>
      </c>
      <c r="BZ112" s="36">
        <v>5</v>
      </c>
      <c r="CA112" s="36">
        <v>5</v>
      </c>
      <c r="CB112" s="36">
        <v>4</v>
      </c>
      <c r="CC112" s="36">
        <v>5</v>
      </c>
      <c r="CD112" s="36">
        <v>4</v>
      </c>
      <c r="CE112" s="36">
        <v>3</v>
      </c>
      <c r="CF112" s="36">
        <v>2</v>
      </c>
      <c r="CG112" s="36">
        <v>5</v>
      </c>
      <c r="CH112" s="36" t="s">
        <v>229</v>
      </c>
      <c r="CI112"/>
      <c r="CJ112"/>
      <c r="CK112" s="36" t="s">
        <v>232</v>
      </c>
      <c r="CL112"/>
      <c r="CM112"/>
      <c r="CN112" s="36" t="s">
        <v>242</v>
      </c>
      <c r="CO112" s="36" t="s">
        <v>134</v>
      </c>
      <c r="CP112" s="36">
        <v>3</v>
      </c>
      <c r="CQ112" s="36">
        <v>4</v>
      </c>
      <c r="CR112" s="36" t="s">
        <v>248</v>
      </c>
      <c r="CS112" s="36">
        <v>3</v>
      </c>
      <c r="CT112" s="36">
        <v>4</v>
      </c>
      <c r="CU112" s="36">
        <v>2</v>
      </c>
      <c r="CV112" s="36">
        <v>2</v>
      </c>
      <c r="CW112" s="36">
        <v>2</v>
      </c>
      <c r="CX112" s="36">
        <v>5</v>
      </c>
      <c r="CY112" s="36">
        <v>5</v>
      </c>
      <c r="CZ112" s="36">
        <v>5</v>
      </c>
      <c r="DA112" s="36">
        <v>2</v>
      </c>
      <c r="DB112" s="36">
        <v>2</v>
      </c>
      <c r="DC112" s="36">
        <v>5</v>
      </c>
      <c r="DD112" s="36">
        <v>5</v>
      </c>
      <c r="DE112" s="36">
        <v>4</v>
      </c>
      <c r="DF112" s="36">
        <v>4</v>
      </c>
      <c r="DG112" s="36">
        <v>4</v>
      </c>
      <c r="DH112" s="36">
        <v>3</v>
      </c>
      <c r="DI112" s="36" t="s">
        <v>252</v>
      </c>
      <c r="DJ112" s="36" t="s">
        <v>134</v>
      </c>
      <c r="DL112"/>
      <c r="DM112"/>
      <c r="DN112"/>
      <c r="DO112"/>
      <c r="DP112"/>
      <c r="DR112" s="36" t="s">
        <v>134</v>
      </c>
      <c r="DT112"/>
      <c r="DU112"/>
      <c r="DV112"/>
      <c r="DW112"/>
      <c r="DX112"/>
      <c r="DZ112" s="36" t="s">
        <v>134</v>
      </c>
      <c r="EB112" s="36" t="s">
        <v>263</v>
      </c>
      <c r="EC112" s="36" t="s">
        <v>267</v>
      </c>
      <c r="ED112" s="36">
        <v>30</v>
      </c>
      <c r="EE112" s="36" t="s">
        <v>292</v>
      </c>
      <c r="EF112" s="36" t="str">
        <f>Tabulacao!MC112</f>
        <v>Aracaju</v>
      </c>
      <c r="EG112" s="36" t="s">
        <v>292</v>
      </c>
      <c r="EH112" s="36" t="str">
        <f>Tabulacao!MG112</f>
        <v>Aracaju</v>
      </c>
      <c r="EI112" s="36" t="s">
        <v>292</v>
      </c>
      <c r="EJ112" s="36" t="str">
        <f>Tabulacao!MK112</f>
        <v>Aracaju</v>
      </c>
      <c r="EK112" s="36" t="s">
        <v>134</v>
      </c>
      <c r="EL112" s="36" t="s">
        <v>134</v>
      </c>
      <c r="EM112" s="36" t="s">
        <v>134</v>
      </c>
      <c r="EN112" s="36" t="s">
        <v>134</v>
      </c>
      <c r="EO112" s="36" t="s">
        <v>134</v>
      </c>
      <c r="EP112" s="36" t="s">
        <v>134</v>
      </c>
      <c r="EQ112" s="36" t="s">
        <v>275</v>
      </c>
      <c r="ER112" s="36" t="str">
        <f>IF(OR(EQ112=CaractAmostra!$BD$9,EQ112=CaractAmostra!$BD$10,EQ112=CaractAmostra!$BD$11,EQ112=CaractAmostra!$BD$12,EQ112=CaractAmostra!$BD$13),Respostas_Formatadas!EQ112,"Outros")</f>
        <v>Com os pais</v>
      </c>
      <c r="ES112" s="36" t="s">
        <v>275</v>
      </c>
      <c r="ET112" s="36" t="str">
        <f>IF(OR(ES112=CaractAmostra!$BH$9,ES112=CaractAmostra!$BH$10,ES112=CaractAmostra!$BH$11,ES112=CaractAmostra!$BH$12),Respostas_Formatadas!ES112,"Outros")</f>
        <v>Com os pais</v>
      </c>
      <c r="EU112" s="36" t="s">
        <v>134</v>
      </c>
      <c r="EV112" s="36" t="s">
        <v>286</v>
      </c>
      <c r="EW112" s="36" t="s">
        <v>288</v>
      </c>
      <c r="FE112" s="115" t="s">
        <v>1247</v>
      </c>
      <c r="FF112" s="97" t="s">
        <v>933</v>
      </c>
      <c r="FI112" s="47" t="str">
        <f t="shared" si="2"/>
        <v>Aracaju</v>
      </c>
      <c r="FJ112" s="47" t="str">
        <f t="shared" si="3"/>
        <v>Tecnologia</v>
      </c>
    </row>
    <row r="113" spans="1:166" s="36" customFormat="1" ht="15.75" customHeight="1" x14ac:dyDescent="0.2">
      <c r="A113" s="38">
        <v>43411.468562893519</v>
      </c>
      <c r="C113" s="36" t="s">
        <v>119</v>
      </c>
      <c r="D113" s="47" t="s">
        <v>134</v>
      </c>
      <c r="M113" s="36" t="s">
        <v>148</v>
      </c>
      <c r="N113" s="36" t="s">
        <v>133</v>
      </c>
      <c r="O113" s="36" t="s">
        <v>133</v>
      </c>
      <c r="P113" s="36" t="s">
        <v>133</v>
      </c>
      <c r="Q113" s="36" t="s">
        <v>134</v>
      </c>
      <c r="R113" s="36" t="s">
        <v>151</v>
      </c>
      <c r="Y113" s="36" t="s">
        <v>134</v>
      </c>
      <c r="AI113" s="40"/>
      <c r="AQ113" s="40"/>
      <c r="BT113" s="36">
        <v>5</v>
      </c>
      <c r="BU113" s="36">
        <v>5</v>
      </c>
      <c r="BV113" s="36">
        <v>5</v>
      </c>
      <c r="BW113" s="36">
        <v>4</v>
      </c>
      <c r="BX113" s="36">
        <v>5</v>
      </c>
      <c r="BY113" s="36">
        <v>5</v>
      </c>
      <c r="BZ113" s="36">
        <v>5</v>
      </c>
      <c r="CA113" s="36">
        <v>5</v>
      </c>
      <c r="CB113" s="36">
        <v>5</v>
      </c>
      <c r="CC113" s="36">
        <v>4</v>
      </c>
      <c r="CD113" s="36">
        <v>5</v>
      </c>
      <c r="CE113" s="36">
        <v>5</v>
      </c>
      <c r="CF113" s="36">
        <v>1</v>
      </c>
      <c r="CG113" s="36">
        <v>1</v>
      </c>
      <c r="CH113" s="36" t="s">
        <v>222</v>
      </c>
      <c r="CI113" t="s">
        <v>225</v>
      </c>
      <c r="CJ113" t="s">
        <v>226</v>
      </c>
      <c r="CK113" s="36" t="s">
        <v>239</v>
      </c>
      <c r="CL113" t="s">
        <v>240</v>
      </c>
      <c r="CM113"/>
      <c r="CN113" s="36" t="s">
        <v>242</v>
      </c>
      <c r="CO113" s="36" t="s">
        <v>134</v>
      </c>
      <c r="CP113" s="36">
        <v>2</v>
      </c>
      <c r="CQ113" s="36">
        <v>5</v>
      </c>
      <c r="CR113" s="36" t="s">
        <v>248</v>
      </c>
      <c r="CS113" s="36">
        <v>2</v>
      </c>
      <c r="CT113" s="36">
        <v>3</v>
      </c>
      <c r="CU113" s="36">
        <v>5</v>
      </c>
      <c r="CV113" s="36">
        <v>5</v>
      </c>
      <c r="CW113" s="36">
        <v>4</v>
      </c>
      <c r="CX113" s="36">
        <v>5</v>
      </c>
      <c r="CY113" s="36">
        <v>5</v>
      </c>
      <c r="CZ113" s="36">
        <v>4</v>
      </c>
      <c r="DA113" s="36">
        <v>3</v>
      </c>
      <c r="DB113" s="36">
        <v>5</v>
      </c>
      <c r="DC113" s="36">
        <v>3</v>
      </c>
      <c r="DD113" s="36">
        <v>2</v>
      </c>
      <c r="DE113" s="36">
        <v>1</v>
      </c>
      <c r="DF113" s="36">
        <v>1</v>
      </c>
      <c r="DG113" s="36">
        <v>2</v>
      </c>
      <c r="DH113" s="36">
        <v>1</v>
      </c>
      <c r="DI113" s="36" t="s">
        <v>252</v>
      </c>
      <c r="DJ113" s="36" t="s">
        <v>133</v>
      </c>
      <c r="DK113" s="36" t="s">
        <v>254</v>
      </c>
      <c r="DL113" t="s">
        <v>255</v>
      </c>
      <c r="DM113"/>
      <c r="DN113"/>
      <c r="DO113" t="s">
        <v>256</v>
      </c>
      <c r="DP113" t="s">
        <v>257</v>
      </c>
      <c r="DQ113" s="36">
        <v>1</v>
      </c>
      <c r="DR113" s="36" t="s">
        <v>134</v>
      </c>
      <c r="DT113"/>
      <c r="DU113"/>
      <c r="DV113"/>
      <c r="DW113"/>
      <c r="DX113"/>
      <c r="DZ113" s="36" t="s">
        <v>134</v>
      </c>
      <c r="EB113" s="36" t="s">
        <v>262</v>
      </c>
      <c r="EC113" s="36" t="s">
        <v>267</v>
      </c>
      <c r="ED113" s="36">
        <v>28</v>
      </c>
      <c r="EE113" s="36" t="s">
        <v>292</v>
      </c>
      <c r="EF113" s="36" t="str">
        <f>Tabulacao!MC113</f>
        <v>Aracaju</v>
      </c>
      <c r="EG113" s="36" t="s">
        <v>292</v>
      </c>
      <c r="EH113" s="36" t="str">
        <f>Tabulacao!MG113</f>
        <v>Aracaju</v>
      </c>
      <c r="EI113" s="36" t="s">
        <v>292</v>
      </c>
      <c r="EJ113" s="36" t="str">
        <f>Tabulacao!MK113</f>
        <v>Aracaju</v>
      </c>
      <c r="EK113" s="36" t="s">
        <v>134</v>
      </c>
      <c r="EL113" s="36" t="s">
        <v>134</v>
      </c>
      <c r="EM113" s="36" t="s">
        <v>134</v>
      </c>
      <c r="EN113" s="36" t="s">
        <v>134</v>
      </c>
      <c r="EO113" s="36" t="s">
        <v>134</v>
      </c>
      <c r="EP113" s="36" t="s">
        <v>134</v>
      </c>
      <c r="EQ113" s="36" t="s">
        <v>275</v>
      </c>
      <c r="ER113" s="36" t="str">
        <f>IF(OR(EQ113=CaractAmostra!$BD$9,EQ113=CaractAmostra!$BD$10,EQ113=CaractAmostra!$BD$11,EQ113=CaractAmostra!$BD$12,EQ113=CaractAmostra!$BD$13),Respostas_Formatadas!EQ113,"Outros")</f>
        <v>Com os pais</v>
      </c>
      <c r="ES113" s="36" t="s">
        <v>275</v>
      </c>
      <c r="ET113" s="36" t="str">
        <f>IF(OR(ES113=CaractAmostra!$BH$9,ES113=CaractAmostra!$BH$10,ES113=CaractAmostra!$BH$11,ES113=CaractAmostra!$BH$12),Respostas_Formatadas!ES113,"Outros")</f>
        <v>Com os pais</v>
      </c>
      <c r="EU113" s="36" t="s">
        <v>134</v>
      </c>
      <c r="EV113" s="36" t="s">
        <v>282</v>
      </c>
      <c r="EW113" s="36" t="s">
        <v>282</v>
      </c>
      <c r="FA113" s="39"/>
      <c r="FE113" s="47">
        <v>2015</v>
      </c>
      <c r="FF113" s="97">
        <v>7.8987999999999996</v>
      </c>
      <c r="FI113" s="47" t="str">
        <f t="shared" si="2"/>
        <v>Aracaju</v>
      </c>
      <c r="FJ113" s="47" t="str">
        <f t="shared" si="3"/>
        <v>Bacharelado</v>
      </c>
    </row>
    <row r="114" spans="1:166" s="36" customFormat="1" ht="15.75" customHeight="1" x14ac:dyDescent="0.2">
      <c r="A114" s="38">
        <v>43411.486447870368</v>
      </c>
      <c r="C114" s="36" t="s">
        <v>120</v>
      </c>
      <c r="D114" s="47" t="s">
        <v>134</v>
      </c>
      <c r="M114" s="36" t="s">
        <v>146</v>
      </c>
      <c r="N114" s="36" t="s">
        <v>133</v>
      </c>
      <c r="O114" s="36" t="s">
        <v>133</v>
      </c>
      <c r="P114" s="36" t="s">
        <v>133</v>
      </c>
      <c r="Q114" s="36" t="s">
        <v>134</v>
      </c>
      <c r="R114" s="36" t="s">
        <v>151</v>
      </c>
      <c r="Y114" s="36" t="s">
        <v>165</v>
      </c>
      <c r="Z114" s="36" t="s">
        <v>167</v>
      </c>
      <c r="AA114" s="36" t="s">
        <v>174</v>
      </c>
      <c r="AB114" s="36" t="s">
        <v>183</v>
      </c>
      <c r="AD114" s="36" t="s">
        <v>563</v>
      </c>
      <c r="AE114" s="36">
        <v>5</v>
      </c>
      <c r="AF114" s="36" t="s">
        <v>188</v>
      </c>
      <c r="AG114" s="36" t="s">
        <v>188</v>
      </c>
      <c r="AH114" s="36" t="s">
        <v>134</v>
      </c>
      <c r="AI114" s="40">
        <v>1800</v>
      </c>
      <c r="AJ114" s="36">
        <v>5</v>
      </c>
      <c r="AK114" s="36">
        <v>5</v>
      </c>
      <c r="AL114" s="36" t="s">
        <v>133</v>
      </c>
      <c r="AP114" s="36" t="s">
        <v>591</v>
      </c>
      <c r="AQ114" s="40">
        <v>4000</v>
      </c>
      <c r="AR114" s="36">
        <v>3</v>
      </c>
      <c r="AS114" s="36">
        <v>5</v>
      </c>
      <c r="AT114" s="36">
        <v>5</v>
      </c>
      <c r="AU114" s="36">
        <v>4</v>
      </c>
      <c r="AV114" s="36">
        <v>4</v>
      </c>
      <c r="AW114" s="36" t="s">
        <v>192</v>
      </c>
      <c r="AX114" s="36" t="s">
        <v>204</v>
      </c>
      <c r="AY114" s="36" t="s">
        <v>592</v>
      </c>
      <c r="AZ114" s="36" t="s">
        <v>133</v>
      </c>
      <c r="BA114" s="36" t="s">
        <v>170</v>
      </c>
      <c r="BB114" s="36" t="s">
        <v>593</v>
      </c>
      <c r="BC114" s="36" t="s">
        <v>291</v>
      </c>
      <c r="BD114" s="36" t="s">
        <v>188</v>
      </c>
      <c r="BF114" s="36" t="s">
        <v>219</v>
      </c>
      <c r="BG114" s="36">
        <v>5</v>
      </c>
      <c r="BH114" s="36">
        <v>3</v>
      </c>
      <c r="BI114" s="36">
        <v>5</v>
      </c>
      <c r="BJ114" s="36">
        <v>5</v>
      </c>
      <c r="BK114" s="36">
        <v>5</v>
      </c>
      <c r="BL114" s="36">
        <v>5</v>
      </c>
      <c r="BM114" s="36">
        <v>5</v>
      </c>
      <c r="BN114" s="36">
        <v>5</v>
      </c>
      <c r="BO114" s="36">
        <v>5</v>
      </c>
      <c r="BP114" s="36">
        <v>5</v>
      </c>
      <c r="BQ114" s="36">
        <v>5</v>
      </c>
      <c r="BR114" s="36">
        <v>2</v>
      </c>
      <c r="BS114" s="36">
        <v>4</v>
      </c>
      <c r="BT114" s="36">
        <v>5</v>
      </c>
      <c r="BU114" s="36">
        <v>5</v>
      </c>
      <c r="BV114" s="36">
        <v>5</v>
      </c>
      <c r="BW114" s="36">
        <v>5</v>
      </c>
      <c r="BX114" s="36">
        <v>5</v>
      </c>
      <c r="BY114" s="36">
        <v>5</v>
      </c>
      <c r="BZ114" s="36">
        <v>5</v>
      </c>
      <c r="CA114" s="36">
        <v>5</v>
      </c>
      <c r="CB114" s="36">
        <v>5</v>
      </c>
      <c r="CC114" s="36">
        <v>5</v>
      </c>
      <c r="CD114" s="36">
        <v>5</v>
      </c>
      <c r="CE114" s="36">
        <v>5</v>
      </c>
      <c r="CF114" s="36">
        <v>5</v>
      </c>
      <c r="CG114" s="36">
        <v>5</v>
      </c>
      <c r="CH114" s="36" t="s">
        <v>224</v>
      </c>
      <c r="CI114"/>
      <c r="CJ114"/>
      <c r="CK114" s="36" t="s">
        <v>232</v>
      </c>
      <c r="CL114"/>
      <c r="CM114"/>
      <c r="CN114" s="36" t="s">
        <v>242</v>
      </c>
      <c r="CO114" s="36" t="s">
        <v>134</v>
      </c>
      <c r="CP114" s="36">
        <v>4</v>
      </c>
      <c r="CQ114" s="36">
        <v>4</v>
      </c>
      <c r="CR114" s="36" t="s">
        <v>249</v>
      </c>
      <c r="CS114" s="36">
        <v>2</v>
      </c>
      <c r="CT114" s="36">
        <v>2</v>
      </c>
      <c r="CU114" s="36">
        <v>2</v>
      </c>
      <c r="CV114" s="36">
        <v>2</v>
      </c>
      <c r="CW114" s="36">
        <v>4</v>
      </c>
      <c r="CX114" s="36">
        <v>2</v>
      </c>
      <c r="CY114" s="36">
        <v>2</v>
      </c>
      <c r="CZ114" s="36">
        <v>3</v>
      </c>
      <c r="DA114" s="36">
        <v>4</v>
      </c>
      <c r="DB114" s="36">
        <v>2</v>
      </c>
      <c r="DC114" s="36">
        <v>3</v>
      </c>
      <c r="DD114" s="36">
        <v>5</v>
      </c>
      <c r="DE114" s="36">
        <v>5</v>
      </c>
      <c r="DF114" s="36">
        <v>5</v>
      </c>
      <c r="DG114" s="36">
        <v>5</v>
      </c>
      <c r="DH114" s="36">
        <v>5</v>
      </c>
      <c r="DI114" s="36" t="s">
        <v>133</v>
      </c>
      <c r="DJ114" s="36" t="s">
        <v>133</v>
      </c>
      <c r="DK114" s="36" t="s">
        <v>254</v>
      </c>
      <c r="DL114"/>
      <c r="DM114"/>
      <c r="DN114"/>
      <c r="DO114"/>
      <c r="DP114"/>
      <c r="DQ114" s="36">
        <v>5</v>
      </c>
      <c r="DR114" s="36" t="s">
        <v>134</v>
      </c>
      <c r="DT114"/>
      <c r="DU114"/>
      <c r="DV114"/>
      <c r="DW114"/>
      <c r="DX114"/>
      <c r="DZ114" s="36" t="s">
        <v>134</v>
      </c>
      <c r="EB114" s="36" t="s">
        <v>262</v>
      </c>
      <c r="EC114" s="36" t="s">
        <v>264</v>
      </c>
      <c r="ED114" s="36">
        <v>30</v>
      </c>
      <c r="EE114" s="36" t="s">
        <v>594</v>
      </c>
      <c r="EF114" s="36" t="str">
        <f>Tabulacao!MC114</f>
        <v>Simão Dias</v>
      </c>
      <c r="EG114" s="36" t="s">
        <v>594</v>
      </c>
      <c r="EH114" s="36" t="str">
        <f>Tabulacao!MG114</f>
        <v>Simão Dias</v>
      </c>
      <c r="EI114" s="36" t="s">
        <v>595</v>
      </c>
      <c r="EJ114" s="36" t="str">
        <f>Tabulacao!MK114</f>
        <v>Lagarto</v>
      </c>
      <c r="EK114" s="36" t="s">
        <v>134</v>
      </c>
      <c r="EL114" s="36" t="s">
        <v>134</v>
      </c>
      <c r="EM114" s="36" t="s">
        <v>134</v>
      </c>
      <c r="EN114" s="36" t="s">
        <v>134</v>
      </c>
      <c r="EO114" s="36" t="s">
        <v>134</v>
      </c>
      <c r="EP114" s="36" t="s">
        <v>134</v>
      </c>
      <c r="EQ114" s="36" t="s">
        <v>275</v>
      </c>
      <c r="ER114" s="36" t="str">
        <f>IF(OR(EQ114=CaractAmostra!$BD$9,EQ114=CaractAmostra!$BD$10,EQ114=CaractAmostra!$BD$11,EQ114=CaractAmostra!$BD$12,EQ114=CaractAmostra!$BD$13),Respostas_Formatadas!EQ114,"Outros")</f>
        <v>Com os pais</v>
      </c>
      <c r="ES114" s="36" t="s">
        <v>275</v>
      </c>
      <c r="ET114" s="36" t="str">
        <f>IF(OR(ES114=CaractAmostra!$BH$9,ES114=CaractAmostra!$BH$10,ES114=CaractAmostra!$BH$11,ES114=CaractAmostra!$BH$12),Respostas_Formatadas!ES114,"Outros")</f>
        <v>Com os pais</v>
      </c>
      <c r="EU114" s="36" t="s">
        <v>134</v>
      </c>
      <c r="EV114" s="36" t="s">
        <v>283</v>
      </c>
      <c r="EW114" s="36" t="s">
        <v>285</v>
      </c>
      <c r="FE114" s="47">
        <v>2016</v>
      </c>
      <c r="FF114" s="97">
        <v>7.7478999999999996</v>
      </c>
      <c r="FI114" s="47" t="str">
        <f t="shared" si="2"/>
        <v>Lagarto</v>
      </c>
      <c r="FJ114" s="47" t="str">
        <f t="shared" si="3"/>
        <v>Bacharelado</v>
      </c>
    </row>
    <row r="115" spans="1:166" s="36" customFormat="1" ht="15.75" customHeight="1" x14ac:dyDescent="0.2">
      <c r="A115" s="38">
        <v>43411.565122581014</v>
      </c>
      <c r="C115" s="36" t="s">
        <v>126</v>
      </c>
      <c r="D115" s="47" t="s">
        <v>134</v>
      </c>
      <c r="M115" s="36" t="s">
        <v>148</v>
      </c>
      <c r="N115" s="36" t="s">
        <v>134</v>
      </c>
      <c r="O115" s="36" t="s">
        <v>134</v>
      </c>
      <c r="P115" s="36" t="s">
        <v>133</v>
      </c>
      <c r="Q115" s="36" t="s">
        <v>133</v>
      </c>
      <c r="R115" s="36" t="s">
        <v>151</v>
      </c>
      <c r="Y115" s="36" t="s">
        <v>134</v>
      </c>
      <c r="AI115" s="40"/>
      <c r="AQ115" s="40"/>
      <c r="BT115" s="36">
        <v>1</v>
      </c>
      <c r="BU115" s="36">
        <v>3</v>
      </c>
      <c r="BV115" s="36">
        <v>3</v>
      </c>
      <c r="BW115" s="36">
        <v>3</v>
      </c>
      <c r="BX115" s="36">
        <v>3</v>
      </c>
      <c r="BY115" s="36">
        <v>4</v>
      </c>
      <c r="BZ115" s="36">
        <v>4</v>
      </c>
      <c r="CA115" s="36">
        <v>3</v>
      </c>
      <c r="CB115" s="36">
        <v>4</v>
      </c>
      <c r="CC115" s="36">
        <v>4</v>
      </c>
      <c r="CD115" s="36">
        <v>3</v>
      </c>
      <c r="CE115" s="36">
        <v>4</v>
      </c>
      <c r="CF115" s="36">
        <v>1</v>
      </c>
      <c r="CG115" s="36">
        <v>1</v>
      </c>
      <c r="CH115" s="36" t="s">
        <v>222</v>
      </c>
      <c r="CI115" t="s">
        <v>224</v>
      </c>
      <c r="CJ115" t="s">
        <v>226</v>
      </c>
      <c r="CK115" s="36" t="s">
        <v>596</v>
      </c>
      <c r="CL115"/>
      <c r="CM115"/>
      <c r="CN115" s="36" t="s">
        <v>242</v>
      </c>
      <c r="CO115" s="36" t="s">
        <v>134</v>
      </c>
      <c r="CP115" s="36">
        <v>5</v>
      </c>
      <c r="CQ115" s="36">
        <v>5</v>
      </c>
      <c r="CR115" s="36" t="s">
        <v>248</v>
      </c>
      <c r="CS115" s="36">
        <v>2</v>
      </c>
      <c r="CT115" s="36">
        <v>2</v>
      </c>
      <c r="CU115" s="36">
        <v>4</v>
      </c>
      <c r="CV115" s="36">
        <v>1</v>
      </c>
      <c r="CW115" s="36">
        <v>2</v>
      </c>
      <c r="CX115" s="36">
        <v>3</v>
      </c>
      <c r="CY115" s="36">
        <v>3</v>
      </c>
      <c r="CZ115" s="36">
        <v>4</v>
      </c>
      <c r="DA115" s="36">
        <v>1</v>
      </c>
      <c r="DB115" s="36">
        <v>3</v>
      </c>
      <c r="DC115" s="36">
        <v>4</v>
      </c>
      <c r="DD115" s="36">
        <v>2</v>
      </c>
      <c r="DE115" s="36">
        <v>2</v>
      </c>
      <c r="DF115" s="36">
        <v>2</v>
      </c>
      <c r="DG115" s="36">
        <v>3</v>
      </c>
      <c r="DH115" s="36">
        <v>2</v>
      </c>
      <c r="DI115" s="36" t="s">
        <v>252</v>
      </c>
      <c r="DJ115" s="36" t="s">
        <v>133</v>
      </c>
      <c r="DK115" s="36" t="s">
        <v>255</v>
      </c>
      <c r="DL115"/>
      <c r="DM115"/>
      <c r="DN115" t="s">
        <v>257</v>
      </c>
      <c r="DO115"/>
      <c r="DP115"/>
      <c r="DQ115" s="36">
        <v>1</v>
      </c>
      <c r="DR115" s="36" t="s">
        <v>134</v>
      </c>
      <c r="DT115"/>
      <c r="DU115"/>
      <c r="DV115"/>
      <c r="DW115"/>
      <c r="DX115"/>
      <c r="DZ115" s="36" t="s">
        <v>133</v>
      </c>
      <c r="EA115" s="36">
        <v>5</v>
      </c>
      <c r="EB115" s="36" t="s">
        <v>263</v>
      </c>
      <c r="EC115" s="36" t="s">
        <v>267</v>
      </c>
      <c r="ED115" s="36">
        <v>36</v>
      </c>
      <c r="EE115" s="36" t="s">
        <v>292</v>
      </c>
      <c r="EF115" s="36" t="str">
        <f>Tabulacao!MC115</f>
        <v>Aracaju</v>
      </c>
      <c r="EG115" s="36" t="s">
        <v>292</v>
      </c>
      <c r="EH115" s="36" t="str">
        <f>Tabulacao!MG115</f>
        <v>Aracaju</v>
      </c>
      <c r="EI115" s="36" t="s">
        <v>292</v>
      </c>
      <c r="EJ115" s="36" t="str">
        <f>Tabulacao!MK115</f>
        <v>Aracaju</v>
      </c>
      <c r="EK115" s="36" t="s">
        <v>134</v>
      </c>
      <c r="EL115" s="36" t="s">
        <v>134</v>
      </c>
      <c r="EM115" s="36" t="s">
        <v>134</v>
      </c>
      <c r="EN115" s="36" t="s">
        <v>134</v>
      </c>
      <c r="EO115" s="36" t="s">
        <v>134</v>
      </c>
      <c r="EP115" s="36" t="s">
        <v>134</v>
      </c>
      <c r="EQ115" s="36" t="s">
        <v>275</v>
      </c>
      <c r="ER115" s="36" t="str">
        <f>IF(OR(EQ115=CaractAmostra!$BD$9,EQ115=CaractAmostra!$BD$10,EQ115=CaractAmostra!$BD$11,EQ115=CaractAmostra!$BD$12,EQ115=CaractAmostra!$BD$13),Respostas_Formatadas!EQ115,"Outros")</f>
        <v>Com os pais</v>
      </c>
      <c r="ES115" s="36" t="s">
        <v>275</v>
      </c>
      <c r="ET115" s="36" t="str">
        <f>IF(OR(ES115=CaractAmostra!$BH$9,ES115=CaractAmostra!$BH$10,ES115=CaractAmostra!$BH$11,ES115=CaractAmostra!$BH$12),Respostas_Formatadas!ES115,"Outros")</f>
        <v>Com os pais</v>
      </c>
      <c r="EU115" s="36" t="s">
        <v>134</v>
      </c>
      <c r="EV115" s="36" t="s">
        <v>282</v>
      </c>
      <c r="EW115" s="36" t="s">
        <v>282</v>
      </c>
      <c r="FD115" s="36" t="s">
        <v>597</v>
      </c>
      <c r="FE115" s="47">
        <v>2015</v>
      </c>
      <c r="FF115" s="97">
        <v>7.1646999999999998</v>
      </c>
      <c r="FI115" s="47" t="str">
        <f t="shared" si="2"/>
        <v>Lagarto</v>
      </c>
      <c r="FJ115" s="47" t="str">
        <f t="shared" si="3"/>
        <v>Tecnologia</v>
      </c>
    </row>
    <row r="116" spans="1:166" s="36" customFormat="1" ht="15.75" customHeight="1" x14ac:dyDescent="0.2">
      <c r="A116" s="38">
        <v>43411.682097777782</v>
      </c>
      <c r="C116" s="36" t="s">
        <v>124</v>
      </c>
      <c r="D116" s="47" t="s">
        <v>134</v>
      </c>
      <c r="M116" s="36" t="s">
        <v>146</v>
      </c>
      <c r="N116" s="36" t="s">
        <v>134</v>
      </c>
      <c r="O116" s="36" t="s">
        <v>133</v>
      </c>
      <c r="P116" s="36" t="s">
        <v>134</v>
      </c>
      <c r="Q116" s="36" t="s">
        <v>134</v>
      </c>
      <c r="R116" s="36" t="s">
        <v>153</v>
      </c>
      <c r="S116" s="36" t="s">
        <v>598</v>
      </c>
      <c r="T116" s="36" t="s">
        <v>154</v>
      </c>
      <c r="U116" s="36" t="s">
        <v>159</v>
      </c>
      <c r="V116" s="36">
        <v>5</v>
      </c>
      <c r="W116" s="36">
        <v>3</v>
      </c>
      <c r="X116" s="36">
        <v>4</v>
      </c>
      <c r="Y116" s="36" t="s">
        <v>134</v>
      </c>
      <c r="AI116" s="40"/>
      <c r="AQ116" s="40"/>
      <c r="BT116" s="36">
        <v>2</v>
      </c>
      <c r="BU116" s="36">
        <v>4</v>
      </c>
      <c r="BV116" s="36">
        <v>3</v>
      </c>
      <c r="BW116" s="36">
        <v>1</v>
      </c>
      <c r="BX116" s="36">
        <v>3</v>
      </c>
      <c r="BY116" s="36">
        <v>4</v>
      </c>
      <c r="BZ116" s="36">
        <v>4</v>
      </c>
      <c r="CA116" s="36">
        <v>4</v>
      </c>
      <c r="CB116" s="36">
        <v>3</v>
      </c>
      <c r="CC116" s="36">
        <v>4</v>
      </c>
      <c r="CD116" s="36">
        <v>4</v>
      </c>
      <c r="CE116" s="36">
        <v>4</v>
      </c>
      <c r="CF116" s="36">
        <v>4</v>
      </c>
      <c r="CG116" s="36">
        <v>1</v>
      </c>
      <c r="CH116" s="36" t="s">
        <v>222</v>
      </c>
      <c r="CI116" t="s">
        <v>226</v>
      </c>
      <c r="CJ116" t="s">
        <v>230</v>
      </c>
      <c r="CK116" s="36" t="s">
        <v>236</v>
      </c>
      <c r="CL116" t="s">
        <v>238</v>
      </c>
      <c r="CM116"/>
      <c r="CN116" s="36" t="s">
        <v>242</v>
      </c>
      <c r="CO116" s="36" t="s">
        <v>134</v>
      </c>
      <c r="CP116" s="36">
        <v>3</v>
      </c>
      <c r="CQ116" s="36">
        <v>3</v>
      </c>
      <c r="CR116" s="36" t="s">
        <v>248</v>
      </c>
      <c r="CS116" s="36">
        <v>1</v>
      </c>
      <c r="CT116" s="36">
        <v>1</v>
      </c>
      <c r="CU116" s="36">
        <v>3</v>
      </c>
      <c r="CV116" s="36">
        <v>2</v>
      </c>
      <c r="CW116" s="36">
        <v>2</v>
      </c>
      <c r="CX116" s="36">
        <v>5</v>
      </c>
      <c r="CY116" s="36">
        <v>4</v>
      </c>
      <c r="CZ116" s="36">
        <v>3</v>
      </c>
      <c r="DA116" s="36">
        <v>2</v>
      </c>
      <c r="DB116" s="36">
        <v>4</v>
      </c>
      <c r="DC116" s="36">
        <v>3</v>
      </c>
      <c r="DD116" s="36">
        <v>2</v>
      </c>
      <c r="DE116" s="36">
        <v>1</v>
      </c>
      <c r="DF116" s="36">
        <v>3</v>
      </c>
      <c r="DG116" s="36">
        <v>4</v>
      </c>
      <c r="DH116" s="36">
        <v>1</v>
      </c>
      <c r="DI116" s="36" t="s">
        <v>252</v>
      </c>
      <c r="DJ116" s="36" t="s">
        <v>133</v>
      </c>
      <c r="DK116" s="36" t="s">
        <v>255</v>
      </c>
      <c r="DL116"/>
      <c r="DM116"/>
      <c r="DN116"/>
      <c r="DO116"/>
      <c r="DP116"/>
      <c r="DQ116" s="36">
        <v>5</v>
      </c>
      <c r="DR116" s="36" t="s">
        <v>134</v>
      </c>
      <c r="DT116"/>
      <c r="DU116"/>
      <c r="DV116"/>
      <c r="DW116"/>
      <c r="DX116"/>
      <c r="DZ116" s="36" t="s">
        <v>134</v>
      </c>
      <c r="EB116" s="36" t="s">
        <v>263</v>
      </c>
      <c r="EC116" s="36" t="s">
        <v>265</v>
      </c>
      <c r="ED116" s="36">
        <v>22</v>
      </c>
      <c r="EE116" s="36" t="s">
        <v>292</v>
      </c>
      <c r="EF116" s="36" t="str">
        <f>Tabulacao!MC116</f>
        <v>Aracaju</v>
      </c>
      <c r="EG116" s="36" t="s">
        <v>292</v>
      </c>
      <c r="EH116" s="36" t="str">
        <f>Tabulacao!MG116</f>
        <v>Aracaju</v>
      </c>
      <c r="EI116" s="36" t="s">
        <v>292</v>
      </c>
      <c r="EJ116" s="36" t="str">
        <f>Tabulacao!MK116</f>
        <v>Aracaju</v>
      </c>
      <c r="EK116" s="36" t="s">
        <v>270</v>
      </c>
      <c r="EL116" s="36" t="s">
        <v>134</v>
      </c>
      <c r="EM116" s="36" t="s">
        <v>134</v>
      </c>
      <c r="EN116" s="36" t="s">
        <v>270</v>
      </c>
      <c r="EO116" s="36" t="s">
        <v>134</v>
      </c>
      <c r="EP116" s="36" t="s">
        <v>134</v>
      </c>
      <c r="EQ116" s="36" t="s">
        <v>275</v>
      </c>
      <c r="ER116" s="36" t="str">
        <f>IF(OR(EQ116=CaractAmostra!$BD$9,EQ116=CaractAmostra!$BD$10,EQ116=CaractAmostra!$BD$11,EQ116=CaractAmostra!$BD$12,EQ116=CaractAmostra!$BD$13),Respostas_Formatadas!EQ116,"Outros")</f>
        <v>Com os pais</v>
      </c>
      <c r="ES116" s="36" t="s">
        <v>275</v>
      </c>
      <c r="ET116" s="36" t="str">
        <f>IF(OR(ES116=CaractAmostra!$BH$9,ES116=CaractAmostra!$BH$10,ES116=CaractAmostra!$BH$11,ES116=CaractAmostra!$BH$12),Respostas_Formatadas!ES116,"Outros")</f>
        <v>Com os pais</v>
      </c>
      <c r="EU116" s="36" t="s">
        <v>134</v>
      </c>
      <c r="EV116" s="36" t="s">
        <v>287</v>
      </c>
      <c r="EW116" s="36" t="s">
        <v>288</v>
      </c>
      <c r="FE116" s="47">
        <v>2016</v>
      </c>
      <c r="FF116" s="97">
        <v>7.1604999999999999</v>
      </c>
      <c r="FI116" s="47" t="str">
        <f t="shared" si="2"/>
        <v>Aracaju</v>
      </c>
      <c r="FJ116" s="47" t="str">
        <f t="shared" si="3"/>
        <v>Tecnologia</v>
      </c>
    </row>
    <row r="117" spans="1:166" s="36" customFormat="1" ht="15.75" customHeight="1" x14ac:dyDescent="0.2">
      <c r="A117" s="38">
        <v>43412.447461759264</v>
      </c>
      <c r="C117" s="36" t="s">
        <v>120</v>
      </c>
      <c r="D117" s="47" t="s">
        <v>134</v>
      </c>
      <c r="M117" s="36" t="s">
        <v>146</v>
      </c>
      <c r="N117" s="36" t="s">
        <v>133</v>
      </c>
      <c r="O117" s="36" t="s">
        <v>133</v>
      </c>
      <c r="P117" s="36" t="s">
        <v>134</v>
      </c>
      <c r="Q117" s="36" t="s">
        <v>134</v>
      </c>
      <c r="R117" s="36" t="s">
        <v>151</v>
      </c>
      <c r="Y117" s="36" t="s">
        <v>166</v>
      </c>
      <c r="AC117" s="36" t="s">
        <v>177</v>
      </c>
      <c r="AD117" s="36" t="s">
        <v>599</v>
      </c>
      <c r="AE117" s="36">
        <v>4</v>
      </c>
      <c r="AF117" s="36" t="s">
        <v>188</v>
      </c>
      <c r="AG117" s="36" t="s">
        <v>188</v>
      </c>
      <c r="AH117" s="36" t="s">
        <v>134</v>
      </c>
      <c r="AI117" s="40">
        <v>1900</v>
      </c>
      <c r="AJ117" s="36">
        <v>4</v>
      </c>
      <c r="AK117" s="36">
        <v>4</v>
      </c>
      <c r="AL117" s="36" t="s">
        <v>134</v>
      </c>
      <c r="AM117" s="36" t="s">
        <v>170</v>
      </c>
      <c r="AN117" s="36">
        <v>2</v>
      </c>
      <c r="AO117" s="36" t="s">
        <v>133</v>
      </c>
      <c r="AP117" s="36" t="s">
        <v>600</v>
      </c>
      <c r="AQ117" s="40">
        <v>2490</v>
      </c>
      <c r="AR117" s="36">
        <v>5</v>
      </c>
      <c r="AS117" s="36">
        <v>3</v>
      </c>
      <c r="AT117" s="36">
        <v>3</v>
      </c>
      <c r="AU117" s="36">
        <v>5</v>
      </c>
      <c r="AV117" s="36">
        <v>4</v>
      </c>
      <c r="AW117" s="36" t="s">
        <v>601</v>
      </c>
      <c r="AX117" s="36" t="s">
        <v>206</v>
      </c>
      <c r="AY117" s="36" t="s">
        <v>210</v>
      </c>
      <c r="AZ117" s="36" t="s">
        <v>133</v>
      </c>
      <c r="BA117" s="36" t="s">
        <v>213</v>
      </c>
      <c r="BB117" s="36" t="s">
        <v>478</v>
      </c>
      <c r="BC117" s="36" t="s">
        <v>291</v>
      </c>
      <c r="BD117" s="36" t="s">
        <v>190</v>
      </c>
      <c r="BG117" s="36">
        <v>3</v>
      </c>
      <c r="BH117" s="36">
        <v>2</v>
      </c>
      <c r="BI117" s="36">
        <v>3</v>
      </c>
      <c r="BJ117" s="36">
        <v>2</v>
      </c>
      <c r="BK117" s="36">
        <v>3</v>
      </c>
      <c r="BL117" s="36">
        <v>4</v>
      </c>
      <c r="BM117" s="36">
        <v>4</v>
      </c>
      <c r="BN117" s="36">
        <v>5</v>
      </c>
      <c r="BO117" s="36">
        <v>4</v>
      </c>
      <c r="BP117" s="36">
        <v>3</v>
      </c>
      <c r="BQ117" s="36">
        <v>2</v>
      </c>
      <c r="BR117" s="36">
        <v>3</v>
      </c>
      <c r="BS117" s="36">
        <v>2</v>
      </c>
      <c r="BT117" s="36">
        <v>5</v>
      </c>
      <c r="BU117" s="36">
        <v>3</v>
      </c>
      <c r="BV117" s="36">
        <v>3</v>
      </c>
      <c r="BW117" s="36">
        <v>4</v>
      </c>
      <c r="BX117" s="36">
        <v>4</v>
      </c>
      <c r="BY117" s="36">
        <v>4</v>
      </c>
      <c r="BZ117" s="36">
        <v>4</v>
      </c>
      <c r="CA117" s="36">
        <v>5</v>
      </c>
      <c r="CB117" s="36">
        <v>5</v>
      </c>
      <c r="CC117" s="36">
        <v>4</v>
      </c>
      <c r="CD117" s="36">
        <v>4</v>
      </c>
      <c r="CE117" s="36">
        <v>4</v>
      </c>
      <c r="CF117" s="36">
        <v>2</v>
      </c>
      <c r="CG117" s="36">
        <v>5</v>
      </c>
      <c r="CH117" s="36" t="s">
        <v>227</v>
      </c>
      <c r="CI117"/>
      <c r="CJ117"/>
      <c r="CK117" s="36" t="s">
        <v>233</v>
      </c>
      <c r="CL117" t="s">
        <v>234</v>
      </c>
      <c r="CM117" t="s">
        <v>239</v>
      </c>
      <c r="CN117" s="36" t="s">
        <v>242</v>
      </c>
      <c r="CO117" s="36" t="s">
        <v>134</v>
      </c>
      <c r="CP117" s="36">
        <v>4</v>
      </c>
      <c r="CQ117" s="36">
        <v>4</v>
      </c>
      <c r="CR117" s="36" t="s">
        <v>249</v>
      </c>
      <c r="CS117" s="36">
        <v>3</v>
      </c>
      <c r="CT117" s="36">
        <v>2</v>
      </c>
      <c r="CU117" s="36">
        <v>3</v>
      </c>
      <c r="CV117" s="36">
        <v>4</v>
      </c>
      <c r="CW117" s="36">
        <v>5</v>
      </c>
      <c r="CX117" s="36">
        <v>3</v>
      </c>
      <c r="CY117" s="36">
        <v>5</v>
      </c>
      <c r="CZ117" s="36">
        <v>3</v>
      </c>
      <c r="DA117" s="36">
        <v>4</v>
      </c>
      <c r="DB117" s="36">
        <v>3</v>
      </c>
      <c r="DC117" s="36">
        <v>4</v>
      </c>
      <c r="DD117" s="36">
        <v>4</v>
      </c>
      <c r="DE117" s="36">
        <v>3</v>
      </c>
      <c r="DF117" s="36">
        <v>5</v>
      </c>
      <c r="DG117" s="36">
        <v>5</v>
      </c>
      <c r="DH117" s="36">
        <v>4</v>
      </c>
      <c r="DI117" s="36" t="s">
        <v>133</v>
      </c>
      <c r="DJ117" s="36" t="s">
        <v>134</v>
      </c>
      <c r="DL117"/>
      <c r="DM117"/>
      <c r="DN117"/>
      <c r="DO117"/>
      <c r="DP117"/>
      <c r="DR117" s="36" t="s">
        <v>134</v>
      </c>
      <c r="DT117"/>
      <c r="DU117"/>
      <c r="DV117"/>
      <c r="DW117"/>
      <c r="DX117"/>
      <c r="DZ117" s="36" t="s">
        <v>134</v>
      </c>
      <c r="EB117" s="36" t="s">
        <v>262</v>
      </c>
      <c r="EC117" s="36" t="s">
        <v>264</v>
      </c>
      <c r="ED117" s="36">
        <v>29</v>
      </c>
      <c r="EE117" s="36" t="s">
        <v>291</v>
      </c>
      <c r="EF117" s="36" t="str">
        <f>Tabulacao!MC117</f>
        <v>Lagarto</v>
      </c>
      <c r="EG117" s="36" t="s">
        <v>291</v>
      </c>
      <c r="EH117" s="36" t="str">
        <f>Tabulacao!MG117</f>
        <v>Lagarto</v>
      </c>
      <c r="EI117" s="36" t="s">
        <v>291</v>
      </c>
      <c r="EJ117" s="36" t="str">
        <f>Tabulacao!MK117</f>
        <v>Lagarto</v>
      </c>
      <c r="EK117" s="36" t="s">
        <v>134</v>
      </c>
      <c r="EL117" s="36" t="s">
        <v>134</v>
      </c>
      <c r="EM117" s="36" t="s">
        <v>134</v>
      </c>
      <c r="EN117" s="36" t="s">
        <v>134</v>
      </c>
      <c r="EO117" s="36" t="s">
        <v>134</v>
      </c>
      <c r="EP117" s="36" t="s">
        <v>134</v>
      </c>
      <c r="EQ117" s="36" t="s">
        <v>275</v>
      </c>
      <c r="ER117" s="36" t="str">
        <f>IF(OR(EQ117=CaractAmostra!$BD$9,EQ117=CaractAmostra!$BD$10,EQ117=CaractAmostra!$BD$11,EQ117=CaractAmostra!$BD$12,EQ117=CaractAmostra!$BD$13),Respostas_Formatadas!EQ117,"Outros")</f>
        <v>Com os pais</v>
      </c>
      <c r="ES117" s="36" t="s">
        <v>602</v>
      </c>
      <c r="ET117" s="36" t="str">
        <f>IF(OR(ES117=CaractAmostra!$BH$9,ES117=CaractAmostra!$BH$10,ES117=CaractAmostra!$BH$11,ES117=CaractAmostra!$BH$12),Respostas_Formatadas!ES117,"Outros")</f>
        <v>Outros</v>
      </c>
      <c r="EU117" s="36" t="s">
        <v>134</v>
      </c>
      <c r="EV117" s="36" t="s">
        <v>282</v>
      </c>
      <c r="EW117" s="36" t="s">
        <v>282</v>
      </c>
      <c r="FD117" s="36" t="s">
        <v>603</v>
      </c>
      <c r="FE117" s="47">
        <v>2016</v>
      </c>
      <c r="FF117" s="97">
        <v>7.6767000000000003</v>
      </c>
      <c r="FI117" s="47" t="str">
        <f t="shared" si="2"/>
        <v>Lagarto</v>
      </c>
      <c r="FJ117" s="47" t="str">
        <f t="shared" si="3"/>
        <v>Bacharelado</v>
      </c>
    </row>
    <row r="118" spans="1:166" s="36" customFormat="1" ht="15.75" customHeight="1" x14ac:dyDescent="0.2">
      <c r="A118" s="38">
        <v>43412.695663090279</v>
      </c>
      <c r="C118" s="36" t="s">
        <v>119</v>
      </c>
      <c r="D118" s="47" t="s">
        <v>133</v>
      </c>
      <c r="E118" s="36" t="s">
        <v>135</v>
      </c>
      <c r="H118" s="36" t="s">
        <v>144</v>
      </c>
      <c r="M118" s="36" t="s">
        <v>146</v>
      </c>
      <c r="N118" s="36" t="s">
        <v>134</v>
      </c>
      <c r="O118" s="36" t="s">
        <v>133</v>
      </c>
      <c r="P118" s="36" t="s">
        <v>134</v>
      </c>
      <c r="Q118" s="36" t="s">
        <v>133</v>
      </c>
      <c r="R118" s="36" t="s">
        <v>152</v>
      </c>
      <c r="S118" s="36" t="s">
        <v>604</v>
      </c>
      <c r="T118" s="36" t="s">
        <v>154</v>
      </c>
      <c r="U118" s="36" t="s">
        <v>159</v>
      </c>
      <c r="V118" s="36">
        <v>4</v>
      </c>
      <c r="W118" s="36">
        <v>3</v>
      </c>
      <c r="X118" s="36">
        <v>5</v>
      </c>
      <c r="Y118" s="36" t="s">
        <v>134</v>
      </c>
      <c r="AI118" s="40"/>
      <c r="AQ118" s="40"/>
      <c r="BT118" s="36">
        <v>3</v>
      </c>
      <c r="BU118" s="36">
        <v>3</v>
      </c>
      <c r="BV118" s="36">
        <v>4</v>
      </c>
      <c r="BW118" s="36">
        <v>4</v>
      </c>
      <c r="BX118" s="36">
        <v>4</v>
      </c>
      <c r="BY118" s="36">
        <v>4</v>
      </c>
      <c r="BZ118" s="36">
        <v>4</v>
      </c>
      <c r="CA118" s="36">
        <v>5</v>
      </c>
      <c r="CB118" s="36">
        <v>3</v>
      </c>
      <c r="CC118" s="36">
        <v>3</v>
      </c>
      <c r="CD118" s="36">
        <v>4</v>
      </c>
      <c r="CE118" s="36">
        <v>4</v>
      </c>
      <c r="CF118" s="36">
        <v>4</v>
      </c>
      <c r="CG118" s="36">
        <v>3</v>
      </c>
      <c r="CH118" s="36" t="s">
        <v>222</v>
      </c>
      <c r="CI118" t="s">
        <v>224</v>
      </c>
      <c r="CJ118" t="s">
        <v>225</v>
      </c>
      <c r="CK118" s="36" t="s">
        <v>235</v>
      </c>
      <c r="CL118" t="s">
        <v>238</v>
      </c>
      <c r="CM118" t="s">
        <v>239</v>
      </c>
      <c r="CN118" s="36" t="s">
        <v>241</v>
      </c>
      <c r="CO118" s="36" t="s">
        <v>134</v>
      </c>
      <c r="CP118" s="36">
        <v>3</v>
      </c>
      <c r="CQ118" s="36">
        <v>4</v>
      </c>
      <c r="CR118" s="36" t="s">
        <v>249</v>
      </c>
      <c r="CS118" s="36">
        <v>3</v>
      </c>
      <c r="CT118" s="36">
        <v>4</v>
      </c>
      <c r="CU118" s="36">
        <v>3</v>
      </c>
      <c r="CV118" s="36">
        <v>3</v>
      </c>
      <c r="CW118" s="36">
        <v>3</v>
      </c>
      <c r="CX118" s="36">
        <v>3</v>
      </c>
      <c r="CY118" s="36">
        <v>4</v>
      </c>
      <c r="CZ118" s="36">
        <v>3</v>
      </c>
      <c r="DA118" s="36">
        <v>4</v>
      </c>
      <c r="DB118" s="36">
        <v>1</v>
      </c>
      <c r="DC118" s="36">
        <v>5</v>
      </c>
      <c r="DD118" s="36">
        <v>4</v>
      </c>
      <c r="DE118" s="36">
        <v>4</v>
      </c>
      <c r="DF118" s="36">
        <v>4</v>
      </c>
      <c r="DG118" s="36">
        <v>4</v>
      </c>
      <c r="DH118" s="36">
        <v>4</v>
      </c>
      <c r="DI118" s="36" t="s">
        <v>252</v>
      </c>
      <c r="DJ118" s="36" t="s">
        <v>133</v>
      </c>
      <c r="DK118" s="36" t="s">
        <v>255</v>
      </c>
      <c r="DL118"/>
      <c r="DM118"/>
      <c r="DN118"/>
      <c r="DO118"/>
      <c r="DP118"/>
      <c r="DQ118" s="36">
        <v>1</v>
      </c>
      <c r="DR118" s="36" t="s">
        <v>133</v>
      </c>
      <c r="DS118" s="36" t="s">
        <v>259</v>
      </c>
      <c r="DT118"/>
      <c r="DU118"/>
      <c r="DV118" t="s">
        <v>260</v>
      </c>
      <c r="DW118"/>
      <c r="DX118"/>
      <c r="DY118" s="36">
        <v>2</v>
      </c>
      <c r="DZ118" s="36" t="s">
        <v>133</v>
      </c>
      <c r="EA118" s="36">
        <v>5</v>
      </c>
      <c r="EB118" s="36" t="s">
        <v>263</v>
      </c>
      <c r="EC118" s="36" t="s">
        <v>267</v>
      </c>
      <c r="ED118" s="36">
        <v>26</v>
      </c>
      <c r="EE118" s="36" t="s">
        <v>516</v>
      </c>
      <c r="EF118" s="36" t="str">
        <f>Tabulacao!MC118</f>
        <v>Salvador - BA</v>
      </c>
      <c r="EG118" s="36" t="s">
        <v>292</v>
      </c>
      <c r="EH118" s="36" t="str">
        <f>Tabulacao!MG118</f>
        <v>Aracaju</v>
      </c>
      <c r="EI118" s="36" t="s">
        <v>516</v>
      </c>
      <c r="EJ118" s="36" t="str">
        <f>Tabulacao!MK118</f>
        <v>Salvador - BA</v>
      </c>
      <c r="EK118" s="36" t="s">
        <v>271</v>
      </c>
      <c r="EL118" s="36" t="s">
        <v>134</v>
      </c>
      <c r="EM118" s="36" t="s">
        <v>134</v>
      </c>
      <c r="EN118" s="36" t="s">
        <v>134</v>
      </c>
      <c r="EO118" s="36" t="s">
        <v>134</v>
      </c>
      <c r="EP118" s="36" t="s">
        <v>134</v>
      </c>
      <c r="EQ118" s="36" t="s">
        <v>273</v>
      </c>
      <c r="ER118" s="36" t="str">
        <f>IF(OR(EQ118=CaractAmostra!$BD$9,EQ118=CaractAmostra!$BD$10,EQ118=CaractAmostra!$BD$11,EQ118=CaractAmostra!$BD$12,EQ118=CaractAmostra!$BD$13),Respostas_Formatadas!EQ118,"Outros")</f>
        <v>Dividia residência com outras pessoas</v>
      </c>
      <c r="ES118" s="36" t="s">
        <v>274</v>
      </c>
      <c r="ET118" s="36" t="str">
        <f>IF(OR(ES118=CaractAmostra!$BH$9,ES118=CaractAmostra!$BH$10,ES118=CaractAmostra!$BH$11,ES118=CaractAmostra!$BH$12),Respostas_Formatadas!ES118,"Outros")</f>
        <v>Com um(a) parceiro(a)</v>
      </c>
      <c r="EU118" s="36" t="s">
        <v>134</v>
      </c>
      <c r="EV118" s="36" t="s">
        <v>283</v>
      </c>
      <c r="EW118" s="36" t="s">
        <v>282</v>
      </c>
      <c r="FE118" s="47">
        <v>2018</v>
      </c>
      <c r="FF118" s="97">
        <v>8.0815000000000001</v>
      </c>
      <c r="FI118" s="47" t="str">
        <f t="shared" si="2"/>
        <v>Aracaju</v>
      </c>
      <c r="FJ118" s="47" t="str">
        <f t="shared" si="3"/>
        <v>Bacharelado</v>
      </c>
    </row>
    <row r="119" spans="1:166" s="36" customFormat="1" ht="15.75" customHeight="1" x14ac:dyDescent="0.2">
      <c r="A119" s="38">
        <v>43413.335943969912</v>
      </c>
      <c r="C119" s="36" t="s">
        <v>125</v>
      </c>
      <c r="D119" s="47" t="s">
        <v>133</v>
      </c>
      <c r="E119" s="36" t="s">
        <v>135</v>
      </c>
      <c r="H119" s="36" t="s">
        <v>142</v>
      </c>
      <c r="I119" s="36" t="s">
        <v>144</v>
      </c>
      <c r="M119" s="36" t="s">
        <v>149</v>
      </c>
      <c r="N119" s="36" t="s">
        <v>133</v>
      </c>
      <c r="O119" s="36" t="s">
        <v>133</v>
      </c>
      <c r="P119" s="36" t="s">
        <v>133</v>
      </c>
      <c r="Q119" s="36" t="s">
        <v>133</v>
      </c>
      <c r="R119" s="36" t="s">
        <v>153</v>
      </c>
      <c r="S119" s="36" t="s">
        <v>946</v>
      </c>
      <c r="T119" s="36" t="s">
        <v>154</v>
      </c>
      <c r="U119" s="36" t="s">
        <v>157</v>
      </c>
      <c r="V119" s="36">
        <v>3</v>
      </c>
      <c r="W119" s="36">
        <v>3</v>
      </c>
      <c r="X119" s="36">
        <v>3</v>
      </c>
      <c r="Y119" s="36" t="s">
        <v>134</v>
      </c>
      <c r="AI119" s="40"/>
      <c r="AQ119" s="40"/>
      <c r="BT119" s="36">
        <v>5</v>
      </c>
      <c r="BU119" s="36">
        <v>5</v>
      </c>
      <c r="BV119" s="36">
        <v>5</v>
      </c>
      <c r="BW119" s="36">
        <v>5</v>
      </c>
      <c r="BX119" s="36">
        <v>4</v>
      </c>
      <c r="BY119" s="36">
        <v>5</v>
      </c>
      <c r="BZ119" s="36">
        <v>5</v>
      </c>
      <c r="CA119" s="36">
        <v>4</v>
      </c>
      <c r="CB119" s="36">
        <v>4</v>
      </c>
      <c r="CC119" s="36">
        <v>5</v>
      </c>
      <c r="CD119" s="36">
        <v>4</v>
      </c>
      <c r="CE119" s="36">
        <v>4</v>
      </c>
      <c r="CF119" s="36">
        <v>4</v>
      </c>
      <c r="CG119" s="36">
        <v>4</v>
      </c>
      <c r="CH119" s="36" t="s">
        <v>222</v>
      </c>
      <c r="CI119" t="s">
        <v>225</v>
      </c>
      <c r="CJ119" t="s">
        <v>229</v>
      </c>
      <c r="CK119" s="36" t="s">
        <v>233</v>
      </c>
      <c r="CL119" t="s">
        <v>236</v>
      </c>
      <c r="CM119" t="s">
        <v>237</v>
      </c>
      <c r="CN119" s="36" t="s">
        <v>242</v>
      </c>
      <c r="CO119" s="36" t="s">
        <v>134</v>
      </c>
      <c r="CP119" s="36">
        <v>5</v>
      </c>
      <c r="CQ119" s="36">
        <v>5</v>
      </c>
      <c r="CR119" s="36" t="s">
        <v>249</v>
      </c>
      <c r="CS119" s="36">
        <v>3</v>
      </c>
      <c r="CT119" s="36">
        <v>3</v>
      </c>
      <c r="CU119" s="36">
        <v>3</v>
      </c>
      <c r="CV119" s="36">
        <v>4</v>
      </c>
      <c r="CW119" s="36">
        <v>4</v>
      </c>
      <c r="CX119" s="36">
        <v>4</v>
      </c>
      <c r="CY119" s="36">
        <v>4</v>
      </c>
      <c r="CZ119" s="36">
        <v>5</v>
      </c>
      <c r="DA119" s="36">
        <v>4</v>
      </c>
      <c r="DB119" s="36">
        <v>4</v>
      </c>
      <c r="DC119" s="36">
        <v>4</v>
      </c>
      <c r="DD119" s="36">
        <v>5</v>
      </c>
      <c r="DE119" s="36">
        <v>5</v>
      </c>
      <c r="DF119" s="36">
        <v>5</v>
      </c>
      <c r="DG119" s="36">
        <v>5</v>
      </c>
      <c r="DH119" s="36">
        <v>3</v>
      </c>
      <c r="DI119" s="36" t="s">
        <v>250</v>
      </c>
      <c r="DJ119" s="36" t="s">
        <v>134</v>
      </c>
      <c r="DL119"/>
      <c r="DM119"/>
      <c r="DN119"/>
      <c r="DO119"/>
      <c r="DP119"/>
      <c r="DR119" s="36" t="s">
        <v>133</v>
      </c>
      <c r="DS119" s="36" t="s">
        <v>258</v>
      </c>
      <c r="DT119" t="s">
        <v>260</v>
      </c>
      <c r="DU119"/>
      <c r="DV119"/>
      <c r="DW119"/>
      <c r="DX119"/>
      <c r="DY119" s="36">
        <v>5</v>
      </c>
      <c r="DZ119" s="36" t="s">
        <v>134</v>
      </c>
      <c r="EB119" s="36" t="s">
        <v>263</v>
      </c>
      <c r="EC119" s="36" t="s">
        <v>267</v>
      </c>
      <c r="ED119" s="36">
        <v>61</v>
      </c>
      <c r="EE119" s="36" t="s">
        <v>292</v>
      </c>
      <c r="EF119" s="36" t="str">
        <f>Tabulacao!MC119</f>
        <v>Aracaju</v>
      </c>
      <c r="EG119" s="36" t="s">
        <v>292</v>
      </c>
      <c r="EH119" s="36" t="str">
        <f>Tabulacao!MG119</f>
        <v>Aracaju</v>
      </c>
      <c r="EI119" s="36" t="s">
        <v>292</v>
      </c>
      <c r="EJ119" s="36" t="str">
        <f>Tabulacao!MK119</f>
        <v>Aracaju</v>
      </c>
      <c r="EK119" s="36" t="s">
        <v>134</v>
      </c>
      <c r="EL119" s="36" t="s">
        <v>134</v>
      </c>
      <c r="EM119" s="36" t="s">
        <v>134</v>
      </c>
      <c r="EN119" s="36" t="s">
        <v>134</v>
      </c>
      <c r="EO119" s="36" t="s">
        <v>134</v>
      </c>
      <c r="EP119" s="36" t="s">
        <v>134</v>
      </c>
      <c r="EQ119" s="36" t="s">
        <v>273</v>
      </c>
      <c r="ER119" s="36" t="str">
        <f>IF(OR(EQ119=CaractAmostra!$BD$9,EQ119=CaractAmostra!$BD$10,EQ119=CaractAmostra!$BD$11,EQ119=CaractAmostra!$BD$12,EQ119=CaractAmostra!$BD$13),Respostas_Formatadas!EQ119,"Outros")</f>
        <v>Dividia residência com outras pessoas</v>
      </c>
      <c r="ES119" s="36" t="s">
        <v>278</v>
      </c>
      <c r="ET119" s="36" t="str">
        <f>IF(OR(ES119=CaractAmostra!$BH$9,ES119=CaractAmostra!$BH$10,ES119=CaractAmostra!$BH$11,ES119=CaractAmostra!$BH$12),Respostas_Formatadas!ES119,"Outros")</f>
        <v>Divido residência com outras pessoas</v>
      </c>
      <c r="EU119" s="36" t="s">
        <v>281</v>
      </c>
      <c r="EV119" s="36" t="s">
        <v>285</v>
      </c>
      <c r="EW119" s="36" t="s">
        <v>282</v>
      </c>
      <c r="FE119" s="47">
        <v>2013</v>
      </c>
      <c r="FF119" s="97">
        <v>7.7</v>
      </c>
      <c r="FI119" s="47" t="str">
        <f t="shared" si="2"/>
        <v>Aracaju</v>
      </c>
      <c r="FJ119" s="47" t="str">
        <f t="shared" si="3"/>
        <v>Tecnologia</v>
      </c>
    </row>
    <row r="120" spans="1:166" s="36" customFormat="1" ht="15.75" customHeight="1" x14ac:dyDescent="0.2">
      <c r="A120" s="38">
        <v>43414.667302048612</v>
      </c>
      <c r="C120" s="36" t="s">
        <v>124</v>
      </c>
      <c r="D120" s="47" t="s">
        <v>133</v>
      </c>
      <c r="E120" s="36" t="s">
        <v>137</v>
      </c>
      <c r="H120" s="36" t="s">
        <v>144</v>
      </c>
      <c r="M120" s="36" t="s">
        <v>146</v>
      </c>
      <c r="N120" s="36" t="s">
        <v>134</v>
      </c>
      <c r="O120" s="36" t="s">
        <v>133</v>
      </c>
      <c r="P120" s="36" t="s">
        <v>133</v>
      </c>
      <c r="Q120" s="36" t="s">
        <v>134</v>
      </c>
      <c r="R120" s="36" t="s">
        <v>151</v>
      </c>
      <c r="Y120" s="36" t="s">
        <v>166</v>
      </c>
      <c r="AC120" s="36" t="s">
        <v>185</v>
      </c>
      <c r="AD120" s="36" t="s">
        <v>606</v>
      </c>
      <c r="AE120" s="36">
        <v>5</v>
      </c>
      <c r="AF120" s="36" t="s">
        <v>189</v>
      </c>
      <c r="AG120" s="36" t="s">
        <v>189</v>
      </c>
      <c r="AH120" s="36" t="s">
        <v>133</v>
      </c>
      <c r="AI120" s="40">
        <v>1500</v>
      </c>
      <c r="AJ120" s="36">
        <v>5</v>
      </c>
      <c r="AK120" s="36">
        <v>5</v>
      </c>
      <c r="AL120" s="36" t="s">
        <v>134</v>
      </c>
      <c r="AM120" s="36" t="s">
        <v>168</v>
      </c>
      <c r="AN120" s="36">
        <v>6</v>
      </c>
      <c r="AO120" s="36" t="s">
        <v>133</v>
      </c>
      <c r="AP120" s="36" t="s">
        <v>606</v>
      </c>
      <c r="AQ120" s="40">
        <v>3990</v>
      </c>
      <c r="AR120" s="36">
        <v>2</v>
      </c>
      <c r="AS120" s="36">
        <v>4</v>
      </c>
      <c r="AT120" s="36">
        <v>1</v>
      </c>
      <c r="AU120" s="36">
        <v>3</v>
      </c>
      <c r="AV120" s="36">
        <v>2</v>
      </c>
      <c r="AW120" s="36" t="s">
        <v>192</v>
      </c>
      <c r="AX120" s="36" t="s">
        <v>204</v>
      </c>
      <c r="AY120" s="36" t="s">
        <v>210</v>
      </c>
      <c r="AZ120" s="36" t="s">
        <v>133</v>
      </c>
      <c r="BA120" s="36" t="s">
        <v>212</v>
      </c>
      <c r="BB120" s="36" t="s">
        <v>607</v>
      </c>
      <c r="BC120" s="36" t="s">
        <v>586</v>
      </c>
      <c r="BD120" s="36" t="s">
        <v>190</v>
      </c>
      <c r="BG120" s="36">
        <v>5</v>
      </c>
      <c r="BH120" s="36">
        <v>4</v>
      </c>
      <c r="BI120" s="36">
        <v>5</v>
      </c>
      <c r="BJ120" s="36">
        <v>3</v>
      </c>
      <c r="BK120" s="36">
        <v>5</v>
      </c>
      <c r="BL120" s="36">
        <v>5</v>
      </c>
      <c r="BM120" s="36">
        <v>5</v>
      </c>
      <c r="BN120" s="36">
        <v>5</v>
      </c>
      <c r="BO120" s="36">
        <v>5</v>
      </c>
      <c r="BP120" s="36">
        <v>4</v>
      </c>
      <c r="BQ120" s="36">
        <v>5</v>
      </c>
      <c r="BR120" s="36">
        <v>5</v>
      </c>
      <c r="BS120" s="36">
        <v>2</v>
      </c>
      <c r="BT120" s="36">
        <v>5</v>
      </c>
      <c r="BU120" s="36">
        <v>4</v>
      </c>
      <c r="BV120" s="36">
        <v>5</v>
      </c>
      <c r="BW120" s="36">
        <v>3</v>
      </c>
      <c r="BX120" s="36">
        <v>5</v>
      </c>
      <c r="BY120" s="36">
        <v>5</v>
      </c>
      <c r="BZ120" s="36">
        <v>5</v>
      </c>
      <c r="CA120" s="36">
        <v>5</v>
      </c>
      <c r="CB120" s="36">
        <v>5</v>
      </c>
      <c r="CC120" s="36">
        <v>4</v>
      </c>
      <c r="CD120" s="36">
        <v>5</v>
      </c>
      <c r="CE120" s="36">
        <v>5</v>
      </c>
      <c r="CF120" s="36">
        <v>2</v>
      </c>
      <c r="CG120" s="36">
        <v>3</v>
      </c>
      <c r="CH120" s="36" t="s">
        <v>222</v>
      </c>
      <c r="CI120"/>
      <c r="CJ120"/>
      <c r="CK120" s="36" t="s">
        <v>239</v>
      </c>
      <c r="CL120"/>
      <c r="CM120"/>
      <c r="CN120" s="36" t="s">
        <v>242</v>
      </c>
      <c r="CO120" s="36" t="s">
        <v>134</v>
      </c>
      <c r="CP120" s="36">
        <v>1</v>
      </c>
      <c r="CQ120" s="36">
        <v>5</v>
      </c>
      <c r="CR120" s="36" t="s">
        <v>249</v>
      </c>
      <c r="CS120" s="36">
        <v>3</v>
      </c>
      <c r="CT120" s="36">
        <v>2</v>
      </c>
      <c r="CU120" s="36">
        <v>1</v>
      </c>
      <c r="CV120" s="36">
        <v>5</v>
      </c>
      <c r="CW120" s="36">
        <v>5</v>
      </c>
      <c r="CX120" s="36">
        <v>5</v>
      </c>
      <c r="CY120" s="36">
        <v>5</v>
      </c>
      <c r="CZ120" s="36">
        <v>3</v>
      </c>
      <c r="DA120" s="36">
        <v>5</v>
      </c>
      <c r="DB120" s="36">
        <v>3</v>
      </c>
      <c r="DC120" s="36">
        <v>4</v>
      </c>
      <c r="DD120" s="36">
        <v>5</v>
      </c>
      <c r="DE120" s="36">
        <v>5</v>
      </c>
      <c r="DF120" s="36">
        <v>5</v>
      </c>
      <c r="DG120" s="36">
        <v>5</v>
      </c>
      <c r="DH120" s="36">
        <v>4</v>
      </c>
      <c r="DI120" s="36" t="s">
        <v>133</v>
      </c>
      <c r="DJ120" s="36" t="s">
        <v>134</v>
      </c>
      <c r="DL120"/>
      <c r="DM120"/>
      <c r="DN120"/>
      <c r="DO120"/>
      <c r="DP120"/>
      <c r="DR120" s="36" t="s">
        <v>133</v>
      </c>
      <c r="DS120" s="36" t="s">
        <v>260</v>
      </c>
      <c r="DT120"/>
      <c r="DU120"/>
      <c r="DV120"/>
      <c r="DW120"/>
      <c r="DX120"/>
      <c r="DY120" s="36">
        <v>5</v>
      </c>
      <c r="DZ120" s="36" t="s">
        <v>133</v>
      </c>
      <c r="EA120" s="36">
        <v>5</v>
      </c>
      <c r="EB120" s="36" t="s">
        <v>263</v>
      </c>
      <c r="EC120" s="36" t="s">
        <v>267</v>
      </c>
      <c r="ED120" s="36">
        <v>33</v>
      </c>
      <c r="EE120" s="36" t="s">
        <v>474</v>
      </c>
      <c r="EF120" s="36" t="str">
        <f>Tabulacao!MC120</f>
        <v>Nossa Senhora do Socorro</v>
      </c>
      <c r="EG120" s="36" t="s">
        <v>474</v>
      </c>
      <c r="EH120" s="36" t="str">
        <f>Tabulacao!MG120</f>
        <v>Nossa Senhora do Socorro</v>
      </c>
      <c r="EI120" s="36" t="s">
        <v>474</v>
      </c>
      <c r="EJ120" s="36" t="str">
        <f>Tabulacao!MK120</f>
        <v>Nossa Senhora do Socorro</v>
      </c>
      <c r="EK120" s="36" t="s">
        <v>134</v>
      </c>
      <c r="EL120" s="36" t="s">
        <v>134</v>
      </c>
      <c r="EM120" s="36" t="s">
        <v>134</v>
      </c>
      <c r="EN120" s="36" t="s">
        <v>134</v>
      </c>
      <c r="EO120" s="36" t="s">
        <v>134</v>
      </c>
      <c r="EP120" s="36" t="s">
        <v>134</v>
      </c>
      <c r="EQ120" s="36" t="s">
        <v>275</v>
      </c>
      <c r="ER120" s="36" t="str">
        <f>IF(OR(EQ120=CaractAmostra!$BD$9,EQ120=CaractAmostra!$BD$10,EQ120=CaractAmostra!$BD$11,EQ120=CaractAmostra!$BD$12,EQ120=CaractAmostra!$BD$13),Respostas_Formatadas!EQ120,"Outros")</f>
        <v>Com os pais</v>
      </c>
      <c r="ES120" s="36" t="s">
        <v>275</v>
      </c>
      <c r="ET120" s="36" t="str">
        <f>IF(OR(ES120=CaractAmostra!$BH$9,ES120=CaractAmostra!$BH$10,ES120=CaractAmostra!$BH$11,ES120=CaractAmostra!$BH$12),Respostas_Formatadas!ES120,"Outros")</f>
        <v>Com os pais</v>
      </c>
      <c r="EU120" s="36" t="s">
        <v>134</v>
      </c>
      <c r="EV120" s="36" t="s">
        <v>192</v>
      </c>
      <c r="EW120" s="36" t="s">
        <v>192</v>
      </c>
      <c r="FD120" s="36" t="s">
        <v>608</v>
      </c>
      <c r="FE120" s="115" t="s">
        <v>1247</v>
      </c>
      <c r="FF120" s="97" t="s">
        <v>933</v>
      </c>
      <c r="FI120" s="47" t="str">
        <f t="shared" si="2"/>
        <v>Aracaju</v>
      </c>
      <c r="FJ120" s="47" t="str">
        <f t="shared" si="3"/>
        <v>Tecnologia</v>
      </c>
    </row>
    <row r="121" spans="1:166" s="36" customFormat="1" ht="15.75" customHeight="1" x14ac:dyDescent="0.2">
      <c r="A121" s="38">
        <v>43414.679221481478</v>
      </c>
      <c r="C121" s="36" t="s">
        <v>121</v>
      </c>
      <c r="D121" s="47" t="s">
        <v>134</v>
      </c>
      <c r="M121" s="36" t="s">
        <v>146</v>
      </c>
      <c r="N121" s="36" t="s">
        <v>134</v>
      </c>
      <c r="O121" s="36" t="s">
        <v>133</v>
      </c>
      <c r="P121" s="36" t="s">
        <v>133</v>
      </c>
      <c r="Q121" s="36" t="s">
        <v>134</v>
      </c>
      <c r="R121" s="36" t="s">
        <v>151</v>
      </c>
      <c r="Y121" s="36" t="s">
        <v>134</v>
      </c>
      <c r="AI121" s="40"/>
      <c r="AQ121" s="40"/>
      <c r="BT121" s="36">
        <v>5</v>
      </c>
      <c r="BU121" s="36">
        <v>4</v>
      </c>
      <c r="BV121" s="36">
        <v>5</v>
      </c>
      <c r="BW121" s="36">
        <v>5</v>
      </c>
      <c r="BX121" s="36">
        <v>5</v>
      </c>
      <c r="BY121" s="36">
        <v>5</v>
      </c>
      <c r="BZ121" s="36">
        <v>5</v>
      </c>
      <c r="CA121" s="36">
        <v>5</v>
      </c>
      <c r="CB121" s="36">
        <v>5</v>
      </c>
      <c r="CC121" s="36">
        <v>5</v>
      </c>
      <c r="CD121" s="36">
        <v>5</v>
      </c>
      <c r="CE121" s="36">
        <v>5</v>
      </c>
      <c r="CF121" s="36">
        <v>2</v>
      </c>
      <c r="CG121" s="36">
        <v>3</v>
      </c>
      <c r="CH121" s="36" t="s">
        <v>229</v>
      </c>
      <c r="CI121"/>
      <c r="CJ121"/>
      <c r="CK121" s="36" t="s">
        <v>233</v>
      </c>
      <c r="CL121"/>
      <c r="CM121"/>
      <c r="CN121" s="36" t="s">
        <v>241</v>
      </c>
      <c r="CO121" s="36" t="s">
        <v>134</v>
      </c>
      <c r="CP121" s="36">
        <v>3</v>
      </c>
      <c r="CQ121" s="36">
        <v>4</v>
      </c>
      <c r="CR121" s="36" t="s">
        <v>249</v>
      </c>
      <c r="CS121" s="36">
        <v>4</v>
      </c>
      <c r="CT121" s="36">
        <v>4</v>
      </c>
      <c r="CU121" s="36">
        <v>5</v>
      </c>
      <c r="CV121" s="36">
        <v>5</v>
      </c>
      <c r="CW121" s="36">
        <v>5</v>
      </c>
      <c r="CX121" s="36">
        <v>4</v>
      </c>
      <c r="CY121" s="36">
        <v>5</v>
      </c>
      <c r="CZ121" s="36">
        <v>4</v>
      </c>
      <c r="DA121" s="36">
        <v>5</v>
      </c>
      <c r="DB121" s="36">
        <v>5</v>
      </c>
      <c r="DC121" s="36">
        <v>4</v>
      </c>
      <c r="DD121" s="36">
        <v>5</v>
      </c>
      <c r="DE121" s="36">
        <v>5</v>
      </c>
      <c r="DF121" s="36">
        <v>5</v>
      </c>
      <c r="DG121" s="36">
        <v>5</v>
      </c>
      <c r="DH121" s="36">
        <v>5</v>
      </c>
      <c r="DI121" s="36" t="s">
        <v>133</v>
      </c>
      <c r="DJ121" s="36" t="s">
        <v>133</v>
      </c>
      <c r="DK121" s="36" t="s">
        <v>254</v>
      </c>
      <c r="DL121" t="s">
        <v>255</v>
      </c>
      <c r="DM121"/>
      <c r="DN121"/>
      <c r="DO121" t="s">
        <v>256</v>
      </c>
      <c r="DP121" t="s">
        <v>257</v>
      </c>
      <c r="DQ121" s="36">
        <v>5</v>
      </c>
      <c r="DR121" s="36" t="s">
        <v>133</v>
      </c>
      <c r="DS121" s="36" t="s">
        <v>259</v>
      </c>
      <c r="DT121"/>
      <c r="DU121"/>
      <c r="DV121"/>
      <c r="DW121"/>
      <c r="DX121"/>
      <c r="DY121" s="36">
        <v>5</v>
      </c>
      <c r="DZ121" s="36" t="s">
        <v>133</v>
      </c>
      <c r="EA121" s="36">
        <v>5</v>
      </c>
      <c r="EB121" s="36" t="s">
        <v>263</v>
      </c>
      <c r="EC121" s="36" t="s">
        <v>267</v>
      </c>
      <c r="ED121" s="36">
        <v>39</v>
      </c>
      <c r="EE121" s="36" t="s">
        <v>292</v>
      </c>
      <c r="EF121" s="36" t="str">
        <f>Tabulacao!MC121</f>
        <v>Aracaju</v>
      </c>
      <c r="EG121" s="36" t="s">
        <v>292</v>
      </c>
      <c r="EH121" s="36" t="str">
        <f>Tabulacao!MG121</f>
        <v>Aracaju</v>
      </c>
      <c r="EI121" s="36" t="s">
        <v>292</v>
      </c>
      <c r="EJ121" s="36" t="str">
        <f>Tabulacao!MK121</f>
        <v>Aracaju</v>
      </c>
      <c r="EK121" s="36" t="s">
        <v>134</v>
      </c>
      <c r="EL121" s="36" t="s">
        <v>134</v>
      </c>
      <c r="EM121" s="36" t="s">
        <v>134</v>
      </c>
      <c r="EN121" s="36" t="s">
        <v>134</v>
      </c>
      <c r="EO121" s="36" t="s">
        <v>134</v>
      </c>
      <c r="EP121" s="36" t="s">
        <v>134</v>
      </c>
      <c r="EQ121" s="36" t="s">
        <v>274</v>
      </c>
      <c r="ER121" s="36" t="str">
        <f>IF(OR(EQ121=CaractAmostra!$BD$9,EQ121=CaractAmostra!$BD$10,EQ121=CaractAmostra!$BD$11,EQ121=CaractAmostra!$BD$12,EQ121=CaractAmostra!$BD$13),Respostas_Formatadas!EQ121,"Outros")</f>
        <v>Com um(a) parceiro(a)</v>
      </c>
      <c r="ES121" s="36" t="s">
        <v>274</v>
      </c>
      <c r="ET121" s="36" t="str">
        <f>IF(OR(ES121=CaractAmostra!$BH$9,ES121=CaractAmostra!$BH$10,ES121=CaractAmostra!$BH$11,ES121=CaractAmostra!$BH$12),Respostas_Formatadas!ES121,"Outros")</f>
        <v>Com um(a) parceiro(a)</v>
      </c>
      <c r="EU121" s="36" t="s">
        <v>279</v>
      </c>
      <c r="EV121" s="36" t="s">
        <v>282</v>
      </c>
      <c r="EW121" s="36" t="s">
        <v>285</v>
      </c>
      <c r="FE121" s="47">
        <v>2017</v>
      </c>
      <c r="FF121" s="97" t="s">
        <v>933</v>
      </c>
      <c r="FI121" s="47" t="str">
        <f t="shared" si="2"/>
        <v>Aracaju</v>
      </c>
      <c r="FJ121" s="47" t="str">
        <f t="shared" si="3"/>
        <v>Licenciatura</v>
      </c>
    </row>
    <row r="122" spans="1:166" s="36" customFormat="1" ht="15.75" customHeight="1" x14ac:dyDescent="0.2">
      <c r="A122" s="38">
        <v>43414.905382627316</v>
      </c>
      <c r="C122" s="36" t="s">
        <v>123</v>
      </c>
      <c r="D122" s="47" t="s">
        <v>133</v>
      </c>
      <c r="E122" s="36" t="s">
        <v>138</v>
      </c>
      <c r="H122" s="36" t="s">
        <v>142</v>
      </c>
      <c r="I122" s="36" t="s">
        <v>144</v>
      </c>
      <c r="M122" s="36" t="s">
        <v>146</v>
      </c>
      <c r="N122" s="36" t="s">
        <v>134</v>
      </c>
      <c r="O122" s="36" t="s">
        <v>133</v>
      </c>
      <c r="P122" s="36" t="s">
        <v>134</v>
      </c>
      <c r="Q122" s="36" t="s">
        <v>134</v>
      </c>
      <c r="R122" s="36" t="s">
        <v>151</v>
      </c>
      <c r="Y122" s="36" t="s">
        <v>134</v>
      </c>
      <c r="AI122" s="40"/>
      <c r="AQ122" s="40"/>
      <c r="BT122" s="36">
        <v>4</v>
      </c>
      <c r="BU122" s="36">
        <v>3</v>
      </c>
      <c r="BV122" s="36">
        <v>5</v>
      </c>
      <c r="BW122" s="36">
        <v>4</v>
      </c>
      <c r="BX122" s="36">
        <v>4</v>
      </c>
      <c r="BY122" s="36">
        <v>4</v>
      </c>
      <c r="BZ122" s="36">
        <v>5</v>
      </c>
      <c r="CA122" s="36">
        <v>5</v>
      </c>
      <c r="CB122" s="36">
        <v>4</v>
      </c>
      <c r="CC122" s="36">
        <v>4</v>
      </c>
      <c r="CD122" s="36">
        <v>3</v>
      </c>
      <c r="CE122" s="36">
        <v>4</v>
      </c>
      <c r="CF122" s="36">
        <v>3</v>
      </c>
      <c r="CG122" s="36">
        <v>3</v>
      </c>
      <c r="CH122" s="36" t="s">
        <v>222</v>
      </c>
      <c r="CI122" t="s">
        <v>224</v>
      </c>
      <c r="CJ122" t="s">
        <v>229</v>
      </c>
      <c r="CK122" s="36" t="s">
        <v>233</v>
      </c>
      <c r="CL122"/>
      <c r="CM122"/>
      <c r="CN122" s="36" t="s">
        <v>242</v>
      </c>
      <c r="CO122" s="36" t="s">
        <v>133</v>
      </c>
      <c r="CP122" s="36">
        <v>5</v>
      </c>
      <c r="CQ122" s="36">
        <v>4</v>
      </c>
      <c r="CR122" s="36" t="s">
        <v>248</v>
      </c>
      <c r="CS122" s="36">
        <v>3</v>
      </c>
      <c r="CT122" s="36">
        <v>2</v>
      </c>
      <c r="CU122" s="36">
        <v>3</v>
      </c>
      <c r="CV122" s="36">
        <v>5</v>
      </c>
      <c r="CW122" s="36">
        <v>4</v>
      </c>
      <c r="CX122" s="36">
        <v>4</v>
      </c>
      <c r="CY122" s="36">
        <v>4</v>
      </c>
      <c r="CZ122" s="36">
        <v>5</v>
      </c>
      <c r="DA122" s="36">
        <v>3</v>
      </c>
      <c r="DB122" s="36">
        <v>3</v>
      </c>
      <c r="DC122" s="36">
        <v>1</v>
      </c>
      <c r="DD122" s="36">
        <v>5</v>
      </c>
      <c r="DE122" s="36">
        <v>5</v>
      </c>
      <c r="DF122" s="36">
        <v>5</v>
      </c>
      <c r="DG122" s="36">
        <v>4</v>
      </c>
      <c r="DH122" s="36">
        <v>4</v>
      </c>
      <c r="DI122" s="36" t="s">
        <v>133</v>
      </c>
      <c r="DJ122" s="36" t="s">
        <v>133</v>
      </c>
      <c r="DK122" s="36" t="s">
        <v>254</v>
      </c>
      <c r="DL122" t="s">
        <v>255</v>
      </c>
      <c r="DM122"/>
      <c r="DN122"/>
      <c r="DO122" t="s">
        <v>256</v>
      </c>
      <c r="DP122" t="s">
        <v>257</v>
      </c>
      <c r="DQ122" s="36">
        <v>5</v>
      </c>
      <c r="DR122" s="36" t="s">
        <v>133</v>
      </c>
      <c r="DS122" s="36" t="s">
        <v>260</v>
      </c>
      <c r="DT122"/>
      <c r="DU122"/>
      <c r="DV122"/>
      <c r="DW122"/>
      <c r="DX122"/>
      <c r="DY122" s="36">
        <v>4</v>
      </c>
      <c r="DZ122" s="36" t="s">
        <v>133</v>
      </c>
      <c r="EA122" s="36">
        <v>5</v>
      </c>
      <c r="EB122" s="36" t="s">
        <v>262</v>
      </c>
      <c r="EC122" s="36" t="s">
        <v>267</v>
      </c>
      <c r="ED122" s="36">
        <v>27</v>
      </c>
      <c r="EE122" s="36" t="s">
        <v>609</v>
      </c>
      <c r="EF122" s="36" t="str">
        <f>Tabulacao!MC122</f>
        <v>Simão Dias</v>
      </c>
      <c r="EG122" s="36" t="s">
        <v>609</v>
      </c>
      <c r="EH122" s="36" t="str">
        <f>Tabulacao!MG122</f>
        <v>Simão Dias</v>
      </c>
      <c r="EI122" s="36" t="s">
        <v>304</v>
      </c>
      <c r="EJ122" s="36" t="str">
        <f>Tabulacao!MK122</f>
        <v>Aracaju</v>
      </c>
      <c r="EK122" s="36" t="s">
        <v>134</v>
      </c>
      <c r="EL122" s="36" t="s">
        <v>134</v>
      </c>
      <c r="EM122" s="36" t="s">
        <v>134</v>
      </c>
      <c r="EN122" s="36" t="s">
        <v>134</v>
      </c>
      <c r="EO122" s="36" t="s">
        <v>134</v>
      </c>
      <c r="EP122" s="36" t="s">
        <v>134</v>
      </c>
      <c r="EQ122" s="36" t="s">
        <v>610</v>
      </c>
      <c r="ER122" s="36" t="str">
        <f>IF(OR(EQ122=CaractAmostra!$BD$9,EQ122=CaractAmostra!$BD$10,EQ122=CaractAmostra!$BD$11,EQ122=CaractAmostra!$BD$12,EQ122=CaractAmostra!$BD$13),Respostas_Formatadas!EQ122,"Outros")</f>
        <v>Outros</v>
      </c>
      <c r="ES122" s="36" t="s">
        <v>345</v>
      </c>
      <c r="ET122" s="36" t="str">
        <f>IF(OR(ES122=CaractAmostra!$BH$9,ES122=CaractAmostra!$BH$10,ES122=CaractAmostra!$BH$11,ES122=CaractAmostra!$BH$12),Respostas_Formatadas!ES122,"Outros")</f>
        <v>Outros</v>
      </c>
      <c r="EU122" s="36" t="s">
        <v>134</v>
      </c>
      <c r="EV122" s="36" t="s">
        <v>282</v>
      </c>
      <c r="EW122" s="36" t="s">
        <v>282</v>
      </c>
      <c r="FE122" s="47">
        <v>2017</v>
      </c>
      <c r="FF122" s="97">
        <v>7.9272999999999998</v>
      </c>
      <c r="FI122" s="47" t="str">
        <f t="shared" si="2"/>
        <v>Lagarto</v>
      </c>
      <c r="FJ122" s="47" t="str">
        <f t="shared" si="3"/>
        <v>Licenciatura</v>
      </c>
    </row>
    <row r="123" spans="1:166" s="36" customFormat="1" ht="15.75" customHeight="1" x14ac:dyDescent="0.2">
      <c r="A123" s="38">
        <v>43415.089953368057</v>
      </c>
      <c r="C123" s="36" t="s">
        <v>123</v>
      </c>
      <c r="D123" s="47" t="s">
        <v>134</v>
      </c>
      <c r="M123" s="36" t="s">
        <v>146</v>
      </c>
      <c r="N123" s="36" t="s">
        <v>134</v>
      </c>
      <c r="O123" s="36" t="s">
        <v>134</v>
      </c>
      <c r="P123" s="36" t="s">
        <v>134</v>
      </c>
      <c r="Q123" s="36" t="s">
        <v>134</v>
      </c>
      <c r="R123" s="36" t="s">
        <v>151</v>
      </c>
      <c r="Y123" s="36" t="s">
        <v>134</v>
      </c>
      <c r="AI123" s="40"/>
      <c r="AQ123" s="40"/>
      <c r="BT123" s="36">
        <v>4</v>
      </c>
      <c r="BU123" s="36">
        <v>3</v>
      </c>
      <c r="BV123" s="36">
        <v>4</v>
      </c>
      <c r="BW123" s="36">
        <v>4</v>
      </c>
      <c r="BX123" s="36">
        <v>5</v>
      </c>
      <c r="BY123" s="36">
        <v>5</v>
      </c>
      <c r="BZ123" s="36">
        <v>4</v>
      </c>
      <c r="CA123" s="36">
        <v>4</v>
      </c>
      <c r="CB123" s="36">
        <v>4</v>
      </c>
      <c r="CC123" s="36">
        <v>4</v>
      </c>
      <c r="CD123" s="36">
        <v>4</v>
      </c>
      <c r="CE123" s="36">
        <v>4</v>
      </c>
      <c r="CF123" s="36">
        <v>1</v>
      </c>
      <c r="CG123" s="36">
        <v>2</v>
      </c>
      <c r="CH123" s="36" t="s">
        <v>611</v>
      </c>
      <c r="CI123"/>
      <c r="CJ123"/>
      <c r="CK123" s="36" t="s">
        <v>612</v>
      </c>
      <c r="CL123"/>
      <c r="CM123"/>
      <c r="CN123" s="36" t="s">
        <v>241</v>
      </c>
      <c r="CO123" s="36" t="s">
        <v>134</v>
      </c>
      <c r="CP123" s="36">
        <v>4</v>
      </c>
      <c r="CQ123" s="36">
        <v>3</v>
      </c>
      <c r="CR123" s="36" t="s">
        <v>249</v>
      </c>
      <c r="CS123" s="36">
        <v>3</v>
      </c>
      <c r="CT123" s="36">
        <v>2</v>
      </c>
      <c r="CU123" s="36">
        <v>4</v>
      </c>
      <c r="CV123" s="36">
        <v>4</v>
      </c>
      <c r="CW123" s="36">
        <v>4</v>
      </c>
      <c r="CX123" s="36">
        <v>5</v>
      </c>
      <c r="CY123" s="36">
        <v>3</v>
      </c>
      <c r="CZ123" s="36">
        <v>4</v>
      </c>
      <c r="DA123" s="36">
        <v>3</v>
      </c>
      <c r="DB123" s="36">
        <v>4</v>
      </c>
      <c r="DC123" s="36">
        <v>1</v>
      </c>
      <c r="DD123" s="36">
        <v>4</v>
      </c>
      <c r="DE123" s="36">
        <v>4</v>
      </c>
      <c r="DF123" s="36">
        <v>4</v>
      </c>
      <c r="DG123" s="36">
        <v>4</v>
      </c>
      <c r="DH123" s="36">
        <v>3</v>
      </c>
      <c r="DI123" s="36" t="s">
        <v>133</v>
      </c>
      <c r="DJ123" s="36" t="s">
        <v>133</v>
      </c>
      <c r="DK123" s="36" t="s">
        <v>257</v>
      </c>
      <c r="DL123"/>
      <c r="DM123"/>
      <c r="DN123"/>
      <c r="DO123"/>
      <c r="DP123"/>
      <c r="DQ123" s="36">
        <v>5</v>
      </c>
      <c r="DR123" s="36" t="s">
        <v>133</v>
      </c>
      <c r="DS123" s="36" t="s">
        <v>259</v>
      </c>
      <c r="DT123"/>
      <c r="DU123"/>
      <c r="DV123" t="s">
        <v>260</v>
      </c>
      <c r="DW123"/>
      <c r="DX123"/>
      <c r="DY123" s="36">
        <v>5</v>
      </c>
      <c r="DZ123" s="36" t="s">
        <v>133</v>
      </c>
      <c r="EA123" s="36">
        <v>5</v>
      </c>
      <c r="EB123" s="36" t="s">
        <v>262</v>
      </c>
      <c r="EC123" s="36" t="s">
        <v>265</v>
      </c>
      <c r="ED123" s="36">
        <v>26</v>
      </c>
      <c r="EE123" s="36" t="s">
        <v>325</v>
      </c>
      <c r="EF123" s="36" t="str">
        <f>Tabulacao!MC123</f>
        <v>Estância</v>
      </c>
      <c r="EG123" s="36" t="s">
        <v>291</v>
      </c>
      <c r="EH123" s="36" t="str">
        <f>Tabulacao!MG123</f>
        <v>Lagarto</v>
      </c>
      <c r="EI123" s="36" t="s">
        <v>292</v>
      </c>
      <c r="EJ123" s="36" t="str">
        <f>Tabulacao!MK123</f>
        <v>Aracaju</v>
      </c>
      <c r="EK123" s="36" t="s">
        <v>134</v>
      </c>
      <c r="EL123" s="36" t="s">
        <v>134</v>
      </c>
      <c r="EM123" s="36" t="s">
        <v>134</v>
      </c>
      <c r="EN123" s="36" t="s">
        <v>134</v>
      </c>
      <c r="EO123" s="36" t="s">
        <v>134</v>
      </c>
      <c r="EP123" s="36" t="s">
        <v>134</v>
      </c>
      <c r="EQ123" s="36" t="s">
        <v>273</v>
      </c>
      <c r="ER123" s="36" t="str">
        <f>IF(OR(EQ123=CaractAmostra!$BD$9,EQ123=CaractAmostra!$BD$10,EQ123=CaractAmostra!$BD$11,EQ123=CaractAmostra!$BD$12,EQ123=CaractAmostra!$BD$13),Respostas_Formatadas!EQ123,"Outros")</f>
        <v>Dividia residência com outras pessoas</v>
      </c>
      <c r="ES123" s="36" t="s">
        <v>278</v>
      </c>
      <c r="ET123" s="36" t="str">
        <f>IF(OR(ES123=CaractAmostra!$BH$9,ES123=CaractAmostra!$BH$10,ES123=CaractAmostra!$BH$11,ES123=CaractAmostra!$BH$12),Respostas_Formatadas!ES123,"Outros")</f>
        <v>Divido residência com outras pessoas</v>
      </c>
      <c r="EU123" s="36" t="s">
        <v>134</v>
      </c>
      <c r="EV123" s="36" t="s">
        <v>282</v>
      </c>
      <c r="EW123" s="36" t="s">
        <v>282</v>
      </c>
      <c r="FD123" s="36" t="s">
        <v>613</v>
      </c>
      <c r="FE123" s="115" t="s">
        <v>1246</v>
      </c>
      <c r="FF123" s="97">
        <v>6.6017999999999999</v>
      </c>
      <c r="FI123" s="47" t="str">
        <f t="shared" si="2"/>
        <v>Lagarto</v>
      </c>
      <c r="FJ123" s="47" t="str">
        <f t="shared" si="3"/>
        <v>Licenciatura</v>
      </c>
    </row>
    <row r="124" spans="1:166" s="36" customFormat="1" ht="15.75" customHeight="1" x14ac:dyDescent="0.2">
      <c r="A124" s="38">
        <v>43415.373632523144</v>
      </c>
      <c r="C124" s="36" t="s">
        <v>123</v>
      </c>
      <c r="D124" s="47" t="s">
        <v>134</v>
      </c>
      <c r="M124" s="36" t="s">
        <v>146</v>
      </c>
      <c r="N124" s="36" t="s">
        <v>134</v>
      </c>
      <c r="O124" s="36" t="s">
        <v>134</v>
      </c>
      <c r="P124" s="36" t="s">
        <v>134</v>
      </c>
      <c r="Q124" s="36" t="s">
        <v>134</v>
      </c>
      <c r="R124" s="36" t="s">
        <v>151</v>
      </c>
      <c r="Y124" s="36" t="s">
        <v>134</v>
      </c>
      <c r="AI124" s="40"/>
      <c r="AQ124" s="40"/>
      <c r="BT124" s="36">
        <v>4</v>
      </c>
      <c r="BU124" s="36">
        <v>3</v>
      </c>
      <c r="BV124" s="36">
        <v>3</v>
      </c>
      <c r="BW124" s="36">
        <v>4</v>
      </c>
      <c r="BX124" s="36">
        <v>4</v>
      </c>
      <c r="BY124" s="36">
        <v>4</v>
      </c>
      <c r="BZ124" s="36">
        <v>4</v>
      </c>
      <c r="CA124" s="36">
        <v>4</v>
      </c>
      <c r="CB124" s="36">
        <v>4</v>
      </c>
      <c r="CC124" s="36">
        <v>5</v>
      </c>
      <c r="CD124" s="36">
        <v>5</v>
      </c>
      <c r="CE124" s="36">
        <v>4</v>
      </c>
      <c r="CF124" s="36">
        <v>3</v>
      </c>
      <c r="CG124" s="36">
        <v>1</v>
      </c>
      <c r="CH124" s="36" t="s">
        <v>225</v>
      </c>
      <c r="CI124" t="s">
        <v>226</v>
      </c>
      <c r="CJ124" t="s">
        <v>229</v>
      </c>
      <c r="CK124" s="36" t="s">
        <v>233</v>
      </c>
      <c r="CL124"/>
      <c r="CM124"/>
      <c r="CN124" s="36" t="s">
        <v>242</v>
      </c>
      <c r="CO124" s="36" t="s">
        <v>134</v>
      </c>
      <c r="CP124" s="36">
        <v>1</v>
      </c>
      <c r="CQ124" s="36">
        <v>5</v>
      </c>
      <c r="CR124" s="36" t="s">
        <v>248</v>
      </c>
      <c r="CS124" s="36">
        <v>3</v>
      </c>
      <c r="CT124" s="36">
        <v>4</v>
      </c>
      <c r="CU124" s="36">
        <v>4</v>
      </c>
      <c r="CV124" s="36">
        <v>4</v>
      </c>
      <c r="CW124" s="36">
        <v>4</v>
      </c>
      <c r="CX124" s="36">
        <v>4</v>
      </c>
      <c r="CY124" s="36">
        <v>4</v>
      </c>
      <c r="CZ124" s="36">
        <v>4</v>
      </c>
      <c r="DA124" s="36">
        <v>4</v>
      </c>
      <c r="DB124" s="36">
        <v>4</v>
      </c>
      <c r="DC124" s="36">
        <v>1</v>
      </c>
      <c r="DD124" s="36">
        <v>4</v>
      </c>
      <c r="DE124" s="36">
        <v>4</v>
      </c>
      <c r="DF124" s="36">
        <v>5</v>
      </c>
      <c r="DG124" s="36">
        <v>5</v>
      </c>
      <c r="DH124" s="36">
        <v>4</v>
      </c>
      <c r="DI124" s="36" t="s">
        <v>133</v>
      </c>
      <c r="DJ124" s="36" t="s">
        <v>133</v>
      </c>
      <c r="DK124" s="36" t="s">
        <v>255</v>
      </c>
      <c r="DL124"/>
      <c r="DM124"/>
      <c r="DN124"/>
      <c r="DO124"/>
      <c r="DP124"/>
      <c r="DQ124" s="36">
        <v>4</v>
      </c>
      <c r="DR124" s="36" t="s">
        <v>133</v>
      </c>
      <c r="DS124" s="36" t="s">
        <v>259</v>
      </c>
      <c r="DT124"/>
      <c r="DU124"/>
      <c r="DV124"/>
      <c r="DW124"/>
      <c r="DX124"/>
      <c r="DY124" s="36">
        <v>4</v>
      </c>
      <c r="DZ124" s="36" t="s">
        <v>133</v>
      </c>
      <c r="EA124" s="36">
        <v>5</v>
      </c>
      <c r="EB124" s="36" t="s">
        <v>263</v>
      </c>
      <c r="EC124" s="36" t="s">
        <v>267</v>
      </c>
      <c r="ED124" s="36">
        <v>29</v>
      </c>
      <c r="EE124" s="36" t="s">
        <v>291</v>
      </c>
      <c r="EF124" s="36" t="str">
        <f>Tabulacao!MC124</f>
        <v>Lagarto</v>
      </c>
      <c r="EG124" s="36" t="s">
        <v>291</v>
      </c>
      <c r="EH124" s="36" t="str">
        <f>Tabulacao!MG124</f>
        <v>Lagarto</v>
      </c>
      <c r="EI124" s="36" t="s">
        <v>291</v>
      </c>
      <c r="EJ124" s="36" t="str">
        <f>Tabulacao!MK124</f>
        <v>Lagarto</v>
      </c>
      <c r="EK124" s="36" t="s">
        <v>134</v>
      </c>
      <c r="EL124" s="36" t="s">
        <v>134</v>
      </c>
      <c r="EM124" s="36" t="s">
        <v>134</v>
      </c>
      <c r="EN124" s="36" t="s">
        <v>134</v>
      </c>
      <c r="EO124" s="36" t="s">
        <v>134</v>
      </c>
      <c r="EP124" s="36" t="s">
        <v>134</v>
      </c>
      <c r="EQ124" s="36" t="s">
        <v>275</v>
      </c>
      <c r="ER124" s="36" t="str">
        <f>IF(OR(EQ124=CaractAmostra!$BD$9,EQ124=CaractAmostra!$BD$10,EQ124=CaractAmostra!$BD$11,EQ124=CaractAmostra!$BD$12,EQ124=CaractAmostra!$BD$13),Respostas_Formatadas!EQ124,"Outros")</f>
        <v>Com os pais</v>
      </c>
      <c r="ES124" s="36" t="s">
        <v>275</v>
      </c>
      <c r="ET124" s="36" t="str">
        <f>IF(OR(ES124=CaractAmostra!$BH$9,ES124=CaractAmostra!$BH$10,ES124=CaractAmostra!$BH$11,ES124=CaractAmostra!$BH$12),Respostas_Formatadas!ES124,"Outros")</f>
        <v>Com os pais</v>
      </c>
      <c r="EU124" s="36" t="s">
        <v>279</v>
      </c>
      <c r="EV124" s="36" t="s">
        <v>282</v>
      </c>
      <c r="EW124" s="36" t="s">
        <v>282</v>
      </c>
      <c r="FE124" s="47">
        <v>2017</v>
      </c>
      <c r="FF124" s="97">
        <v>7.4547999999999996</v>
      </c>
      <c r="FI124" s="47" t="str">
        <f t="shared" si="2"/>
        <v>Lagarto</v>
      </c>
      <c r="FJ124" s="47" t="str">
        <f t="shared" si="3"/>
        <v>Licenciatura</v>
      </c>
    </row>
    <row r="125" spans="1:166" s="36" customFormat="1" ht="15.75" customHeight="1" x14ac:dyDescent="0.2">
      <c r="A125" s="38">
        <v>43415.37419563657</v>
      </c>
      <c r="C125" s="36" t="s">
        <v>123</v>
      </c>
      <c r="D125" s="47" t="s">
        <v>134</v>
      </c>
      <c r="M125" s="36" t="s">
        <v>146</v>
      </c>
      <c r="N125" s="36" t="s">
        <v>134</v>
      </c>
      <c r="O125" s="36" t="s">
        <v>134</v>
      </c>
      <c r="P125" s="36" t="s">
        <v>134</v>
      </c>
      <c r="Q125" s="36" t="s">
        <v>134</v>
      </c>
      <c r="R125" s="36" t="s">
        <v>151</v>
      </c>
      <c r="Y125" s="36" t="s">
        <v>165</v>
      </c>
      <c r="Z125" s="36" t="s">
        <v>167</v>
      </c>
      <c r="AA125" s="36" t="s">
        <v>173</v>
      </c>
      <c r="AB125" s="36" t="s">
        <v>179</v>
      </c>
      <c r="AD125" s="36" t="s">
        <v>614</v>
      </c>
      <c r="AE125" s="36">
        <v>1</v>
      </c>
      <c r="AF125" s="36" t="s">
        <v>190</v>
      </c>
      <c r="AG125" s="36" t="s">
        <v>190</v>
      </c>
      <c r="AH125" s="36" t="s">
        <v>133</v>
      </c>
      <c r="AI125" s="40">
        <v>1700</v>
      </c>
      <c r="AJ125" s="36">
        <v>5</v>
      </c>
      <c r="AK125" s="36">
        <v>2</v>
      </c>
      <c r="AL125" s="36" t="s">
        <v>133</v>
      </c>
      <c r="AP125" s="36" t="s">
        <v>614</v>
      </c>
      <c r="AQ125" s="40">
        <v>1700</v>
      </c>
      <c r="AR125" s="36">
        <v>3</v>
      </c>
      <c r="AS125" s="36">
        <v>1</v>
      </c>
      <c r="AT125" s="36">
        <v>1</v>
      </c>
      <c r="AU125" s="36">
        <v>3</v>
      </c>
      <c r="AV125" s="36">
        <v>3</v>
      </c>
      <c r="AW125" s="36" t="s">
        <v>193</v>
      </c>
      <c r="AX125" s="36" t="s">
        <v>205</v>
      </c>
      <c r="AY125" s="36" t="s">
        <v>209</v>
      </c>
      <c r="AZ125" s="36" t="s">
        <v>134</v>
      </c>
      <c r="BA125" s="36" t="s">
        <v>212</v>
      </c>
      <c r="BB125" s="36" t="s">
        <v>593</v>
      </c>
      <c r="BC125" s="36" t="s">
        <v>291</v>
      </c>
      <c r="BD125" s="36" t="s">
        <v>190</v>
      </c>
      <c r="BG125" s="36">
        <v>3</v>
      </c>
      <c r="BH125" s="36">
        <v>4</v>
      </c>
      <c r="BI125" s="36">
        <v>3</v>
      </c>
      <c r="BJ125" s="36">
        <v>2</v>
      </c>
      <c r="BK125" s="36">
        <v>3</v>
      </c>
      <c r="BL125" s="36">
        <v>3</v>
      </c>
      <c r="BM125" s="36">
        <v>4</v>
      </c>
      <c r="BN125" s="36">
        <v>5</v>
      </c>
      <c r="BO125" s="36">
        <v>2</v>
      </c>
      <c r="BP125" s="36">
        <v>3</v>
      </c>
      <c r="BQ125" s="36">
        <v>3</v>
      </c>
      <c r="BR125" s="36">
        <v>5</v>
      </c>
      <c r="BS125" s="36">
        <v>3</v>
      </c>
      <c r="BT125" s="36">
        <v>3</v>
      </c>
      <c r="BU125" s="36">
        <v>3</v>
      </c>
      <c r="BV125" s="36">
        <v>3</v>
      </c>
      <c r="BW125" s="36">
        <v>2</v>
      </c>
      <c r="BX125" s="36">
        <v>3</v>
      </c>
      <c r="BY125" s="36">
        <v>3</v>
      </c>
      <c r="BZ125" s="36">
        <v>4</v>
      </c>
      <c r="CA125" s="36">
        <v>5</v>
      </c>
      <c r="CB125" s="36">
        <v>3</v>
      </c>
      <c r="CC125" s="36">
        <v>3</v>
      </c>
      <c r="CD125" s="36">
        <v>4</v>
      </c>
      <c r="CE125" s="36">
        <v>5</v>
      </c>
      <c r="CF125" s="36">
        <v>4</v>
      </c>
      <c r="CG125" s="36">
        <v>5</v>
      </c>
      <c r="CH125" s="36" t="s">
        <v>222</v>
      </c>
      <c r="CI125" t="s">
        <v>225</v>
      </c>
      <c r="CJ125" t="s">
        <v>229</v>
      </c>
      <c r="CK125" s="36" t="s">
        <v>233</v>
      </c>
      <c r="CL125" t="s">
        <v>234</v>
      </c>
      <c r="CM125" t="s">
        <v>236</v>
      </c>
      <c r="CN125" s="36" t="s">
        <v>242</v>
      </c>
      <c r="CO125" s="36" t="s">
        <v>134</v>
      </c>
      <c r="CP125" s="36">
        <v>5</v>
      </c>
      <c r="CQ125" s="36">
        <v>5</v>
      </c>
      <c r="CR125" s="36" t="s">
        <v>248</v>
      </c>
      <c r="CS125" s="36">
        <v>5</v>
      </c>
      <c r="CT125" s="36">
        <v>3</v>
      </c>
      <c r="CU125" s="36">
        <v>5</v>
      </c>
      <c r="CV125" s="36">
        <v>5</v>
      </c>
      <c r="CW125" s="36">
        <v>5</v>
      </c>
      <c r="CX125" s="36">
        <v>5</v>
      </c>
      <c r="CY125" s="36">
        <v>5</v>
      </c>
      <c r="CZ125" s="36">
        <v>4</v>
      </c>
      <c r="DA125" s="36">
        <v>4</v>
      </c>
      <c r="DB125" s="36">
        <v>5</v>
      </c>
      <c r="DC125" s="36">
        <v>2</v>
      </c>
      <c r="DD125" s="36">
        <v>5</v>
      </c>
      <c r="DE125" s="36">
        <v>3</v>
      </c>
      <c r="DF125" s="36">
        <v>5</v>
      </c>
      <c r="DG125" s="36">
        <v>4</v>
      </c>
      <c r="DH125" s="36">
        <v>3</v>
      </c>
      <c r="DI125" s="36" t="s">
        <v>133</v>
      </c>
      <c r="DJ125" s="36" t="s">
        <v>134</v>
      </c>
      <c r="DL125"/>
      <c r="DM125"/>
      <c r="DN125"/>
      <c r="DO125"/>
      <c r="DP125"/>
      <c r="DR125" s="36" t="s">
        <v>133</v>
      </c>
      <c r="DS125" s="36" t="s">
        <v>259</v>
      </c>
      <c r="DT125"/>
      <c r="DU125"/>
      <c r="DV125"/>
      <c r="DW125"/>
      <c r="DX125"/>
      <c r="DY125" s="36">
        <v>3</v>
      </c>
      <c r="DZ125" s="36" t="s">
        <v>133</v>
      </c>
      <c r="EA125" s="36">
        <v>5</v>
      </c>
      <c r="EB125" s="36" t="s">
        <v>262</v>
      </c>
      <c r="EC125" s="36" t="s">
        <v>267</v>
      </c>
      <c r="ED125" s="36">
        <v>24</v>
      </c>
      <c r="EE125" s="36" t="s">
        <v>466</v>
      </c>
      <c r="EF125" s="36" t="str">
        <f>Tabulacao!MC125</f>
        <v>Lagarto</v>
      </c>
      <c r="EG125" s="36" t="s">
        <v>291</v>
      </c>
      <c r="EH125" s="36" t="str">
        <f>Tabulacao!MG125</f>
        <v>Lagarto</v>
      </c>
      <c r="EI125" s="36" t="s">
        <v>466</v>
      </c>
      <c r="EJ125" s="36" t="str">
        <f>Tabulacao!MK125</f>
        <v>Lagarto</v>
      </c>
      <c r="EK125" s="36" t="s">
        <v>134</v>
      </c>
      <c r="EL125" s="36" t="s">
        <v>134</v>
      </c>
      <c r="EM125" s="36" t="s">
        <v>134</v>
      </c>
      <c r="EN125" s="36" t="s">
        <v>134</v>
      </c>
      <c r="EO125" s="36" t="s">
        <v>134</v>
      </c>
      <c r="EP125" s="36" t="s">
        <v>134</v>
      </c>
      <c r="EQ125" s="36" t="s">
        <v>275</v>
      </c>
      <c r="ER125" s="36" t="str">
        <f>IF(OR(EQ125=CaractAmostra!$BD$9,EQ125=CaractAmostra!$BD$10,EQ125=CaractAmostra!$BD$11,EQ125=CaractAmostra!$BD$12,EQ125=CaractAmostra!$BD$13),Respostas_Formatadas!EQ125,"Outros")</f>
        <v>Com os pais</v>
      </c>
      <c r="ES125" s="36" t="s">
        <v>275</v>
      </c>
      <c r="ET125" s="36" t="str">
        <f>IF(OR(ES125=CaractAmostra!$BH$9,ES125=CaractAmostra!$BH$10,ES125=CaractAmostra!$BH$11,ES125=CaractAmostra!$BH$12),Respostas_Formatadas!ES125,"Outros")</f>
        <v>Com os pais</v>
      </c>
      <c r="EU125" s="36" t="s">
        <v>134</v>
      </c>
      <c r="EV125" s="36" t="s">
        <v>282</v>
      </c>
      <c r="EW125" s="36" t="s">
        <v>192</v>
      </c>
      <c r="FD125" s="36" t="s">
        <v>615</v>
      </c>
      <c r="FE125" s="47">
        <v>2017</v>
      </c>
      <c r="FF125" s="97">
        <v>7.5929000000000002</v>
      </c>
      <c r="FI125" s="47" t="str">
        <f t="shared" si="2"/>
        <v>Lagarto</v>
      </c>
      <c r="FJ125" s="47" t="str">
        <f t="shared" si="3"/>
        <v>Licenciatura</v>
      </c>
    </row>
    <row r="126" spans="1:166" s="36" customFormat="1" ht="15.75" customHeight="1" x14ac:dyDescent="0.2">
      <c r="A126" s="38">
        <v>43415.423177187498</v>
      </c>
      <c r="C126" s="36" t="s">
        <v>123</v>
      </c>
      <c r="D126" s="47" t="s">
        <v>134</v>
      </c>
      <c r="M126" s="36" t="s">
        <v>146</v>
      </c>
      <c r="N126" s="36" t="s">
        <v>134</v>
      </c>
      <c r="O126" s="36" t="s">
        <v>134</v>
      </c>
      <c r="P126" s="36" t="s">
        <v>134</v>
      </c>
      <c r="Q126" s="36" t="s">
        <v>134</v>
      </c>
      <c r="R126" s="36" t="s">
        <v>151</v>
      </c>
      <c r="Y126" s="36" t="s">
        <v>134</v>
      </c>
      <c r="AI126" s="40"/>
      <c r="AQ126" s="40"/>
      <c r="BT126" s="36">
        <v>4</v>
      </c>
      <c r="BU126" s="36">
        <v>3</v>
      </c>
      <c r="BV126" s="36">
        <v>3</v>
      </c>
      <c r="BW126" s="36">
        <v>4</v>
      </c>
      <c r="BX126" s="36">
        <v>3</v>
      </c>
      <c r="BY126" s="36">
        <v>4</v>
      </c>
      <c r="BZ126" s="36">
        <v>4</v>
      </c>
      <c r="CA126" s="36">
        <v>4</v>
      </c>
      <c r="CB126" s="36">
        <v>4</v>
      </c>
      <c r="CC126" s="36">
        <v>4</v>
      </c>
      <c r="CD126" s="36">
        <v>4</v>
      </c>
      <c r="CE126" s="36">
        <v>4</v>
      </c>
      <c r="CF126" s="36">
        <v>3</v>
      </c>
      <c r="CG126" s="36">
        <v>3</v>
      </c>
      <c r="CH126" s="36" t="s">
        <v>222</v>
      </c>
      <c r="CI126" t="s">
        <v>225</v>
      </c>
      <c r="CJ126"/>
      <c r="CK126" s="36" t="s">
        <v>233</v>
      </c>
      <c r="CL126" t="s">
        <v>234</v>
      </c>
      <c r="CM126"/>
      <c r="CN126" s="36" t="s">
        <v>242</v>
      </c>
      <c r="CO126" s="36" t="s">
        <v>133</v>
      </c>
      <c r="CP126" s="36">
        <v>2</v>
      </c>
      <c r="CQ126" s="36">
        <v>4</v>
      </c>
      <c r="CR126" s="36" t="s">
        <v>248</v>
      </c>
      <c r="CS126" s="36">
        <v>4</v>
      </c>
      <c r="CT126" s="36">
        <v>3</v>
      </c>
      <c r="CU126" s="36">
        <v>4</v>
      </c>
      <c r="CV126" s="36">
        <v>4</v>
      </c>
      <c r="CW126" s="36">
        <v>3</v>
      </c>
      <c r="CX126" s="36">
        <v>4</v>
      </c>
      <c r="CY126" s="36">
        <v>4</v>
      </c>
      <c r="CZ126" s="36">
        <v>4</v>
      </c>
      <c r="DA126" s="36">
        <v>3</v>
      </c>
      <c r="DB126" s="36">
        <v>4</v>
      </c>
      <c r="DC126" s="36">
        <v>2</v>
      </c>
      <c r="DD126" s="36">
        <v>5</v>
      </c>
      <c r="DE126" s="36">
        <v>4</v>
      </c>
      <c r="DF126" s="36">
        <v>4</v>
      </c>
      <c r="DG126" s="36">
        <v>4</v>
      </c>
      <c r="DH126" s="36">
        <v>4</v>
      </c>
      <c r="DI126" s="36" t="s">
        <v>133</v>
      </c>
      <c r="DJ126" s="36" t="s">
        <v>133</v>
      </c>
      <c r="DK126" s="36" t="s">
        <v>256</v>
      </c>
      <c r="DL126" t="s">
        <v>257</v>
      </c>
      <c r="DM126"/>
      <c r="DN126"/>
      <c r="DO126"/>
      <c r="DP126"/>
      <c r="DQ126" s="36">
        <v>4</v>
      </c>
      <c r="DR126" s="36" t="s">
        <v>133</v>
      </c>
      <c r="DS126" s="36" t="s">
        <v>258</v>
      </c>
      <c r="DT126" t="s">
        <v>259</v>
      </c>
      <c r="DU126"/>
      <c r="DV126"/>
      <c r="DW126" t="s">
        <v>260</v>
      </c>
      <c r="DX126" t="s">
        <v>261</v>
      </c>
      <c r="DY126" s="36">
        <v>5</v>
      </c>
      <c r="DZ126" s="36" t="s">
        <v>133</v>
      </c>
      <c r="EA126" s="36">
        <v>4</v>
      </c>
      <c r="EB126" s="36" t="s">
        <v>263</v>
      </c>
      <c r="EC126" s="36" t="s">
        <v>267</v>
      </c>
      <c r="ED126" s="36">
        <v>24</v>
      </c>
      <c r="EE126" s="36" t="s">
        <v>291</v>
      </c>
      <c r="EF126" s="36" t="str">
        <f>Tabulacao!MC126</f>
        <v>Lagarto</v>
      </c>
      <c r="EG126" s="36" t="s">
        <v>291</v>
      </c>
      <c r="EH126" s="36" t="str">
        <f>Tabulacao!MG126</f>
        <v>Lagarto</v>
      </c>
      <c r="EI126" s="36" t="s">
        <v>291</v>
      </c>
      <c r="EJ126" s="36" t="str">
        <f>Tabulacao!MK126</f>
        <v>Lagarto</v>
      </c>
      <c r="EK126" s="36" t="s">
        <v>134</v>
      </c>
      <c r="EL126" s="36" t="s">
        <v>134</v>
      </c>
      <c r="EM126" s="36" t="s">
        <v>134</v>
      </c>
      <c r="EN126" s="36" t="s">
        <v>134</v>
      </c>
      <c r="EO126" s="36" t="s">
        <v>134</v>
      </c>
      <c r="EP126" s="36" t="s">
        <v>134</v>
      </c>
      <c r="EQ126" s="36" t="s">
        <v>275</v>
      </c>
      <c r="ER126" s="36" t="str">
        <f>IF(OR(EQ126=CaractAmostra!$BD$9,EQ126=CaractAmostra!$BD$10,EQ126=CaractAmostra!$BD$11,EQ126=CaractAmostra!$BD$12,EQ126=CaractAmostra!$BD$13),Respostas_Formatadas!EQ126,"Outros")</f>
        <v>Com os pais</v>
      </c>
      <c r="ES126" s="36" t="s">
        <v>275</v>
      </c>
      <c r="ET126" s="36" t="str">
        <f>IF(OR(ES126=CaractAmostra!$BH$9,ES126=CaractAmostra!$BH$10,ES126=CaractAmostra!$BH$11,ES126=CaractAmostra!$BH$12),Respostas_Formatadas!ES126,"Outros")</f>
        <v>Com os pais</v>
      </c>
      <c r="EU126" s="36" t="s">
        <v>134</v>
      </c>
      <c r="EV126" s="36" t="s">
        <v>284</v>
      </c>
      <c r="EW126" s="36" t="s">
        <v>282</v>
      </c>
      <c r="FE126" s="47">
        <v>2017</v>
      </c>
      <c r="FF126" s="97">
        <v>7.6287000000000003</v>
      </c>
      <c r="FI126" s="47" t="str">
        <f t="shared" si="2"/>
        <v>Lagarto</v>
      </c>
      <c r="FJ126" s="47" t="str">
        <f t="shared" si="3"/>
        <v>Licenciatura</v>
      </c>
    </row>
    <row r="127" spans="1:166" s="36" customFormat="1" ht="15.75" customHeight="1" x14ac:dyDescent="0.2">
      <c r="A127" s="38">
        <v>43415.621847881943</v>
      </c>
      <c r="C127" s="36" t="s">
        <v>121</v>
      </c>
      <c r="D127" s="47" t="s">
        <v>134</v>
      </c>
      <c r="M127" s="36" t="s">
        <v>146</v>
      </c>
      <c r="N127" s="36" t="s">
        <v>134</v>
      </c>
      <c r="O127" s="36" t="s">
        <v>134</v>
      </c>
      <c r="P127" s="36" t="s">
        <v>134</v>
      </c>
      <c r="Q127" s="36" t="s">
        <v>134</v>
      </c>
      <c r="R127" s="36" t="s">
        <v>151</v>
      </c>
      <c r="Y127" s="36" t="s">
        <v>134</v>
      </c>
      <c r="AI127" s="40"/>
      <c r="AQ127" s="40"/>
      <c r="BT127" s="36">
        <v>4</v>
      </c>
      <c r="BU127" s="36">
        <v>2</v>
      </c>
      <c r="BV127" s="36">
        <v>4</v>
      </c>
      <c r="BW127" s="36">
        <v>4</v>
      </c>
      <c r="BX127" s="36">
        <v>4</v>
      </c>
      <c r="BY127" s="36">
        <v>4</v>
      </c>
      <c r="BZ127" s="36">
        <v>3</v>
      </c>
      <c r="CA127" s="36">
        <v>4</v>
      </c>
      <c r="CB127" s="36">
        <v>3</v>
      </c>
      <c r="CC127" s="36">
        <v>4</v>
      </c>
      <c r="CD127" s="36">
        <v>4</v>
      </c>
      <c r="CE127" s="36">
        <v>3</v>
      </c>
      <c r="CF127" s="36">
        <v>1</v>
      </c>
      <c r="CG127" s="36">
        <v>2</v>
      </c>
      <c r="CH127" s="36" t="s">
        <v>229</v>
      </c>
      <c r="CI127"/>
      <c r="CJ127"/>
      <c r="CK127" s="36" t="s">
        <v>233</v>
      </c>
      <c r="CL127"/>
      <c r="CM127"/>
      <c r="CN127" s="36" t="s">
        <v>242</v>
      </c>
      <c r="CO127" s="36" t="s">
        <v>133</v>
      </c>
      <c r="CP127" s="36">
        <v>4</v>
      </c>
      <c r="CQ127" s="36">
        <v>5</v>
      </c>
      <c r="CR127" s="36" t="s">
        <v>248</v>
      </c>
      <c r="CS127" s="36">
        <v>3</v>
      </c>
      <c r="CT127" s="36">
        <v>3</v>
      </c>
      <c r="CU127" s="36">
        <v>4</v>
      </c>
      <c r="CV127" s="36">
        <v>3</v>
      </c>
      <c r="CW127" s="36">
        <v>4</v>
      </c>
      <c r="CX127" s="36">
        <v>4</v>
      </c>
      <c r="CY127" s="36">
        <v>4</v>
      </c>
      <c r="CZ127" s="36">
        <v>2</v>
      </c>
      <c r="DA127" s="36">
        <v>4</v>
      </c>
      <c r="DB127" s="36">
        <v>3</v>
      </c>
      <c r="DC127" s="36">
        <v>2</v>
      </c>
      <c r="DD127" s="36">
        <v>4</v>
      </c>
      <c r="DE127" s="36">
        <v>4</v>
      </c>
      <c r="DF127" s="36">
        <v>5</v>
      </c>
      <c r="DG127" s="36">
        <v>5</v>
      </c>
      <c r="DH127" s="36">
        <v>4</v>
      </c>
      <c r="DI127" s="36" t="s">
        <v>133</v>
      </c>
      <c r="DJ127" s="36" t="s">
        <v>133</v>
      </c>
      <c r="DK127" s="36" t="s">
        <v>255</v>
      </c>
      <c r="DL127"/>
      <c r="DM127"/>
      <c r="DN127"/>
      <c r="DO127"/>
      <c r="DP127"/>
      <c r="DQ127" s="36">
        <v>5</v>
      </c>
      <c r="DR127" s="36" t="s">
        <v>134</v>
      </c>
      <c r="DT127"/>
      <c r="DU127"/>
      <c r="DV127"/>
      <c r="DW127"/>
      <c r="DX127"/>
      <c r="DZ127" s="36" t="s">
        <v>133</v>
      </c>
      <c r="EA127" s="36">
        <v>4</v>
      </c>
      <c r="EB127" s="36" t="s">
        <v>263</v>
      </c>
      <c r="EC127" s="36" t="s">
        <v>264</v>
      </c>
      <c r="ED127" s="36">
        <v>25</v>
      </c>
      <c r="EE127" s="36" t="s">
        <v>292</v>
      </c>
      <c r="EF127" s="36" t="str">
        <f>Tabulacao!MC127</f>
        <v>Aracaju</v>
      </c>
      <c r="EG127" s="36" t="s">
        <v>292</v>
      </c>
      <c r="EH127" s="36" t="str">
        <f>Tabulacao!MG127</f>
        <v>Aracaju</v>
      </c>
      <c r="EI127" s="36" t="s">
        <v>616</v>
      </c>
      <c r="EJ127" s="36" t="str">
        <f>Tabulacao!MK127</f>
        <v>Areia Branca</v>
      </c>
      <c r="EK127" s="36" t="s">
        <v>134</v>
      </c>
      <c r="EL127" s="36" t="s">
        <v>134</v>
      </c>
      <c r="EM127" s="36" t="s">
        <v>134</v>
      </c>
      <c r="EN127" s="36" t="s">
        <v>134</v>
      </c>
      <c r="EO127" s="36" t="s">
        <v>134</v>
      </c>
      <c r="EP127" s="36" t="s">
        <v>134</v>
      </c>
      <c r="EQ127" s="36" t="s">
        <v>275</v>
      </c>
      <c r="ER127" s="36" t="str">
        <f>IF(OR(EQ127=CaractAmostra!$BD$9,EQ127=CaractAmostra!$BD$10,EQ127=CaractAmostra!$BD$11,EQ127=CaractAmostra!$BD$12,EQ127=CaractAmostra!$BD$13),Respostas_Formatadas!EQ127,"Outros")</f>
        <v>Com os pais</v>
      </c>
      <c r="ES127" s="36" t="s">
        <v>274</v>
      </c>
      <c r="ET127" s="36" t="str">
        <f>IF(OR(ES127=CaractAmostra!$BH$9,ES127=CaractAmostra!$BH$10,ES127=CaractAmostra!$BH$11,ES127=CaractAmostra!$BH$12),Respostas_Formatadas!ES127,"Outros")</f>
        <v>Com um(a) parceiro(a)</v>
      </c>
      <c r="EU127" s="36" t="s">
        <v>134</v>
      </c>
      <c r="EV127" s="36" t="s">
        <v>285</v>
      </c>
      <c r="EW127" s="36" t="s">
        <v>285</v>
      </c>
      <c r="FE127" s="47">
        <v>2016</v>
      </c>
      <c r="FF127" s="97">
        <v>7.3388</v>
      </c>
      <c r="FI127" s="47" t="str">
        <f t="shared" si="2"/>
        <v>Aracaju</v>
      </c>
      <c r="FJ127" s="47" t="str">
        <f t="shared" si="3"/>
        <v>Licenciatura</v>
      </c>
    </row>
    <row r="128" spans="1:166" s="36" customFormat="1" ht="15.75" customHeight="1" x14ac:dyDescent="0.2">
      <c r="A128" s="38">
        <v>43416.644781608797</v>
      </c>
      <c r="C128" s="36" t="s">
        <v>124</v>
      </c>
      <c r="D128" s="47" t="s">
        <v>134</v>
      </c>
      <c r="M128" s="36" t="s">
        <v>147</v>
      </c>
      <c r="N128" s="36" t="s">
        <v>134</v>
      </c>
      <c r="O128" s="36" t="s">
        <v>134</v>
      </c>
      <c r="P128" s="36" t="s">
        <v>133</v>
      </c>
      <c r="Q128" s="36" t="s">
        <v>133</v>
      </c>
      <c r="R128" s="36" t="s">
        <v>151</v>
      </c>
      <c r="Y128" s="36" t="s">
        <v>166</v>
      </c>
      <c r="AC128" s="36" t="s">
        <v>186</v>
      </c>
      <c r="AD128" s="36" t="s">
        <v>391</v>
      </c>
      <c r="AE128" s="36">
        <v>4</v>
      </c>
      <c r="AF128" s="36" t="s">
        <v>190</v>
      </c>
      <c r="AG128" s="36" t="s">
        <v>190</v>
      </c>
      <c r="AH128" s="36" t="s">
        <v>134</v>
      </c>
      <c r="AI128" s="40">
        <v>3500</v>
      </c>
      <c r="AJ128" s="36">
        <v>4</v>
      </c>
      <c r="AK128" s="36">
        <v>1</v>
      </c>
      <c r="AL128" s="36" t="s">
        <v>133</v>
      </c>
      <c r="AP128" s="36" t="s">
        <v>391</v>
      </c>
      <c r="AQ128" s="40">
        <v>3500</v>
      </c>
      <c r="AR128" s="36">
        <v>3</v>
      </c>
      <c r="AS128" s="36">
        <v>4</v>
      </c>
      <c r="AT128" s="36">
        <v>1</v>
      </c>
      <c r="AU128" s="36">
        <v>4</v>
      </c>
      <c r="AV128" s="36">
        <v>2</v>
      </c>
      <c r="AW128" s="36" t="s">
        <v>197</v>
      </c>
      <c r="AX128" s="36" t="s">
        <v>206</v>
      </c>
      <c r="AY128" s="36" t="s">
        <v>208</v>
      </c>
      <c r="AZ128" s="36" t="s">
        <v>133</v>
      </c>
      <c r="BA128" s="36" t="s">
        <v>170</v>
      </c>
      <c r="BB128" s="36" t="s">
        <v>399</v>
      </c>
      <c r="BC128" s="36" t="s">
        <v>399</v>
      </c>
      <c r="BD128" s="36" t="s">
        <v>190</v>
      </c>
      <c r="BG128" s="36">
        <v>1</v>
      </c>
      <c r="BH128" s="36">
        <v>4</v>
      </c>
      <c r="BI128" s="36">
        <v>4</v>
      </c>
      <c r="BJ128" s="36">
        <v>2</v>
      </c>
      <c r="BK128" s="36">
        <v>4</v>
      </c>
      <c r="BL128" s="36">
        <v>5</v>
      </c>
      <c r="BM128" s="36">
        <v>5</v>
      </c>
      <c r="BN128" s="36">
        <v>5</v>
      </c>
      <c r="BO128" s="36">
        <v>5</v>
      </c>
      <c r="BP128" s="36">
        <v>5</v>
      </c>
      <c r="BQ128" s="36">
        <v>4</v>
      </c>
      <c r="BR128" s="36">
        <v>5</v>
      </c>
      <c r="BS128" s="36">
        <v>1</v>
      </c>
      <c r="BT128" s="36">
        <v>3</v>
      </c>
      <c r="BU128" s="36">
        <v>2</v>
      </c>
      <c r="BV128" s="36">
        <v>4</v>
      </c>
      <c r="BW128" s="36">
        <v>4</v>
      </c>
      <c r="BX128" s="36">
        <v>4</v>
      </c>
      <c r="BY128" s="36">
        <v>4</v>
      </c>
      <c r="BZ128" s="36">
        <v>4</v>
      </c>
      <c r="CA128" s="36">
        <v>5</v>
      </c>
      <c r="CB128" s="36">
        <v>4</v>
      </c>
      <c r="CC128" s="36">
        <v>4</v>
      </c>
      <c r="CD128" s="36">
        <v>4</v>
      </c>
      <c r="CE128" s="36">
        <v>4</v>
      </c>
      <c r="CF128" s="36">
        <v>4</v>
      </c>
      <c r="CG128" s="36">
        <v>3</v>
      </c>
      <c r="CH128" s="36" t="s">
        <v>222</v>
      </c>
      <c r="CI128" t="s">
        <v>225</v>
      </c>
      <c r="CJ128" t="s">
        <v>226</v>
      </c>
      <c r="CK128" s="36" t="s">
        <v>232</v>
      </c>
      <c r="CL128" t="s">
        <v>225</v>
      </c>
      <c r="CM128" t="s">
        <v>235</v>
      </c>
      <c r="CN128" s="36" t="s">
        <v>242</v>
      </c>
      <c r="CO128" s="36" t="s">
        <v>133</v>
      </c>
      <c r="CP128" s="36">
        <v>1</v>
      </c>
      <c r="CQ128" s="36">
        <v>5</v>
      </c>
      <c r="CR128" s="36" t="s">
        <v>248</v>
      </c>
      <c r="CS128" s="36">
        <v>3</v>
      </c>
      <c r="CT128" s="36">
        <v>1</v>
      </c>
      <c r="CU128" s="36">
        <v>3</v>
      </c>
      <c r="CV128" s="36">
        <v>3</v>
      </c>
      <c r="CW128" s="36">
        <v>4</v>
      </c>
      <c r="CX128" s="36">
        <v>5</v>
      </c>
      <c r="CY128" s="36">
        <v>5</v>
      </c>
      <c r="CZ128" s="36">
        <v>5</v>
      </c>
      <c r="DA128" s="36">
        <v>2</v>
      </c>
      <c r="DB128" s="36">
        <v>3</v>
      </c>
      <c r="DC128" s="36">
        <v>1</v>
      </c>
      <c r="DD128" s="36">
        <v>4</v>
      </c>
      <c r="DE128" s="36">
        <v>5</v>
      </c>
      <c r="DF128" s="36">
        <v>5</v>
      </c>
      <c r="DG128" s="36">
        <v>5</v>
      </c>
      <c r="DH128" s="36">
        <v>2</v>
      </c>
      <c r="DI128" s="36" t="s">
        <v>133</v>
      </c>
      <c r="DJ128" s="36" t="s">
        <v>133</v>
      </c>
      <c r="DK128" s="36" t="s">
        <v>254</v>
      </c>
      <c r="DL128"/>
      <c r="DM128"/>
      <c r="DN128"/>
      <c r="DO128"/>
      <c r="DP128"/>
      <c r="DQ128" s="36">
        <v>2</v>
      </c>
      <c r="DR128" s="36" t="s">
        <v>133</v>
      </c>
      <c r="DS128" s="36" t="s">
        <v>617</v>
      </c>
      <c r="DT128"/>
      <c r="DU128"/>
      <c r="DV128"/>
      <c r="DW128"/>
      <c r="DX128"/>
      <c r="DY128" s="36">
        <v>5</v>
      </c>
      <c r="DZ128" s="36" t="s">
        <v>134</v>
      </c>
      <c r="EB128" s="36" t="s">
        <v>262</v>
      </c>
      <c r="EC128" s="36" t="s">
        <v>267</v>
      </c>
      <c r="ED128" s="36">
        <v>31</v>
      </c>
      <c r="EE128" s="36" t="s">
        <v>292</v>
      </c>
      <c r="EF128" s="36" t="str">
        <f>Tabulacao!MC128</f>
        <v>Aracaju</v>
      </c>
      <c r="EG128" s="36" t="s">
        <v>292</v>
      </c>
      <c r="EH128" s="36" t="str">
        <f>Tabulacao!MG128</f>
        <v>Aracaju</v>
      </c>
      <c r="EI128" s="36" t="s">
        <v>292</v>
      </c>
      <c r="EJ128" s="36" t="str">
        <f>Tabulacao!MK128</f>
        <v>Aracaju</v>
      </c>
      <c r="EK128" s="36" t="s">
        <v>134</v>
      </c>
      <c r="EL128" s="36" t="s">
        <v>134</v>
      </c>
      <c r="EM128" s="36" t="s">
        <v>134</v>
      </c>
      <c r="EN128" s="36" t="s">
        <v>134</v>
      </c>
      <c r="EO128" s="36" t="s">
        <v>134</v>
      </c>
      <c r="EP128" s="36" t="s">
        <v>134</v>
      </c>
      <c r="EQ128" s="36" t="s">
        <v>274</v>
      </c>
      <c r="ER128" s="36" t="str">
        <f>IF(OR(EQ128=CaractAmostra!$BD$9,EQ128=CaractAmostra!$BD$10,EQ128=CaractAmostra!$BD$11,EQ128=CaractAmostra!$BD$12,EQ128=CaractAmostra!$BD$13),Respostas_Formatadas!EQ128,"Outros")</f>
        <v>Com um(a) parceiro(a)</v>
      </c>
      <c r="ES128" s="36" t="s">
        <v>274</v>
      </c>
      <c r="ET128" s="36" t="str">
        <f>IF(OR(ES128=CaractAmostra!$BH$9,ES128=CaractAmostra!$BH$10,ES128=CaractAmostra!$BH$11,ES128=CaractAmostra!$BH$12),Respostas_Formatadas!ES128,"Outros")</f>
        <v>Com um(a) parceiro(a)</v>
      </c>
      <c r="EU128" s="36" t="s">
        <v>134</v>
      </c>
      <c r="EV128" s="36" t="s">
        <v>192</v>
      </c>
      <c r="EW128" s="36" t="s">
        <v>283</v>
      </c>
      <c r="FD128" s="36" t="s">
        <v>618</v>
      </c>
      <c r="FE128" s="47">
        <v>2017</v>
      </c>
      <c r="FF128" s="97">
        <v>9.1316000000000006</v>
      </c>
      <c r="FI128" s="47" t="str">
        <f t="shared" si="2"/>
        <v>Aracaju</v>
      </c>
      <c r="FJ128" s="47" t="str">
        <f t="shared" si="3"/>
        <v>Tecnologia</v>
      </c>
    </row>
    <row r="129" spans="1:166" s="36" customFormat="1" ht="15.75" customHeight="1" x14ac:dyDescent="0.2">
      <c r="A129" s="38">
        <v>43417.460519537039</v>
      </c>
      <c r="C129" s="36" t="s">
        <v>119</v>
      </c>
      <c r="D129" s="47" t="s">
        <v>134</v>
      </c>
      <c r="M129" s="36" t="s">
        <v>146</v>
      </c>
      <c r="N129" s="36" t="s">
        <v>134</v>
      </c>
      <c r="O129" s="36" t="s">
        <v>134</v>
      </c>
      <c r="P129" s="36" t="s">
        <v>133</v>
      </c>
      <c r="Q129" s="36" t="s">
        <v>133</v>
      </c>
      <c r="R129" s="36" t="s">
        <v>151</v>
      </c>
      <c r="Y129" s="36" t="s">
        <v>134</v>
      </c>
      <c r="AI129" s="40"/>
      <c r="AQ129" s="40"/>
      <c r="BT129" s="36">
        <v>3</v>
      </c>
      <c r="BU129" s="36">
        <v>4</v>
      </c>
      <c r="BV129" s="36">
        <v>4</v>
      </c>
      <c r="BW129" s="36">
        <v>4</v>
      </c>
      <c r="BX129" s="36">
        <v>4</v>
      </c>
      <c r="BY129" s="36">
        <v>4</v>
      </c>
      <c r="BZ129" s="36">
        <v>4</v>
      </c>
      <c r="CA129" s="36">
        <v>4</v>
      </c>
      <c r="CB129" s="36">
        <v>4</v>
      </c>
      <c r="CC129" s="36">
        <v>4</v>
      </c>
      <c r="CD129" s="36">
        <v>4</v>
      </c>
      <c r="CE129" s="36">
        <v>3</v>
      </c>
      <c r="CF129" s="36">
        <v>4</v>
      </c>
      <c r="CG129" s="36">
        <v>3</v>
      </c>
      <c r="CH129" s="36" t="s">
        <v>222</v>
      </c>
      <c r="CI129" t="s">
        <v>226</v>
      </c>
      <c r="CJ129" t="s">
        <v>229</v>
      </c>
      <c r="CK129" s="36" t="s">
        <v>236</v>
      </c>
      <c r="CL129"/>
      <c r="CM129"/>
      <c r="CN129" s="36" t="s">
        <v>242</v>
      </c>
      <c r="CO129" s="36" t="s">
        <v>134</v>
      </c>
      <c r="CP129" s="36">
        <v>2</v>
      </c>
      <c r="CQ129" s="36">
        <v>5</v>
      </c>
      <c r="CR129" s="36" t="s">
        <v>248</v>
      </c>
      <c r="CS129" s="36">
        <v>3</v>
      </c>
      <c r="CT129" s="36">
        <v>3</v>
      </c>
      <c r="CU129" s="36">
        <v>2</v>
      </c>
      <c r="CV129" s="36">
        <v>1</v>
      </c>
      <c r="CW129" s="36">
        <v>2</v>
      </c>
      <c r="CX129" s="36">
        <v>4</v>
      </c>
      <c r="CY129" s="36">
        <v>4</v>
      </c>
      <c r="CZ129" s="36">
        <v>4</v>
      </c>
      <c r="DA129" s="36">
        <v>1</v>
      </c>
      <c r="DB129" s="36">
        <v>2</v>
      </c>
      <c r="DC129" s="36">
        <v>3</v>
      </c>
      <c r="DD129" s="36">
        <v>3</v>
      </c>
      <c r="DE129" s="36">
        <v>2</v>
      </c>
      <c r="DF129" s="36">
        <v>3</v>
      </c>
      <c r="DG129" s="36">
        <v>4</v>
      </c>
      <c r="DH129" s="36">
        <v>3</v>
      </c>
      <c r="DI129" s="36" t="s">
        <v>251</v>
      </c>
      <c r="DJ129" s="36" t="s">
        <v>134</v>
      </c>
      <c r="DL129"/>
      <c r="DM129"/>
      <c r="DN129"/>
      <c r="DO129"/>
      <c r="DP129"/>
      <c r="DR129" s="36" t="s">
        <v>134</v>
      </c>
      <c r="DT129"/>
      <c r="DU129"/>
      <c r="DV129"/>
      <c r="DW129"/>
      <c r="DX129"/>
      <c r="DZ129" s="36" t="s">
        <v>134</v>
      </c>
      <c r="EB129" s="36" t="s">
        <v>262</v>
      </c>
      <c r="EC129" s="36" t="s">
        <v>267</v>
      </c>
      <c r="ED129" s="36">
        <v>24</v>
      </c>
      <c r="EE129" s="36" t="s">
        <v>619</v>
      </c>
      <c r="EF129" s="36" t="str">
        <f>Tabulacao!MC129</f>
        <v>Nossa Senhora do Socorro</v>
      </c>
      <c r="EG129" s="36" t="s">
        <v>619</v>
      </c>
      <c r="EH129" s="36" t="str">
        <f>Tabulacao!MG129</f>
        <v>Nossa Senhora do Socorro</v>
      </c>
      <c r="EI129" s="36" t="s">
        <v>292</v>
      </c>
      <c r="EJ129" s="36" t="str">
        <f>Tabulacao!MK129</f>
        <v>Aracaju</v>
      </c>
      <c r="EK129" s="36" t="s">
        <v>134</v>
      </c>
      <c r="EL129" s="36" t="s">
        <v>134</v>
      </c>
      <c r="EM129" s="36" t="s">
        <v>134</v>
      </c>
      <c r="EN129" s="36" t="s">
        <v>134</v>
      </c>
      <c r="EO129" s="36" t="s">
        <v>134</v>
      </c>
      <c r="EP129" s="36" t="s">
        <v>134</v>
      </c>
      <c r="EQ129" s="36" t="s">
        <v>272</v>
      </c>
      <c r="ER129" s="36" t="str">
        <f>IF(OR(EQ129=CaractAmostra!$BD$9,EQ129=CaractAmostra!$BD$10,EQ129=CaractAmostra!$BD$11,EQ129=CaractAmostra!$BD$12,EQ129=CaractAmostra!$BD$13),Respostas_Formatadas!EQ129,"Outros")</f>
        <v>Morava sozinho</v>
      </c>
      <c r="ES129" s="36" t="s">
        <v>277</v>
      </c>
      <c r="ET129" s="36" t="str">
        <f>IF(OR(ES129=CaractAmostra!$BH$9,ES129=CaractAmostra!$BH$10,ES129=CaractAmostra!$BH$11,ES129=CaractAmostra!$BH$12),Respostas_Formatadas!ES129,"Outros")</f>
        <v>Sozinho</v>
      </c>
      <c r="EU129" s="36" t="s">
        <v>134</v>
      </c>
      <c r="EV129" s="36" t="s">
        <v>288</v>
      </c>
      <c r="EW129" s="36" t="s">
        <v>285</v>
      </c>
      <c r="FE129" s="47">
        <v>2017</v>
      </c>
      <c r="FF129" s="97">
        <v>7.4333</v>
      </c>
      <c r="FI129" s="47" t="str">
        <f t="shared" si="2"/>
        <v>Aracaju</v>
      </c>
      <c r="FJ129" s="47" t="str">
        <f t="shared" si="3"/>
        <v>Bacharelado</v>
      </c>
    </row>
    <row r="130" spans="1:166" s="36" customFormat="1" ht="15.75" customHeight="1" x14ac:dyDescent="0.2">
      <c r="A130" s="38">
        <v>43417.502273657403</v>
      </c>
      <c r="C130" s="36" t="s">
        <v>119</v>
      </c>
      <c r="D130" s="47" t="s">
        <v>133</v>
      </c>
      <c r="E130" s="36" t="s">
        <v>135</v>
      </c>
      <c r="H130" s="36" t="s">
        <v>142</v>
      </c>
      <c r="I130" s="36" t="s">
        <v>144</v>
      </c>
      <c r="J130" s="36" t="s">
        <v>961</v>
      </c>
      <c r="M130" s="36" t="s">
        <v>146</v>
      </c>
      <c r="N130" s="36" t="s">
        <v>134</v>
      </c>
      <c r="O130" s="36" t="s">
        <v>133</v>
      </c>
      <c r="P130" s="36" t="s">
        <v>133</v>
      </c>
      <c r="Q130" s="36" t="s">
        <v>134</v>
      </c>
      <c r="R130" s="36" t="s">
        <v>151</v>
      </c>
      <c r="Y130" s="36" t="s">
        <v>166</v>
      </c>
      <c r="AC130" s="36" t="s">
        <v>185</v>
      </c>
      <c r="AD130" s="36" t="s">
        <v>622</v>
      </c>
      <c r="AE130" s="36">
        <v>3</v>
      </c>
      <c r="AF130" s="36" t="s">
        <v>189</v>
      </c>
      <c r="AG130" s="36" t="s">
        <v>189</v>
      </c>
      <c r="AH130" s="36" t="s">
        <v>134</v>
      </c>
      <c r="AI130" s="40">
        <v>1000</v>
      </c>
      <c r="AJ130" s="36">
        <v>4</v>
      </c>
      <c r="AK130" s="36">
        <v>2</v>
      </c>
      <c r="AL130" s="36" t="s">
        <v>134</v>
      </c>
      <c r="AM130" s="36" t="s">
        <v>169</v>
      </c>
      <c r="AN130" s="36">
        <v>3</v>
      </c>
      <c r="AO130" s="36" t="s">
        <v>133</v>
      </c>
      <c r="AP130" s="36" t="s">
        <v>623</v>
      </c>
      <c r="AQ130" s="40">
        <v>1200</v>
      </c>
      <c r="AR130" s="36">
        <v>2</v>
      </c>
      <c r="AS130" s="36">
        <v>5</v>
      </c>
      <c r="AT130" s="36">
        <v>1</v>
      </c>
      <c r="AU130" s="36">
        <v>3</v>
      </c>
      <c r="AV130" s="36">
        <v>2</v>
      </c>
      <c r="AW130" s="36" t="s">
        <v>201</v>
      </c>
      <c r="AX130" s="36" t="s">
        <v>204</v>
      </c>
      <c r="AY130" s="36" t="s">
        <v>211</v>
      </c>
      <c r="BG130" s="36">
        <v>4</v>
      </c>
      <c r="BH130" s="36">
        <v>4</v>
      </c>
      <c r="BI130" s="36">
        <v>4</v>
      </c>
      <c r="BJ130" s="36">
        <v>4</v>
      </c>
      <c r="BK130" s="36">
        <v>5</v>
      </c>
      <c r="BL130" s="36">
        <v>3</v>
      </c>
      <c r="BM130" s="36">
        <v>5</v>
      </c>
      <c r="BN130" s="36">
        <v>4</v>
      </c>
      <c r="BO130" s="36">
        <v>4</v>
      </c>
      <c r="BP130" s="36">
        <v>3</v>
      </c>
      <c r="BQ130" s="36">
        <v>5</v>
      </c>
      <c r="BR130" s="36">
        <v>5</v>
      </c>
      <c r="BS130" s="36">
        <v>2</v>
      </c>
      <c r="BT130" s="36">
        <v>4</v>
      </c>
      <c r="BU130" s="36">
        <v>3</v>
      </c>
      <c r="BV130" s="36">
        <v>4</v>
      </c>
      <c r="BW130" s="36">
        <v>4</v>
      </c>
      <c r="BX130" s="36">
        <v>5</v>
      </c>
      <c r="BY130" s="36">
        <v>4</v>
      </c>
      <c r="BZ130" s="36">
        <v>4</v>
      </c>
      <c r="CA130" s="36">
        <v>4</v>
      </c>
      <c r="CB130" s="36">
        <v>3</v>
      </c>
      <c r="CC130" s="36">
        <v>3</v>
      </c>
      <c r="CD130" s="36">
        <v>5</v>
      </c>
      <c r="CE130" s="36">
        <v>5</v>
      </c>
      <c r="CF130" s="36">
        <v>3</v>
      </c>
      <c r="CG130" s="36">
        <v>3</v>
      </c>
      <c r="CH130" s="36" t="s">
        <v>222</v>
      </c>
      <c r="CI130" t="s">
        <v>225</v>
      </c>
      <c r="CJ130"/>
      <c r="CK130" s="36" t="s">
        <v>234</v>
      </c>
      <c r="CL130" t="s">
        <v>235</v>
      </c>
      <c r="CM130" t="s">
        <v>240</v>
      </c>
      <c r="CN130" s="36" t="s">
        <v>242</v>
      </c>
      <c r="CO130" s="36" t="s">
        <v>134</v>
      </c>
      <c r="CP130" s="36">
        <v>1</v>
      </c>
      <c r="CQ130" s="36">
        <v>4</v>
      </c>
      <c r="CR130" s="36" t="s">
        <v>248</v>
      </c>
      <c r="CS130" s="36">
        <v>4</v>
      </c>
      <c r="CT130" s="36">
        <v>2</v>
      </c>
      <c r="CU130" s="36">
        <v>4</v>
      </c>
      <c r="CV130" s="36">
        <v>4</v>
      </c>
      <c r="CW130" s="36">
        <v>3</v>
      </c>
      <c r="CX130" s="36">
        <v>3</v>
      </c>
      <c r="CY130" s="36">
        <v>3</v>
      </c>
      <c r="CZ130" s="36">
        <v>4</v>
      </c>
      <c r="DA130" s="36">
        <v>2</v>
      </c>
      <c r="DB130" s="36">
        <v>3</v>
      </c>
      <c r="DC130" s="36">
        <v>1</v>
      </c>
      <c r="DD130" s="36">
        <v>5</v>
      </c>
      <c r="DE130" s="36">
        <v>5</v>
      </c>
      <c r="DF130" s="36">
        <v>3</v>
      </c>
      <c r="DG130" s="36">
        <v>4</v>
      </c>
      <c r="DH130" s="36">
        <v>3</v>
      </c>
      <c r="DI130" s="36" t="s">
        <v>133</v>
      </c>
      <c r="DJ130" s="36" t="s">
        <v>133</v>
      </c>
      <c r="DK130" s="36" t="s">
        <v>255</v>
      </c>
      <c r="DL130"/>
      <c r="DM130"/>
      <c r="DN130" t="s">
        <v>256</v>
      </c>
      <c r="DO130"/>
      <c r="DP130"/>
      <c r="DQ130" s="36">
        <v>4</v>
      </c>
      <c r="DR130" s="36" t="s">
        <v>133</v>
      </c>
      <c r="DS130" s="36" t="s">
        <v>624</v>
      </c>
      <c r="DT130"/>
      <c r="DU130"/>
      <c r="DV130"/>
      <c r="DW130"/>
      <c r="DX130"/>
      <c r="DY130" s="36">
        <v>4</v>
      </c>
      <c r="DZ130" s="36" t="s">
        <v>134</v>
      </c>
      <c r="EB130" s="36" t="s">
        <v>263</v>
      </c>
      <c r="EC130" s="36" t="s">
        <v>267</v>
      </c>
      <c r="ED130" s="36">
        <v>24</v>
      </c>
      <c r="EE130" s="36" t="s">
        <v>292</v>
      </c>
      <c r="EF130" s="36" t="str">
        <f>Tabulacao!MC130</f>
        <v>Aracaju</v>
      </c>
      <c r="EG130" s="36" t="s">
        <v>292</v>
      </c>
      <c r="EH130" s="36" t="str">
        <f>Tabulacao!MG130</f>
        <v>Aracaju</v>
      </c>
      <c r="EI130" s="36" t="s">
        <v>292</v>
      </c>
      <c r="EJ130" s="36" t="str">
        <f>Tabulacao!MK130</f>
        <v>Aracaju</v>
      </c>
      <c r="EK130" s="36" t="s">
        <v>134</v>
      </c>
      <c r="EL130" s="36" t="s">
        <v>134</v>
      </c>
      <c r="EM130" s="36" t="s">
        <v>134</v>
      </c>
      <c r="EN130" s="36" t="s">
        <v>134</v>
      </c>
      <c r="EO130" s="36" t="s">
        <v>134</v>
      </c>
      <c r="EP130" s="36" t="s">
        <v>134</v>
      </c>
      <c r="EQ130" s="36" t="s">
        <v>275</v>
      </c>
      <c r="ER130" s="36" t="str">
        <f>IF(OR(EQ130=CaractAmostra!$BD$9,EQ130=CaractAmostra!$BD$10,EQ130=CaractAmostra!$BD$11,EQ130=CaractAmostra!$BD$12,EQ130=CaractAmostra!$BD$13),Respostas_Formatadas!EQ130,"Outros")</f>
        <v>Com os pais</v>
      </c>
      <c r="ES130" s="36" t="s">
        <v>275</v>
      </c>
      <c r="ET130" s="36" t="str">
        <f>IF(OR(ES130=CaractAmostra!$BH$9,ES130=CaractAmostra!$BH$10,ES130=CaractAmostra!$BH$11,ES130=CaractAmostra!$BH$12),Respostas_Formatadas!ES130,"Outros")</f>
        <v>Com os pais</v>
      </c>
      <c r="EU130" s="36" t="s">
        <v>134</v>
      </c>
      <c r="EV130" s="36" t="s">
        <v>282</v>
      </c>
      <c r="EW130" s="36" t="s">
        <v>282</v>
      </c>
      <c r="FE130" s="47">
        <v>2017</v>
      </c>
      <c r="FF130" s="97">
        <v>8.2739999999999991</v>
      </c>
      <c r="FI130" s="47" t="str">
        <f t="shared" si="2"/>
        <v>Aracaju</v>
      </c>
      <c r="FJ130" s="47" t="str">
        <f t="shared" si="3"/>
        <v>Bacharelado</v>
      </c>
    </row>
    <row r="131" spans="1:166" s="36" customFormat="1" ht="15.75" customHeight="1" x14ac:dyDescent="0.2">
      <c r="A131" s="38">
        <v>43417.513219768516</v>
      </c>
      <c r="C131" s="36" t="s">
        <v>119</v>
      </c>
      <c r="D131" s="47" t="s">
        <v>134</v>
      </c>
      <c r="M131" s="36" t="s">
        <v>146</v>
      </c>
      <c r="N131" s="36" t="s">
        <v>134</v>
      </c>
      <c r="O131" s="36" t="s">
        <v>133</v>
      </c>
      <c r="P131" s="36" t="s">
        <v>133</v>
      </c>
      <c r="Q131" s="36" t="s">
        <v>134</v>
      </c>
      <c r="R131" s="36" t="s">
        <v>151</v>
      </c>
      <c r="Y131" s="36" t="s">
        <v>166</v>
      </c>
      <c r="AC131" s="36" t="s">
        <v>185</v>
      </c>
      <c r="AD131" s="36" t="s">
        <v>424</v>
      </c>
      <c r="AE131" s="36">
        <v>4</v>
      </c>
      <c r="AF131" s="36" t="s">
        <v>187</v>
      </c>
      <c r="AG131" s="36" t="s">
        <v>187</v>
      </c>
      <c r="AH131" s="36" t="s">
        <v>134</v>
      </c>
      <c r="AI131" s="40">
        <v>2914</v>
      </c>
      <c r="AJ131" s="36">
        <v>4</v>
      </c>
      <c r="AK131" s="36">
        <v>4</v>
      </c>
      <c r="AL131" s="36" t="s">
        <v>134</v>
      </c>
      <c r="AM131" s="36" t="s">
        <v>170</v>
      </c>
      <c r="AN131" s="36">
        <v>2</v>
      </c>
      <c r="AO131" s="36" t="s">
        <v>133</v>
      </c>
      <c r="AP131" s="36" t="s">
        <v>625</v>
      </c>
      <c r="AQ131" s="40">
        <v>2914</v>
      </c>
      <c r="AR131" s="36">
        <v>2</v>
      </c>
      <c r="AS131" s="36">
        <v>3</v>
      </c>
      <c r="AT131" s="36">
        <v>4</v>
      </c>
      <c r="AU131" s="36">
        <v>3</v>
      </c>
      <c r="AV131" s="36">
        <v>4</v>
      </c>
      <c r="AW131" s="36" t="s">
        <v>192</v>
      </c>
      <c r="AX131" s="36" t="s">
        <v>206</v>
      </c>
      <c r="AY131" s="36" t="s">
        <v>210</v>
      </c>
      <c r="AZ131" s="36" t="s">
        <v>133</v>
      </c>
      <c r="BA131" s="36" t="s">
        <v>212</v>
      </c>
      <c r="BB131" s="36" t="s">
        <v>292</v>
      </c>
      <c r="BC131" s="36" t="s">
        <v>292</v>
      </c>
      <c r="BD131" s="36" t="s">
        <v>187</v>
      </c>
      <c r="BE131" s="36" t="s">
        <v>215</v>
      </c>
      <c r="BG131" s="36">
        <v>4</v>
      </c>
      <c r="BH131" s="36">
        <v>2</v>
      </c>
      <c r="BI131" s="36">
        <v>3</v>
      </c>
      <c r="BJ131" s="36">
        <v>4</v>
      </c>
      <c r="BK131" s="36">
        <v>4</v>
      </c>
      <c r="BL131" s="36">
        <v>5</v>
      </c>
      <c r="BM131" s="36">
        <v>3</v>
      </c>
      <c r="BN131" s="36">
        <v>5</v>
      </c>
      <c r="BO131" s="36">
        <v>3</v>
      </c>
      <c r="BP131" s="36">
        <v>5</v>
      </c>
      <c r="BQ131" s="36">
        <v>2</v>
      </c>
      <c r="BR131" s="36">
        <v>3</v>
      </c>
      <c r="BS131" s="36">
        <v>1</v>
      </c>
      <c r="BT131" s="36">
        <v>3</v>
      </c>
      <c r="BU131" s="36">
        <v>3</v>
      </c>
      <c r="BV131" s="36">
        <v>4</v>
      </c>
      <c r="BW131" s="36">
        <v>4</v>
      </c>
      <c r="BX131" s="36">
        <v>4</v>
      </c>
      <c r="BY131" s="36">
        <v>5</v>
      </c>
      <c r="BZ131" s="36">
        <v>2</v>
      </c>
      <c r="CA131" s="36">
        <v>4</v>
      </c>
      <c r="CB131" s="36">
        <v>3</v>
      </c>
      <c r="CC131" s="36">
        <v>4</v>
      </c>
      <c r="CD131" s="36">
        <v>2</v>
      </c>
      <c r="CE131" s="36">
        <v>3</v>
      </c>
      <c r="CF131" s="36">
        <v>1</v>
      </c>
      <c r="CG131" s="36">
        <v>4</v>
      </c>
      <c r="CH131" s="36" t="s">
        <v>222</v>
      </c>
      <c r="CI131" t="s">
        <v>225</v>
      </c>
      <c r="CJ131"/>
      <c r="CK131" s="36" t="s">
        <v>626</v>
      </c>
      <c r="CL131"/>
      <c r="CM131"/>
      <c r="CN131" s="36" t="s">
        <v>242</v>
      </c>
      <c r="CO131" s="36" t="s">
        <v>134</v>
      </c>
      <c r="CP131" s="36">
        <v>2</v>
      </c>
      <c r="CQ131" s="36">
        <v>4</v>
      </c>
      <c r="CR131" s="36" t="s">
        <v>249</v>
      </c>
      <c r="CS131" s="36">
        <v>2</v>
      </c>
      <c r="CT131" s="36">
        <v>1</v>
      </c>
      <c r="CU131" s="36">
        <v>2</v>
      </c>
      <c r="CV131" s="36">
        <v>1</v>
      </c>
      <c r="CW131" s="36">
        <v>1</v>
      </c>
      <c r="CX131" s="36">
        <v>5</v>
      </c>
      <c r="CY131" s="36">
        <v>4</v>
      </c>
      <c r="CZ131" s="36">
        <v>4</v>
      </c>
      <c r="DA131" s="36">
        <v>1</v>
      </c>
      <c r="DB131" s="36">
        <v>2</v>
      </c>
      <c r="DC131" s="36">
        <v>2</v>
      </c>
      <c r="DD131" s="36">
        <v>4</v>
      </c>
      <c r="DE131" s="36">
        <v>3</v>
      </c>
      <c r="DF131" s="36">
        <v>3</v>
      </c>
      <c r="DG131" s="36">
        <v>3</v>
      </c>
      <c r="DH131" s="36">
        <v>4</v>
      </c>
      <c r="DI131" s="36" t="s">
        <v>133</v>
      </c>
      <c r="DJ131" s="36" t="s">
        <v>133</v>
      </c>
      <c r="DK131" s="36" t="s">
        <v>255</v>
      </c>
      <c r="DL131"/>
      <c r="DM131"/>
      <c r="DN131"/>
      <c r="DO131"/>
      <c r="DP131"/>
      <c r="DQ131" s="36">
        <v>3</v>
      </c>
      <c r="DR131" s="36" t="s">
        <v>134</v>
      </c>
      <c r="DT131"/>
      <c r="DU131"/>
      <c r="DV131"/>
      <c r="DW131"/>
      <c r="DX131"/>
      <c r="DZ131" s="36" t="s">
        <v>134</v>
      </c>
      <c r="EB131" s="36" t="s">
        <v>262</v>
      </c>
      <c r="EC131" s="36" t="s">
        <v>267</v>
      </c>
      <c r="ED131" s="36">
        <v>26</v>
      </c>
      <c r="EE131" s="36" t="s">
        <v>627</v>
      </c>
      <c r="EF131" s="36" t="str">
        <f>Tabulacao!MC131</f>
        <v>Boquim</v>
      </c>
      <c r="EG131" s="36" t="s">
        <v>292</v>
      </c>
      <c r="EH131" s="36" t="str">
        <f>Tabulacao!MG131</f>
        <v>Aracaju</v>
      </c>
      <c r="EI131" s="36" t="s">
        <v>292</v>
      </c>
      <c r="EJ131" s="36" t="str">
        <f>Tabulacao!MK131</f>
        <v>Aracaju</v>
      </c>
      <c r="EK131" s="36" t="s">
        <v>134</v>
      </c>
      <c r="EL131" s="36" t="s">
        <v>134</v>
      </c>
      <c r="EM131" s="36" t="s">
        <v>134</v>
      </c>
      <c r="EN131" s="36" t="s">
        <v>134</v>
      </c>
      <c r="EO131" s="36" t="s">
        <v>134</v>
      </c>
      <c r="EP131" s="36" t="s">
        <v>134</v>
      </c>
      <c r="EQ131" s="36" t="s">
        <v>628</v>
      </c>
      <c r="ER131" s="36" t="str">
        <f>IF(OR(EQ131=CaractAmostra!$BD$9,EQ131=CaractAmostra!$BD$10,EQ131=CaractAmostra!$BD$11,EQ131=CaractAmostra!$BD$12,EQ131=CaractAmostra!$BD$13),Respostas_Formatadas!EQ131,"Outros")</f>
        <v>Outros</v>
      </c>
      <c r="ES131" s="36" t="s">
        <v>274</v>
      </c>
      <c r="ET131" s="36" t="str">
        <f>IF(OR(ES131=CaractAmostra!$BH$9,ES131=CaractAmostra!$BH$10,ES131=CaractAmostra!$BH$11,ES131=CaractAmostra!$BH$12),Respostas_Formatadas!ES131,"Outros")</f>
        <v>Com um(a) parceiro(a)</v>
      </c>
      <c r="EU131" s="36" t="s">
        <v>134</v>
      </c>
      <c r="EV131" s="36" t="s">
        <v>283</v>
      </c>
      <c r="EW131" s="36" t="s">
        <v>285</v>
      </c>
      <c r="FE131" s="47">
        <v>2016</v>
      </c>
      <c r="FF131" s="97">
        <v>7.9650999999999996</v>
      </c>
      <c r="FI131" s="47" t="str">
        <f t="shared" ref="FI131:FI194" si="4">VLOOKUP($C131,$FL$4:$FN$16,2,FALSE)</f>
        <v>Aracaju</v>
      </c>
      <c r="FJ131" s="47" t="str">
        <f t="shared" ref="FJ131:FJ194" si="5">VLOOKUP($C131,$FL$4:$FN$16,3,FALSE)</f>
        <v>Bacharelado</v>
      </c>
    </row>
    <row r="132" spans="1:166" s="36" customFormat="1" ht="15.75" customHeight="1" x14ac:dyDescent="0.2">
      <c r="A132" s="38">
        <v>43417.523960914354</v>
      </c>
      <c r="C132" s="36" t="s">
        <v>122</v>
      </c>
      <c r="D132" s="47" t="s">
        <v>133</v>
      </c>
      <c r="E132" s="36" t="s">
        <v>138</v>
      </c>
      <c r="H132" s="36" t="s">
        <v>141</v>
      </c>
      <c r="I132" s="36" t="s">
        <v>142</v>
      </c>
      <c r="J132" s="36" t="s">
        <v>144</v>
      </c>
      <c r="M132" s="36" t="s">
        <v>147</v>
      </c>
      <c r="N132" s="36" t="s">
        <v>134</v>
      </c>
      <c r="O132" s="36" t="s">
        <v>134</v>
      </c>
      <c r="P132" s="36" t="s">
        <v>134</v>
      </c>
      <c r="Q132" s="36" t="s">
        <v>133</v>
      </c>
      <c r="R132" s="36" t="s">
        <v>151</v>
      </c>
      <c r="Y132" s="36" t="s">
        <v>165</v>
      </c>
      <c r="Z132" s="36" t="s">
        <v>168</v>
      </c>
      <c r="AA132" s="36" t="s">
        <v>173</v>
      </c>
      <c r="AB132" s="36" t="s">
        <v>181</v>
      </c>
      <c r="AD132" s="36" t="s">
        <v>388</v>
      </c>
      <c r="AE132" s="36">
        <v>5</v>
      </c>
      <c r="AF132" s="36" t="s">
        <v>189</v>
      </c>
      <c r="AG132" s="36" t="s">
        <v>189</v>
      </c>
      <c r="AH132" s="36" t="s">
        <v>134</v>
      </c>
      <c r="AI132" s="40">
        <v>678</v>
      </c>
      <c r="AJ132" s="36">
        <v>5</v>
      </c>
      <c r="AK132" s="36">
        <v>3</v>
      </c>
      <c r="AL132" s="36" t="s">
        <v>134</v>
      </c>
      <c r="AM132" s="36" t="s">
        <v>168</v>
      </c>
      <c r="AN132" s="36">
        <v>3</v>
      </c>
      <c r="AO132" s="36" t="s">
        <v>133</v>
      </c>
      <c r="AP132" s="36" t="s">
        <v>388</v>
      </c>
      <c r="AQ132" s="40">
        <v>900</v>
      </c>
      <c r="AR132" s="36">
        <v>2</v>
      </c>
      <c r="AS132" s="36">
        <v>4</v>
      </c>
      <c r="AT132" s="36">
        <v>4</v>
      </c>
      <c r="AU132" s="36">
        <v>3</v>
      </c>
      <c r="AV132" s="36">
        <v>5</v>
      </c>
      <c r="AW132" s="36" t="s">
        <v>192</v>
      </c>
      <c r="AX132" s="36" t="s">
        <v>203</v>
      </c>
      <c r="AY132" s="36" t="s">
        <v>629</v>
      </c>
      <c r="AZ132" s="36" t="s">
        <v>134</v>
      </c>
      <c r="BA132" s="36" t="s">
        <v>212</v>
      </c>
      <c r="BB132" s="36" t="s">
        <v>336</v>
      </c>
      <c r="BC132" s="36" t="s">
        <v>292</v>
      </c>
      <c r="BD132" s="36" t="s">
        <v>189</v>
      </c>
      <c r="BF132" s="36" t="s">
        <v>218</v>
      </c>
      <c r="BG132" s="36">
        <v>4</v>
      </c>
      <c r="BH132" s="36">
        <v>4</v>
      </c>
      <c r="BI132" s="36">
        <v>5</v>
      </c>
      <c r="BJ132" s="36">
        <v>5</v>
      </c>
      <c r="BK132" s="36">
        <v>5</v>
      </c>
      <c r="BL132" s="36">
        <v>5</v>
      </c>
      <c r="BM132" s="36">
        <v>5</v>
      </c>
      <c r="BN132" s="36">
        <v>4</v>
      </c>
      <c r="BO132" s="36">
        <v>4</v>
      </c>
      <c r="BP132" s="36">
        <v>5</v>
      </c>
      <c r="BQ132" s="36">
        <v>5</v>
      </c>
      <c r="BR132" s="36">
        <v>4</v>
      </c>
      <c r="BS132" s="36">
        <v>3</v>
      </c>
      <c r="BT132" s="36">
        <v>4</v>
      </c>
      <c r="BU132" s="36">
        <v>4</v>
      </c>
      <c r="BV132" s="36">
        <v>4</v>
      </c>
      <c r="BW132" s="36">
        <v>5</v>
      </c>
      <c r="BX132" s="36">
        <v>5</v>
      </c>
      <c r="BY132" s="36">
        <v>5</v>
      </c>
      <c r="BZ132" s="36">
        <v>5</v>
      </c>
      <c r="CA132" s="36">
        <v>4</v>
      </c>
      <c r="CB132" s="36">
        <v>4</v>
      </c>
      <c r="CC132" s="36">
        <v>4</v>
      </c>
      <c r="CD132" s="36">
        <v>5</v>
      </c>
      <c r="CE132" s="36">
        <v>4</v>
      </c>
      <c r="CF132" s="36">
        <v>3</v>
      </c>
      <c r="CG132" s="36">
        <v>5</v>
      </c>
      <c r="CH132" s="36" t="s">
        <v>226</v>
      </c>
      <c r="CI132" t="s">
        <v>229</v>
      </c>
      <c r="CJ132" t="s">
        <v>230</v>
      </c>
      <c r="CK132" s="36" t="s">
        <v>232</v>
      </c>
      <c r="CL132" t="s">
        <v>233</v>
      </c>
      <c r="CM132" t="s">
        <v>234</v>
      </c>
      <c r="CN132" s="36" t="s">
        <v>241</v>
      </c>
      <c r="CO132" s="36" t="s">
        <v>134</v>
      </c>
      <c r="CP132" s="36">
        <v>2</v>
      </c>
      <c r="CQ132" s="36">
        <v>4</v>
      </c>
      <c r="CR132" s="36" t="s">
        <v>248</v>
      </c>
      <c r="CS132" s="36">
        <v>5</v>
      </c>
      <c r="CT132" s="36">
        <v>5</v>
      </c>
      <c r="CU132" s="36">
        <v>5</v>
      </c>
      <c r="CV132" s="36">
        <v>5</v>
      </c>
      <c r="CW132" s="36">
        <v>4</v>
      </c>
      <c r="CX132" s="36">
        <v>5</v>
      </c>
      <c r="CY132" s="36">
        <v>5</v>
      </c>
      <c r="CZ132" s="36">
        <v>4</v>
      </c>
      <c r="DA132" s="36">
        <v>3</v>
      </c>
      <c r="DB132" s="36">
        <v>3</v>
      </c>
      <c r="DC132" s="36">
        <v>4</v>
      </c>
      <c r="DD132" s="36">
        <v>4</v>
      </c>
      <c r="DE132" s="36">
        <v>4</v>
      </c>
      <c r="DF132" s="36">
        <v>4</v>
      </c>
      <c r="DG132" s="36">
        <v>4</v>
      </c>
      <c r="DH132" s="36">
        <v>5</v>
      </c>
      <c r="DI132" s="36" t="s">
        <v>250</v>
      </c>
      <c r="DJ132" s="36" t="s">
        <v>133</v>
      </c>
      <c r="DK132" s="36" t="s">
        <v>255</v>
      </c>
      <c r="DL132"/>
      <c r="DM132"/>
      <c r="DN132"/>
      <c r="DO132"/>
      <c r="DP132"/>
      <c r="DQ132" s="36">
        <v>5</v>
      </c>
      <c r="DR132" s="36" t="s">
        <v>133</v>
      </c>
      <c r="DS132" s="36" t="s">
        <v>258</v>
      </c>
      <c r="DT132" t="s">
        <v>259</v>
      </c>
      <c r="DU132"/>
      <c r="DV132"/>
      <c r="DW132" t="s">
        <v>261</v>
      </c>
      <c r="DX132"/>
      <c r="DY132" s="36">
        <v>5</v>
      </c>
      <c r="DZ132" s="36" t="s">
        <v>134</v>
      </c>
      <c r="EB132" s="36" t="s">
        <v>263</v>
      </c>
      <c r="EC132" s="36" t="s">
        <v>267</v>
      </c>
      <c r="ED132" s="36">
        <v>28</v>
      </c>
      <c r="EE132" s="36" t="s">
        <v>304</v>
      </c>
      <c r="EF132" s="36" t="str">
        <f>Tabulacao!MC132</f>
        <v>Aracaju</v>
      </c>
      <c r="EG132" s="36" t="s">
        <v>304</v>
      </c>
      <c r="EH132" s="36" t="str">
        <f>Tabulacao!MG132</f>
        <v>Aracaju</v>
      </c>
      <c r="EI132" s="36" t="s">
        <v>304</v>
      </c>
      <c r="EJ132" s="36" t="str">
        <f>Tabulacao!MK132</f>
        <v>Aracaju</v>
      </c>
      <c r="EK132" s="36" t="s">
        <v>134</v>
      </c>
      <c r="EL132" s="36" t="s">
        <v>134</v>
      </c>
      <c r="EM132" s="36" t="s">
        <v>134</v>
      </c>
      <c r="EN132" s="36" t="s">
        <v>134</v>
      </c>
      <c r="EO132" s="36" t="s">
        <v>134</v>
      </c>
      <c r="EP132" s="36" t="s">
        <v>134</v>
      </c>
      <c r="EQ132" s="36" t="s">
        <v>275</v>
      </c>
      <c r="ER132" s="36" t="str">
        <f>IF(OR(EQ132=CaractAmostra!$BD$9,EQ132=CaractAmostra!$BD$10,EQ132=CaractAmostra!$BD$11,EQ132=CaractAmostra!$BD$12,EQ132=CaractAmostra!$BD$13),Respostas_Formatadas!EQ132,"Outros")</f>
        <v>Com os pais</v>
      </c>
      <c r="ES132" s="36" t="s">
        <v>275</v>
      </c>
      <c r="ET132" s="36" t="str">
        <f>IF(OR(ES132=CaractAmostra!$BH$9,ES132=CaractAmostra!$BH$10,ES132=CaractAmostra!$BH$11,ES132=CaractAmostra!$BH$12),Respostas_Formatadas!ES132,"Outros")</f>
        <v>Com os pais</v>
      </c>
      <c r="EU132" s="36" t="s">
        <v>134</v>
      </c>
      <c r="EV132" s="36" t="s">
        <v>282</v>
      </c>
      <c r="EW132" s="36" t="s">
        <v>282</v>
      </c>
      <c r="FD132" s="36" t="s">
        <v>630</v>
      </c>
      <c r="FE132" s="47">
        <v>2015</v>
      </c>
      <c r="FF132" s="97">
        <v>7.5979000000000001</v>
      </c>
      <c r="FI132" s="47" t="str">
        <f t="shared" si="4"/>
        <v>Aracaju</v>
      </c>
      <c r="FJ132" s="47" t="str">
        <f t="shared" si="5"/>
        <v>Licenciatura</v>
      </c>
    </row>
    <row r="133" spans="1:166" s="36" customFormat="1" ht="15.75" customHeight="1" x14ac:dyDescent="0.2">
      <c r="A133" s="38">
        <v>43417.573173599536</v>
      </c>
      <c r="C133" s="36" t="s">
        <v>119</v>
      </c>
      <c r="D133" s="47" t="s">
        <v>134</v>
      </c>
      <c r="M133" s="36" t="s">
        <v>146</v>
      </c>
      <c r="N133" s="36" t="s">
        <v>134</v>
      </c>
      <c r="O133" s="36" t="s">
        <v>133</v>
      </c>
      <c r="P133" s="36" t="s">
        <v>133</v>
      </c>
      <c r="Q133" s="36" t="s">
        <v>133</v>
      </c>
      <c r="R133" s="36" t="s">
        <v>151</v>
      </c>
      <c r="Y133" s="36" t="s">
        <v>165</v>
      </c>
      <c r="Z133" s="36" t="s">
        <v>168</v>
      </c>
      <c r="AA133" s="36" t="s">
        <v>173</v>
      </c>
      <c r="AB133" s="36" t="s">
        <v>181</v>
      </c>
      <c r="AD133" s="36" t="s">
        <v>584</v>
      </c>
      <c r="AE133" s="36">
        <v>5</v>
      </c>
      <c r="AF133" s="36" t="s">
        <v>631</v>
      </c>
      <c r="AG133" s="36" t="s">
        <v>187</v>
      </c>
      <c r="AH133" s="36" t="s">
        <v>133</v>
      </c>
      <c r="AI133" s="40">
        <v>2500</v>
      </c>
      <c r="AJ133" s="36">
        <v>5</v>
      </c>
      <c r="AK133" s="36">
        <v>3</v>
      </c>
      <c r="AL133" s="36" t="s">
        <v>133</v>
      </c>
      <c r="AP133" s="36" t="s">
        <v>584</v>
      </c>
      <c r="AQ133" s="40">
        <v>2500</v>
      </c>
      <c r="AR133" s="36">
        <v>3</v>
      </c>
      <c r="AS133" s="36">
        <v>3</v>
      </c>
      <c r="AT133" s="36">
        <v>3</v>
      </c>
      <c r="AU133" s="36">
        <v>5</v>
      </c>
      <c r="AV133" s="36">
        <v>5</v>
      </c>
      <c r="AW133" s="36" t="s">
        <v>192</v>
      </c>
      <c r="AX133" s="36" t="s">
        <v>206</v>
      </c>
      <c r="AY133" s="36" t="s">
        <v>210</v>
      </c>
      <c r="AZ133" s="36" t="s">
        <v>133</v>
      </c>
      <c r="BA133" s="36" t="s">
        <v>212</v>
      </c>
      <c r="BB133" s="36" t="s">
        <v>632</v>
      </c>
      <c r="BC133" s="36" t="s">
        <v>1351</v>
      </c>
      <c r="BD133" s="36" t="s">
        <v>189</v>
      </c>
      <c r="BF133" s="36" t="s">
        <v>219</v>
      </c>
      <c r="BG133" s="36">
        <v>5</v>
      </c>
      <c r="BH133" s="36">
        <v>5</v>
      </c>
      <c r="BI133" s="36">
        <v>5</v>
      </c>
      <c r="BJ133" s="36">
        <v>5</v>
      </c>
      <c r="BK133" s="36">
        <v>5</v>
      </c>
      <c r="BL133" s="36">
        <v>5</v>
      </c>
      <c r="BM133" s="36">
        <v>5</v>
      </c>
      <c r="BN133" s="36">
        <v>5</v>
      </c>
      <c r="BO133" s="36">
        <v>5</v>
      </c>
      <c r="BP133" s="36">
        <v>5</v>
      </c>
      <c r="BQ133" s="36">
        <v>3</v>
      </c>
      <c r="BR133" s="36">
        <v>5</v>
      </c>
      <c r="BS133" s="36">
        <v>3</v>
      </c>
      <c r="BT133" s="36">
        <v>5</v>
      </c>
      <c r="BU133" s="36">
        <v>5</v>
      </c>
      <c r="BV133" s="36">
        <v>5</v>
      </c>
      <c r="BW133" s="36">
        <v>5</v>
      </c>
      <c r="BX133" s="36">
        <v>5</v>
      </c>
      <c r="BY133" s="36">
        <v>5</v>
      </c>
      <c r="BZ133" s="36">
        <v>5</v>
      </c>
      <c r="CA133" s="36">
        <v>5</v>
      </c>
      <c r="CB133" s="36">
        <v>5</v>
      </c>
      <c r="CC133" s="36">
        <v>5</v>
      </c>
      <c r="CD133" s="36">
        <v>3</v>
      </c>
      <c r="CE133" s="36">
        <v>5</v>
      </c>
      <c r="CF133" s="36">
        <v>3</v>
      </c>
      <c r="CG133" s="36">
        <v>5</v>
      </c>
      <c r="CH133" s="36" t="s">
        <v>222</v>
      </c>
      <c r="CI133" t="s">
        <v>225</v>
      </c>
      <c r="CJ133" t="s">
        <v>229</v>
      </c>
      <c r="CK133" s="36" t="s">
        <v>233</v>
      </c>
      <c r="CL133" t="s">
        <v>234</v>
      </c>
      <c r="CM133" t="s">
        <v>235</v>
      </c>
      <c r="CN133" s="36" t="s">
        <v>241</v>
      </c>
      <c r="CO133" s="36" t="s">
        <v>134</v>
      </c>
      <c r="CP133" s="36">
        <v>4</v>
      </c>
      <c r="CQ133" s="36">
        <v>3</v>
      </c>
      <c r="CR133" s="36" t="s">
        <v>248</v>
      </c>
      <c r="CS133" s="36">
        <v>3</v>
      </c>
      <c r="CT133" s="36">
        <v>3</v>
      </c>
      <c r="CU133" s="36">
        <v>3</v>
      </c>
      <c r="CV133" s="36">
        <v>1</v>
      </c>
      <c r="CW133" s="36">
        <v>1</v>
      </c>
      <c r="CX133" s="36">
        <v>5</v>
      </c>
      <c r="CY133" s="36">
        <v>4</v>
      </c>
      <c r="CZ133" s="36">
        <v>5</v>
      </c>
      <c r="DA133" s="36">
        <v>5</v>
      </c>
      <c r="DB133" s="36">
        <v>4</v>
      </c>
      <c r="DC133" s="36">
        <v>4</v>
      </c>
      <c r="DD133" s="36">
        <v>4</v>
      </c>
      <c r="DE133" s="36">
        <v>4</v>
      </c>
      <c r="DF133" s="36">
        <v>4</v>
      </c>
      <c r="DG133" s="36">
        <v>4</v>
      </c>
      <c r="DH133" s="36">
        <v>4</v>
      </c>
      <c r="DI133" s="36" t="s">
        <v>133</v>
      </c>
      <c r="DJ133" s="36" t="s">
        <v>134</v>
      </c>
      <c r="DL133"/>
      <c r="DM133"/>
      <c r="DN133"/>
      <c r="DO133"/>
      <c r="DP133"/>
      <c r="DR133" s="36" t="s">
        <v>134</v>
      </c>
      <c r="DT133"/>
      <c r="DU133"/>
      <c r="DV133"/>
      <c r="DW133"/>
      <c r="DX133"/>
      <c r="DZ133" s="36" t="s">
        <v>133</v>
      </c>
      <c r="EA133" s="36">
        <v>5</v>
      </c>
      <c r="EB133" s="36" t="s">
        <v>262</v>
      </c>
      <c r="EC133" s="36" t="s">
        <v>267</v>
      </c>
      <c r="ED133" s="36">
        <v>30</v>
      </c>
      <c r="EE133" s="36" t="s">
        <v>633</v>
      </c>
      <c r="EF133" s="36" t="str">
        <f>Tabulacao!MC133</f>
        <v>Paulo Afonso - BA</v>
      </c>
      <c r="EG133" s="36" t="s">
        <v>292</v>
      </c>
      <c r="EH133" s="36" t="str">
        <f>Tabulacao!MG133</f>
        <v>Aracaju</v>
      </c>
      <c r="EI133" s="36" t="s">
        <v>292</v>
      </c>
      <c r="EJ133" s="36" t="str">
        <f>Tabulacao!MK133</f>
        <v>Aracaju</v>
      </c>
      <c r="EK133" s="36" t="s">
        <v>134</v>
      </c>
      <c r="EL133" s="36" t="s">
        <v>134</v>
      </c>
      <c r="EM133" s="36" t="s">
        <v>134</v>
      </c>
      <c r="EN133" s="36" t="s">
        <v>134</v>
      </c>
      <c r="EO133" s="36" t="s">
        <v>134</v>
      </c>
      <c r="EP133" s="36" t="s">
        <v>134</v>
      </c>
      <c r="EQ133" s="36" t="s">
        <v>274</v>
      </c>
      <c r="ER133" s="36" t="str">
        <f>IF(OR(EQ133=CaractAmostra!$BD$9,EQ133=CaractAmostra!$BD$10,EQ133=CaractAmostra!$BD$11,EQ133=CaractAmostra!$BD$12,EQ133=CaractAmostra!$BD$13),Respostas_Formatadas!EQ133,"Outros")</f>
        <v>Com um(a) parceiro(a)</v>
      </c>
      <c r="ES133" s="36" t="s">
        <v>274</v>
      </c>
      <c r="ET133" s="36" t="str">
        <f>IF(OR(ES133=CaractAmostra!$BH$9,ES133=CaractAmostra!$BH$10,ES133=CaractAmostra!$BH$11,ES133=CaractAmostra!$BH$12),Respostas_Formatadas!ES133,"Outros")</f>
        <v>Com um(a) parceiro(a)</v>
      </c>
      <c r="EU133" s="36" t="s">
        <v>279</v>
      </c>
      <c r="EV133" s="36" t="s">
        <v>285</v>
      </c>
      <c r="EW133" s="36" t="s">
        <v>287</v>
      </c>
      <c r="FE133" s="47">
        <v>2017</v>
      </c>
      <c r="FF133" s="97">
        <v>7.3163</v>
      </c>
      <c r="FG133" s="47">
        <v>2017</v>
      </c>
      <c r="FH133" s="47">
        <f t="shared" ref="FH133:FH177" si="6">FG133-FE133</f>
        <v>0</v>
      </c>
      <c r="FI133" s="47" t="str">
        <f t="shared" si="4"/>
        <v>Aracaju</v>
      </c>
      <c r="FJ133" s="47" t="str">
        <f t="shared" si="5"/>
        <v>Bacharelado</v>
      </c>
    </row>
    <row r="134" spans="1:166" s="36" customFormat="1" ht="15.75" customHeight="1" x14ac:dyDescent="0.2">
      <c r="A134" s="38">
        <v>43417.574395740739</v>
      </c>
      <c r="C134" s="36" t="s">
        <v>121</v>
      </c>
      <c r="D134" s="47" t="s">
        <v>133</v>
      </c>
      <c r="E134" s="36" t="s">
        <v>138</v>
      </c>
      <c r="H134" s="36" t="s">
        <v>142</v>
      </c>
      <c r="M134" s="36" t="s">
        <v>146</v>
      </c>
      <c r="N134" s="36" t="s">
        <v>134</v>
      </c>
      <c r="O134" s="36" t="s">
        <v>133</v>
      </c>
      <c r="P134" s="36" t="s">
        <v>133</v>
      </c>
      <c r="Q134" s="36" t="s">
        <v>134</v>
      </c>
      <c r="R134" s="36" t="s">
        <v>151</v>
      </c>
      <c r="Y134" s="36" t="s">
        <v>165</v>
      </c>
      <c r="Z134" s="36" t="s">
        <v>168</v>
      </c>
      <c r="AA134" s="36" t="s">
        <v>173</v>
      </c>
      <c r="AB134" s="36" t="s">
        <v>182</v>
      </c>
      <c r="AD134" s="36" t="s">
        <v>388</v>
      </c>
      <c r="AE134" s="36">
        <v>5</v>
      </c>
      <c r="AF134" s="36" t="s">
        <v>634</v>
      </c>
      <c r="AG134" s="36" t="s">
        <v>189</v>
      </c>
      <c r="AH134" s="36" t="s">
        <v>134</v>
      </c>
      <c r="AI134" s="40">
        <v>1300</v>
      </c>
      <c r="AJ134" s="36">
        <v>5</v>
      </c>
      <c r="AK134" s="36">
        <v>1</v>
      </c>
      <c r="AL134" s="36" t="s">
        <v>134</v>
      </c>
      <c r="AM134" s="36" t="s">
        <v>170</v>
      </c>
      <c r="AN134" s="36">
        <v>4</v>
      </c>
      <c r="AO134" s="36" t="s">
        <v>191</v>
      </c>
      <c r="AP134" s="36" t="s">
        <v>388</v>
      </c>
      <c r="AQ134" s="40">
        <v>3000</v>
      </c>
      <c r="AR134" s="36">
        <v>4</v>
      </c>
      <c r="AS134" s="36">
        <v>5</v>
      </c>
      <c r="AT134" s="36">
        <v>1</v>
      </c>
      <c r="AU134" s="36">
        <v>5</v>
      </c>
      <c r="AV134" s="36">
        <v>5</v>
      </c>
      <c r="AW134" s="36" t="s">
        <v>192</v>
      </c>
      <c r="AX134" s="36" t="s">
        <v>203</v>
      </c>
      <c r="AY134" s="36" t="s">
        <v>210</v>
      </c>
      <c r="AZ134" s="36" t="s">
        <v>133</v>
      </c>
      <c r="BA134" s="36" t="s">
        <v>213</v>
      </c>
      <c r="BB134" s="36" t="s">
        <v>635</v>
      </c>
      <c r="BC134" s="36" t="s">
        <v>292</v>
      </c>
      <c r="BD134" s="36" t="s">
        <v>189</v>
      </c>
      <c r="BF134" s="36" t="s">
        <v>221</v>
      </c>
      <c r="BG134" s="36">
        <v>5</v>
      </c>
      <c r="BH134" s="36">
        <v>4</v>
      </c>
      <c r="BI134" s="36">
        <v>5</v>
      </c>
      <c r="BJ134" s="36">
        <v>1</v>
      </c>
      <c r="BK134" s="36">
        <v>5</v>
      </c>
      <c r="BL134" s="36">
        <v>5</v>
      </c>
      <c r="BM134" s="36">
        <v>5</v>
      </c>
      <c r="BN134" s="36">
        <v>4</v>
      </c>
      <c r="BO134" s="36">
        <v>4</v>
      </c>
      <c r="BP134" s="36">
        <v>5</v>
      </c>
      <c r="BQ134" s="36">
        <v>4</v>
      </c>
      <c r="BR134" s="36">
        <v>3</v>
      </c>
      <c r="BS134" s="36">
        <v>5</v>
      </c>
      <c r="BT134" s="36">
        <v>5</v>
      </c>
      <c r="BU134" s="36">
        <v>4</v>
      </c>
      <c r="BV134" s="36">
        <v>5</v>
      </c>
      <c r="BW134" s="36">
        <v>2</v>
      </c>
      <c r="BX134" s="36">
        <v>5</v>
      </c>
      <c r="BY134" s="36">
        <v>5</v>
      </c>
      <c r="BZ134" s="36">
        <v>5</v>
      </c>
      <c r="CA134" s="36">
        <v>5</v>
      </c>
      <c r="CB134" s="36">
        <v>5</v>
      </c>
      <c r="CC134" s="36">
        <v>4</v>
      </c>
      <c r="CD134" s="36">
        <v>5</v>
      </c>
      <c r="CE134" s="36">
        <v>5</v>
      </c>
      <c r="CF134" s="36">
        <v>4</v>
      </c>
      <c r="CG134" s="36">
        <v>4</v>
      </c>
      <c r="CH134" s="36" t="s">
        <v>225</v>
      </c>
      <c r="CI134"/>
      <c r="CJ134"/>
      <c r="CK134" s="36" t="s">
        <v>233</v>
      </c>
      <c r="CL134" t="s">
        <v>239</v>
      </c>
      <c r="CM134" t="s">
        <v>240</v>
      </c>
      <c r="CN134" s="36" t="s">
        <v>242</v>
      </c>
      <c r="CO134" s="36" t="s">
        <v>134</v>
      </c>
      <c r="CP134" s="36">
        <v>1</v>
      </c>
      <c r="CQ134" s="36">
        <v>5</v>
      </c>
      <c r="CR134" s="36" t="s">
        <v>248</v>
      </c>
      <c r="CS134" s="36">
        <v>4</v>
      </c>
      <c r="CT134" s="36">
        <v>4</v>
      </c>
      <c r="CU134" s="36">
        <v>5</v>
      </c>
      <c r="CV134" s="36">
        <v>4</v>
      </c>
      <c r="CW134" s="36">
        <v>5</v>
      </c>
      <c r="CX134" s="36">
        <v>5</v>
      </c>
      <c r="CY134" s="36">
        <v>5</v>
      </c>
      <c r="CZ134" s="36">
        <v>5</v>
      </c>
      <c r="DA134" s="36">
        <v>4</v>
      </c>
      <c r="DB134" s="36">
        <v>4</v>
      </c>
      <c r="DC134" s="36">
        <v>3</v>
      </c>
      <c r="DD134" s="36">
        <v>5</v>
      </c>
      <c r="DE134" s="36">
        <v>5</v>
      </c>
      <c r="DF134" s="36">
        <v>5</v>
      </c>
      <c r="DG134" s="36">
        <v>5</v>
      </c>
      <c r="DH134" s="36">
        <v>5</v>
      </c>
      <c r="DI134" s="36" t="s">
        <v>133</v>
      </c>
      <c r="DJ134" s="36" t="s">
        <v>134</v>
      </c>
      <c r="DL134"/>
      <c r="DM134"/>
      <c r="DN134"/>
      <c r="DO134"/>
      <c r="DP134"/>
      <c r="DR134" s="36" t="s">
        <v>133</v>
      </c>
      <c r="DS134" s="36" t="s">
        <v>258</v>
      </c>
      <c r="DT134" t="s">
        <v>259</v>
      </c>
      <c r="DU134"/>
      <c r="DV134"/>
      <c r="DW134" t="s">
        <v>261</v>
      </c>
      <c r="DX134"/>
      <c r="DY134" s="36">
        <v>5</v>
      </c>
      <c r="DZ134" s="36" t="s">
        <v>133</v>
      </c>
      <c r="EA134" s="36">
        <v>5</v>
      </c>
      <c r="EB134" s="36" t="s">
        <v>263</v>
      </c>
      <c r="EC134" s="36" t="s">
        <v>265</v>
      </c>
      <c r="ED134" s="36">
        <v>27</v>
      </c>
      <c r="EE134" s="36" t="s">
        <v>358</v>
      </c>
      <c r="EF134" s="36" t="str">
        <f>Tabulacao!MC134</f>
        <v>Nossa Senhora do Socorro</v>
      </c>
      <c r="EG134" s="36" t="s">
        <v>358</v>
      </c>
      <c r="EH134" s="36" t="str">
        <f>Tabulacao!MG134</f>
        <v>Nossa Senhora do Socorro</v>
      </c>
      <c r="EI134" s="36" t="s">
        <v>358</v>
      </c>
      <c r="EJ134" s="36" t="str">
        <f>Tabulacao!MK134</f>
        <v>Nossa Senhora do Socorro</v>
      </c>
      <c r="EK134" s="36" t="s">
        <v>134</v>
      </c>
      <c r="EL134" s="36" t="s">
        <v>134</v>
      </c>
      <c r="EM134" s="36" t="s">
        <v>134</v>
      </c>
      <c r="EN134" s="36" t="s">
        <v>270</v>
      </c>
      <c r="EO134" s="36" t="s">
        <v>270</v>
      </c>
      <c r="EP134" s="36" t="s">
        <v>270</v>
      </c>
      <c r="EQ134" s="36" t="s">
        <v>275</v>
      </c>
      <c r="ER134" s="36" t="str">
        <f>IF(OR(EQ134=CaractAmostra!$BD$9,EQ134=CaractAmostra!$BD$10,EQ134=CaractAmostra!$BD$11,EQ134=CaractAmostra!$BD$12,EQ134=CaractAmostra!$BD$13),Respostas_Formatadas!EQ134,"Outros")</f>
        <v>Com os pais</v>
      </c>
      <c r="ES134" s="36" t="s">
        <v>274</v>
      </c>
      <c r="ET134" s="36" t="str">
        <f>IF(OR(ES134=CaractAmostra!$BH$9,ES134=CaractAmostra!$BH$10,ES134=CaractAmostra!$BH$11,ES134=CaractAmostra!$BH$12),Respostas_Formatadas!ES134,"Outros")</f>
        <v>Com um(a) parceiro(a)</v>
      </c>
      <c r="EU134" s="36" t="s">
        <v>134</v>
      </c>
      <c r="EV134" s="36" t="s">
        <v>285</v>
      </c>
      <c r="EW134" s="36" t="s">
        <v>287</v>
      </c>
      <c r="FE134" s="47">
        <v>2009</v>
      </c>
      <c r="FF134" s="97">
        <v>7.6</v>
      </c>
      <c r="FG134" s="47">
        <v>2013</v>
      </c>
      <c r="FH134" s="47">
        <f t="shared" si="6"/>
        <v>4</v>
      </c>
      <c r="FI134" s="47" t="str">
        <f t="shared" si="4"/>
        <v>Aracaju</v>
      </c>
      <c r="FJ134" s="47" t="str">
        <f t="shared" si="5"/>
        <v>Licenciatura</v>
      </c>
    </row>
    <row r="135" spans="1:166" s="36" customFormat="1" ht="15.75" customHeight="1" x14ac:dyDescent="0.2">
      <c r="A135" s="38">
        <v>43417.602162106487</v>
      </c>
      <c r="C135" s="36" t="s">
        <v>126</v>
      </c>
      <c r="D135" s="47" t="s">
        <v>134</v>
      </c>
      <c r="M135" s="36" t="s">
        <v>147</v>
      </c>
      <c r="N135" s="36" t="s">
        <v>134</v>
      </c>
      <c r="O135" s="36" t="s">
        <v>134</v>
      </c>
      <c r="P135" s="36" t="s">
        <v>133</v>
      </c>
      <c r="Q135" s="36" t="s">
        <v>133</v>
      </c>
      <c r="R135" s="36" t="s">
        <v>151</v>
      </c>
      <c r="Y135" s="36" t="s">
        <v>166</v>
      </c>
      <c r="AC135" s="36" t="s">
        <v>178</v>
      </c>
      <c r="AE135" s="36">
        <v>1</v>
      </c>
      <c r="AF135" s="36" t="s">
        <v>188</v>
      </c>
      <c r="AG135" s="36" t="s">
        <v>188</v>
      </c>
      <c r="AH135" s="36" t="s">
        <v>133</v>
      </c>
      <c r="AI135" s="40">
        <v>1500</v>
      </c>
      <c r="AJ135" s="36">
        <v>2</v>
      </c>
      <c r="AK135" s="36">
        <v>2</v>
      </c>
      <c r="AL135" s="36" t="s">
        <v>133</v>
      </c>
      <c r="AQ135" s="40">
        <v>2200</v>
      </c>
      <c r="AR135" s="36">
        <v>3</v>
      </c>
      <c r="AS135" s="36">
        <v>2</v>
      </c>
      <c r="AT135" s="36">
        <v>1</v>
      </c>
      <c r="AU135" s="36">
        <v>3</v>
      </c>
      <c r="AV135" s="36">
        <v>2</v>
      </c>
      <c r="AW135" s="36" t="s">
        <v>636</v>
      </c>
      <c r="AX135" s="36" t="s">
        <v>205</v>
      </c>
      <c r="AY135" s="36" t="s">
        <v>211</v>
      </c>
      <c r="BG135" s="36">
        <v>2</v>
      </c>
      <c r="BH135" s="36">
        <v>2</v>
      </c>
      <c r="BI135" s="36">
        <v>2</v>
      </c>
      <c r="BJ135" s="36">
        <v>5</v>
      </c>
      <c r="BK135" s="36">
        <v>4</v>
      </c>
      <c r="BL135" s="36">
        <v>4</v>
      </c>
      <c r="BM135" s="36">
        <v>5</v>
      </c>
      <c r="BN135" s="36">
        <v>3</v>
      </c>
      <c r="BO135" s="36">
        <v>3</v>
      </c>
      <c r="BP135" s="36">
        <v>3</v>
      </c>
      <c r="BQ135" s="36">
        <v>3</v>
      </c>
      <c r="BR135" s="36">
        <v>2</v>
      </c>
      <c r="BS135" s="36">
        <v>1</v>
      </c>
      <c r="BT135" s="36">
        <v>4</v>
      </c>
      <c r="BU135" s="36">
        <v>3</v>
      </c>
      <c r="BV135" s="36">
        <v>4</v>
      </c>
      <c r="BW135" s="36">
        <v>5</v>
      </c>
      <c r="BX135" s="36">
        <v>4</v>
      </c>
      <c r="BY135" s="36">
        <v>5</v>
      </c>
      <c r="BZ135" s="36">
        <v>5</v>
      </c>
      <c r="CA135" s="36">
        <v>5</v>
      </c>
      <c r="CB135" s="36">
        <v>4</v>
      </c>
      <c r="CC135" s="36">
        <v>4</v>
      </c>
      <c r="CD135" s="36">
        <v>4</v>
      </c>
      <c r="CE135" s="36">
        <v>3</v>
      </c>
      <c r="CF135" s="36">
        <v>1</v>
      </c>
      <c r="CG135" s="36">
        <v>2</v>
      </c>
      <c r="CH135" s="36" t="s">
        <v>222</v>
      </c>
      <c r="CI135" t="s">
        <v>225</v>
      </c>
      <c r="CJ135" t="s">
        <v>226</v>
      </c>
      <c r="CK135" s="36" t="s">
        <v>233</v>
      </c>
      <c r="CL135" t="s">
        <v>234</v>
      </c>
      <c r="CM135" t="s">
        <v>239</v>
      </c>
      <c r="CN135" s="36" t="s">
        <v>242</v>
      </c>
      <c r="CO135" s="36" t="s">
        <v>134</v>
      </c>
      <c r="CP135" s="36">
        <v>2</v>
      </c>
      <c r="CQ135" s="36">
        <v>4</v>
      </c>
      <c r="CR135" s="36" t="s">
        <v>249</v>
      </c>
      <c r="CS135" s="36">
        <v>2</v>
      </c>
      <c r="CT135" s="36">
        <v>2</v>
      </c>
      <c r="CU135" s="36">
        <v>2</v>
      </c>
      <c r="CV135" s="36">
        <v>2</v>
      </c>
      <c r="CW135" s="36">
        <v>2</v>
      </c>
      <c r="CX135" s="36">
        <v>3</v>
      </c>
      <c r="CY135" s="36">
        <v>2</v>
      </c>
      <c r="CZ135" s="36">
        <v>4</v>
      </c>
      <c r="DA135" s="36">
        <v>2</v>
      </c>
      <c r="DB135" s="36">
        <v>2</v>
      </c>
      <c r="DC135" s="36">
        <v>3</v>
      </c>
      <c r="DD135" s="36">
        <v>3</v>
      </c>
      <c r="DE135" s="36">
        <v>3</v>
      </c>
      <c r="DF135" s="36">
        <v>3</v>
      </c>
      <c r="DG135" s="36">
        <v>3</v>
      </c>
      <c r="DH135" s="36">
        <v>3</v>
      </c>
      <c r="DI135" s="36" t="s">
        <v>250</v>
      </c>
      <c r="DJ135" s="36" t="s">
        <v>134</v>
      </c>
      <c r="DL135"/>
      <c r="DM135"/>
      <c r="DN135"/>
      <c r="DO135"/>
      <c r="DP135"/>
      <c r="DR135" s="36" t="s">
        <v>134</v>
      </c>
      <c r="DT135"/>
      <c r="DU135"/>
      <c r="DV135"/>
      <c r="DW135"/>
      <c r="DX135"/>
      <c r="DZ135" s="36" t="s">
        <v>134</v>
      </c>
      <c r="EB135" s="36" t="s">
        <v>262</v>
      </c>
      <c r="EC135" s="36" t="s">
        <v>264</v>
      </c>
      <c r="ED135" s="36">
        <v>31</v>
      </c>
      <c r="EE135" s="36" t="s">
        <v>466</v>
      </c>
      <c r="EF135" s="36" t="str">
        <f>Tabulacao!MC135</f>
        <v>Lagarto</v>
      </c>
      <c r="EG135" s="36" t="s">
        <v>466</v>
      </c>
      <c r="EH135" s="36" t="str">
        <f>Tabulacao!MG135</f>
        <v>Lagarto</v>
      </c>
      <c r="EI135" s="36" t="s">
        <v>466</v>
      </c>
      <c r="EJ135" s="36" t="str">
        <f>Tabulacao!MK135</f>
        <v>Lagarto</v>
      </c>
      <c r="EK135" s="36" t="s">
        <v>134</v>
      </c>
      <c r="EL135" s="36" t="s">
        <v>134</v>
      </c>
      <c r="EM135" s="36" t="s">
        <v>134</v>
      </c>
      <c r="EN135" s="36" t="s">
        <v>134</v>
      </c>
      <c r="EO135" s="36" t="s">
        <v>134</v>
      </c>
      <c r="EP135" s="36" t="s">
        <v>134</v>
      </c>
      <c r="EQ135" s="36" t="s">
        <v>275</v>
      </c>
      <c r="ER135" s="36" t="str">
        <f>IF(OR(EQ135=CaractAmostra!$BD$9,EQ135=CaractAmostra!$BD$10,EQ135=CaractAmostra!$BD$11,EQ135=CaractAmostra!$BD$12,EQ135=CaractAmostra!$BD$13),Respostas_Formatadas!EQ135,"Outros")</f>
        <v>Com os pais</v>
      </c>
      <c r="ES135" s="36" t="s">
        <v>275</v>
      </c>
      <c r="ET135" s="36" t="str">
        <f>IF(OR(ES135=CaractAmostra!$BH$9,ES135=CaractAmostra!$BH$10,ES135=CaractAmostra!$BH$11,ES135=CaractAmostra!$BH$12),Respostas_Formatadas!ES135,"Outros")</f>
        <v>Com os pais</v>
      </c>
      <c r="EU135" s="36" t="s">
        <v>134</v>
      </c>
      <c r="EV135" s="36" t="s">
        <v>192</v>
      </c>
      <c r="EW135" s="36" t="s">
        <v>283</v>
      </c>
      <c r="FE135" s="47">
        <v>2013</v>
      </c>
      <c r="FF135" s="97">
        <v>7.9886999999999997</v>
      </c>
      <c r="FG135" s="47">
        <v>2015</v>
      </c>
      <c r="FH135" s="47">
        <f t="shared" si="6"/>
        <v>2</v>
      </c>
      <c r="FI135" s="47" t="str">
        <f t="shared" si="4"/>
        <v>Lagarto</v>
      </c>
      <c r="FJ135" s="47" t="str">
        <f t="shared" si="5"/>
        <v>Tecnologia</v>
      </c>
    </row>
    <row r="136" spans="1:166" s="36" customFormat="1" ht="15.75" customHeight="1" x14ac:dyDescent="0.2">
      <c r="A136" s="38">
        <v>43417.658065833333</v>
      </c>
      <c r="C136" s="36" t="s">
        <v>124</v>
      </c>
      <c r="D136" s="47" t="s">
        <v>134</v>
      </c>
      <c r="M136" s="36" t="s">
        <v>146</v>
      </c>
      <c r="N136" s="36" t="s">
        <v>134</v>
      </c>
      <c r="O136" s="36" t="s">
        <v>133</v>
      </c>
      <c r="P136" s="36" t="s">
        <v>134</v>
      </c>
      <c r="Q136" s="36" t="s">
        <v>134</v>
      </c>
      <c r="R136" s="36" t="s">
        <v>152</v>
      </c>
      <c r="S136" s="36" t="s">
        <v>941</v>
      </c>
      <c r="T136" s="36" t="s">
        <v>154</v>
      </c>
      <c r="U136" s="36" t="s">
        <v>157</v>
      </c>
      <c r="V136" s="36">
        <v>4</v>
      </c>
      <c r="W136" s="36">
        <v>3</v>
      </c>
      <c r="X136" s="36">
        <v>3</v>
      </c>
      <c r="Y136" s="36" t="s">
        <v>134</v>
      </c>
      <c r="AI136" s="40"/>
      <c r="AQ136" s="40"/>
      <c r="BT136" s="36">
        <v>1</v>
      </c>
      <c r="BU136" s="36">
        <v>2</v>
      </c>
      <c r="BV136" s="36">
        <v>1</v>
      </c>
      <c r="BW136" s="36">
        <v>1</v>
      </c>
      <c r="BX136" s="36">
        <v>1</v>
      </c>
      <c r="BY136" s="36">
        <v>3</v>
      </c>
      <c r="BZ136" s="36">
        <v>2</v>
      </c>
      <c r="CA136" s="36">
        <v>4</v>
      </c>
      <c r="CB136" s="36">
        <v>3</v>
      </c>
      <c r="CC136" s="36">
        <v>2</v>
      </c>
      <c r="CD136" s="36">
        <v>1</v>
      </c>
      <c r="CE136" s="36">
        <v>2</v>
      </c>
      <c r="CF136" s="36">
        <v>3</v>
      </c>
      <c r="CG136" s="36">
        <v>2</v>
      </c>
      <c r="CH136" s="36" t="s">
        <v>222</v>
      </c>
      <c r="CI136" t="s">
        <v>226</v>
      </c>
      <c r="CJ136"/>
      <c r="CK136" s="36" t="s">
        <v>235</v>
      </c>
      <c r="CL136" t="s">
        <v>240</v>
      </c>
      <c r="CM136"/>
      <c r="CN136" s="36" t="s">
        <v>242</v>
      </c>
      <c r="CO136" s="36" t="s">
        <v>134</v>
      </c>
      <c r="CP136" s="36">
        <v>3</v>
      </c>
      <c r="CQ136" s="36">
        <v>3</v>
      </c>
      <c r="CR136" s="36" t="s">
        <v>248</v>
      </c>
      <c r="CS136" s="36">
        <v>2</v>
      </c>
      <c r="CT136" s="36">
        <v>1</v>
      </c>
      <c r="CU136" s="36">
        <v>1</v>
      </c>
      <c r="CV136" s="36">
        <v>3</v>
      </c>
      <c r="CW136" s="36">
        <v>3</v>
      </c>
      <c r="CX136" s="36">
        <v>5</v>
      </c>
      <c r="CY136" s="36">
        <v>5</v>
      </c>
      <c r="CZ136" s="36">
        <v>3</v>
      </c>
      <c r="DA136" s="36">
        <v>1</v>
      </c>
      <c r="DB136" s="36">
        <v>2</v>
      </c>
      <c r="DC136" s="36">
        <v>1</v>
      </c>
      <c r="DD136" s="36">
        <v>1</v>
      </c>
      <c r="DE136" s="36">
        <v>2</v>
      </c>
      <c r="DF136" s="36">
        <v>2</v>
      </c>
      <c r="DG136" s="36">
        <v>2</v>
      </c>
      <c r="DH136" s="36">
        <v>2</v>
      </c>
      <c r="DI136" s="36" t="s">
        <v>252</v>
      </c>
      <c r="DJ136" s="36" t="s">
        <v>134</v>
      </c>
      <c r="DL136"/>
      <c r="DM136"/>
      <c r="DN136"/>
      <c r="DO136"/>
      <c r="DP136"/>
      <c r="DR136" s="36" t="s">
        <v>134</v>
      </c>
      <c r="DT136"/>
      <c r="DU136"/>
      <c r="DV136"/>
      <c r="DW136"/>
      <c r="DX136"/>
      <c r="DZ136" s="36" t="s">
        <v>134</v>
      </c>
      <c r="EB136" s="36" t="s">
        <v>263</v>
      </c>
      <c r="EC136" s="36" t="s">
        <v>267</v>
      </c>
      <c r="ED136" s="36">
        <v>30</v>
      </c>
      <c r="EE136" s="36" t="s">
        <v>292</v>
      </c>
      <c r="EF136" s="36" t="str">
        <f>Tabulacao!MC136</f>
        <v>Aracaju</v>
      </c>
      <c r="EG136" s="36" t="s">
        <v>292</v>
      </c>
      <c r="EH136" s="36" t="str">
        <f>Tabulacao!MG136</f>
        <v>Aracaju</v>
      </c>
      <c r="EI136" s="36" t="s">
        <v>292</v>
      </c>
      <c r="EJ136" s="36" t="str">
        <f>Tabulacao!MK136</f>
        <v>Aracaju</v>
      </c>
      <c r="EK136" s="36" t="s">
        <v>134</v>
      </c>
      <c r="EL136" s="36" t="s">
        <v>134</v>
      </c>
      <c r="EM136" s="36" t="s">
        <v>134</v>
      </c>
      <c r="EN136" s="36" t="s">
        <v>134</v>
      </c>
      <c r="EO136" s="36" t="s">
        <v>134</v>
      </c>
      <c r="EP136" s="36" t="s">
        <v>134</v>
      </c>
      <c r="EQ136" s="36" t="s">
        <v>275</v>
      </c>
      <c r="ER136" s="36" t="str">
        <f>IF(OR(EQ136=CaractAmostra!$BD$9,EQ136=CaractAmostra!$BD$10,EQ136=CaractAmostra!$BD$11,EQ136=CaractAmostra!$BD$12,EQ136=CaractAmostra!$BD$13),Respostas_Formatadas!EQ136,"Outros")</f>
        <v>Com os pais</v>
      </c>
      <c r="ES136" s="36" t="s">
        <v>275</v>
      </c>
      <c r="ET136" s="36" t="str">
        <f>IF(OR(ES136=CaractAmostra!$BH$9,ES136=CaractAmostra!$BH$10,ES136=CaractAmostra!$BH$11,ES136=CaractAmostra!$BH$12),Respostas_Formatadas!ES136,"Outros")</f>
        <v>Com os pais</v>
      </c>
      <c r="EU136" s="36" t="s">
        <v>134</v>
      </c>
      <c r="EV136" s="36" t="s">
        <v>288</v>
      </c>
      <c r="EW136" s="36" t="s">
        <v>285</v>
      </c>
      <c r="FE136" s="47">
        <v>2011</v>
      </c>
      <c r="FF136" s="97">
        <v>6.6455000000000002</v>
      </c>
      <c r="FG136" s="47" t="s">
        <v>933</v>
      </c>
      <c r="FH136" s="47" t="e">
        <f t="shared" si="6"/>
        <v>#VALUE!</v>
      </c>
      <c r="FI136" s="47" t="str">
        <f t="shared" si="4"/>
        <v>Aracaju</v>
      </c>
      <c r="FJ136" s="47" t="str">
        <f t="shared" si="5"/>
        <v>Tecnologia</v>
      </c>
    </row>
    <row r="137" spans="1:166" s="36" customFormat="1" ht="15.75" customHeight="1" x14ac:dyDescent="0.2">
      <c r="A137" s="38">
        <v>43417.688615995372</v>
      </c>
      <c r="C137" s="36" t="s">
        <v>119</v>
      </c>
      <c r="D137" s="47" t="s">
        <v>133</v>
      </c>
      <c r="E137" s="36" t="s">
        <v>138</v>
      </c>
      <c r="H137" s="36" t="s">
        <v>142</v>
      </c>
      <c r="I137" s="36" t="s">
        <v>144</v>
      </c>
      <c r="M137" s="36" t="s">
        <v>146</v>
      </c>
      <c r="N137" s="36" t="s">
        <v>134</v>
      </c>
      <c r="O137" s="36" t="s">
        <v>133</v>
      </c>
      <c r="P137" s="36" t="s">
        <v>134</v>
      </c>
      <c r="Q137" s="36" t="s">
        <v>134</v>
      </c>
      <c r="R137" s="36" t="s">
        <v>151</v>
      </c>
      <c r="Y137" s="36" t="s">
        <v>134</v>
      </c>
      <c r="AI137" s="40"/>
      <c r="AQ137" s="40"/>
      <c r="BT137" s="36">
        <v>3</v>
      </c>
      <c r="BU137" s="36">
        <v>3</v>
      </c>
      <c r="BV137" s="36">
        <v>4</v>
      </c>
      <c r="BW137" s="36">
        <v>3</v>
      </c>
      <c r="BX137" s="36">
        <v>3</v>
      </c>
      <c r="BY137" s="36">
        <v>4</v>
      </c>
      <c r="BZ137" s="36">
        <v>3</v>
      </c>
      <c r="CA137" s="36">
        <v>5</v>
      </c>
      <c r="CB137" s="36">
        <v>4</v>
      </c>
      <c r="CC137" s="36">
        <v>5</v>
      </c>
      <c r="CD137" s="36">
        <v>4</v>
      </c>
      <c r="CE137" s="36">
        <v>5</v>
      </c>
      <c r="CF137" s="36">
        <v>5</v>
      </c>
      <c r="CG137" s="36">
        <v>4</v>
      </c>
      <c r="CH137" s="36" t="s">
        <v>222</v>
      </c>
      <c r="CI137" t="s">
        <v>225</v>
      </c>
      <c r="CJ137" t="s">
        <v>226</v>
      </c>
      <c r="CK137" s="36" t="s">
        <v>236</v>
      </c>
      <c r="CL137" t="s">
        <v>238</v>
      </c>
      <c r="CM137"/>
      <c r="CN137" s="36" t="s">
        <v>241</v>
      </c>
      <c r="CO137" s="36" t="s">
        <v>134</v>
      </c>
      <c r="CP137" s="36">
        <v>3</v>
      </c>
      <c r="CQ137" s="36">
        <v>5</v>
      </c>
      <c r="CR137" s="36" t="s">
        <v>248</v>
      </c>
      <c r="CS137" s="36">
        <v>2</v>
      </c>
      <c r="CT137" s="36">
        <v>4</v>
      </c>
      <c r="CU137" s="36">
        <v>5</v>
      </c>
      <c r="CV137" s="36">
        <v>3</v>
      </c>
      <c r="CW137" s="36">
        <v>3</v>
      </c>
      <c r="CX137" s="36">
        <v>4</v>
      </c>
      <c r="CY137" s="36">
        <v>4</v>
      </c>
      <c r="CZ137" s="36">
        <v>4</v>
      </c>
      <c r="DA137" s="36">
        <v>2</v>
      </c>
      <c r="DB137" s="36">
        <v>2</v>
      </c>
      <c r="DC137" s="36">
        <v>3</v>
      </c>
      <c r="DD137" s="36">
        <v>5</v>
      </c>
      <c r="DE137" s="36">
        <v>5</v>
      </c>
      <c r="DF137" s="36">
        <v>5</v>
      </c>
      <c r="DG137" s="36">
        <v>5</v>
      </c>
      <c r="DH137" s="36">
        <v>4</v>
      </c>
      <c r="DI137" s="36" t="s">
        <v>252</v>
      </c>
      <c r="DJ137" s="36" t="s">
        <v>133</v>
      </c>
      <c r="DK137" s="36" t="s">
        <v>254</v>
      </c>
      <c r="DL137" t="s">
        <v>255</v>
      </c>
      <c r="DM137"/>
      <c r="DN137"/>
      <c r="DO137" t="s">
        <v>256</v>
      </c>
      <c r="DP137" t="s">
        <v>257</v>
      </c>
      <c r="DQ137" s="36">
        <v>5</v>
      </c>
      <c r="DR137" s="36" t="s">
        <v>133</v>
      </c>
      <c r="DS137" s="36" t="s">
        <v>258</v>
      </c>
      <c r="DT137" t="s">
        <v>259</v>
      </c>
      <c r="DU137"/>
      <c r="DV137"/>
      <c r="DW137" t="s">
        <v>260</v>
      </c>
      <c r="DX137"/>
      <c r="DY137" s="36">
        <v>4</v>
      </c>
      <c r="DZ137" s="36" t="s">
        <v>134</v>
      </c>
      <c r="EB137" s="36" t="s">
        <v>262</v>
      </c>
      <c r="EC137" s="36" t="s">
        <v>267</v>
      </c>
      <c r="ED137" s="36">
        <v>24</v>
      </c>
      <c r="EE137" s="36" t="s">
        <v>292</v>
      </c>
      <c r="EF137" s="36" t="str">
        <f>Tabulacao!MC137</f>
        <v>Aracaju</v>
      </c>
      <c r="EG137" s="36" t="s">
        <v>292</v>
      </c>
      <c r="EH137" s="36" t="str">
        <f>Tabulacao!MG137</f>
        <v>Aracaju</v>
      </c>
      <c r="EI137" s="36" t="s">
        <v>638</v>
      </c>
      <c r="EJ137" s="36" t="str">
        <f>Tabulacao!MK137</f>
        <v>Recife - PE</v>
      </c>
      <c r="EK137" s="36" t="s">
        <v>271</v>
      </c>
      <c r="EL137" s="36" t="s">
        <v>134</v>
      </c>
      <c r="EM137" s="36" t="s">
        <v>134</v>
      </c>
      <c r="EN137" s="36" t="s">
        <v>134</v>
      </c>
      <c r="EO137" s="36" t="s">
        <v>134</v>
      </c>
      <c r="EP137" s="36" t="s">
        <v>134</v>
      </c>
      <c r="EQ137" s="36" t="s">
        <v>275</v>
      </c>
      <c r="ER137" s="36" t="str">
        <f>IF(OR(EQ137=CaractAmostra!$BD$9,EQ137=CaractAmostra!$BD$10,EQ137=CaractAmostra!$BD$11,EQ137=CaractAmostra!$BD$12,EQ137=CaractAmostra!$BD$13),Respostas_Formatadas!EQ137,"Outros")</f>
        <v>Com os pais</v>
      </c>
      <c r="ES137" s="36" t="s">
        <v>278</v>
      </c>
      <c r="ET137" s="36" t="str">
        <f>IF(OR(ES137=CaractAmostra!$BH$9,ES137=CaractAmostra!$BH$10,ES137=CaractAmostra!$BH$11,ES137=CaractAmostra!$BH$12),Respostas_Formatadas!ES137,"Outros")</f>
        <v>Divido residência com outras pessoas</v>
      </c>
      <c r="EU137" s="36" t="s">
        <v>134</v>
      </c>
      <c r="EV137" s="36" t="s">
        <v>285</v>
      </c>
      <c r="EW137" s="36" t="s">
        <v>285</v>
      </c>
      <c r="FE137" s="47">
        <v>2017</v>
      </c>
      <c r="FF137" s="97">
        <v>8.7775999999999996</v>
      </c>
      <c r="FG137" s="47">
        <v>2017</v>
      </c>
      <c r="FH137" s="47">
        <f t="shared" si="6"/>
        <v>0</v>
      </c>
      <c r="FI137" s="47" t="str">
        <f t="shared" si="4"/>
        <v>Aracaju</v>
      </c>
      <c r="FJ137" s="47" t="str">
        <f t="shared" si="5"/>
        <v>Bacharelado</v>
      </c>
    </row>
    <row r="138" spans="1:166" s="36" customFormat="1" ht="15.75" customHeight="1" x14ac:dyDescent="0.2">
      <c r="A138" s="38">
        <v>43417.742139675931</v>
      </c>
      <c r="C138" s="36" t="s">
        <v>121</v>
      </c>
      <c r="D138" s="47" t="s">
        <v>133</v>
      </c>
      <c r="E138" s="36" t="s">
        <v>138</v>
      </c>
      <c r="H138" s="36" t="s">
        <v>144</v>
      </c>
      <c r="M138" s="36" t="s">
        <v>146</v>
      </c>
      <c r="N138" s="36" t="s">
        <v>134</v>
      </c>
      <c r="O138" s="36" t="s">
        <v>134</v>
      </c>
      <c r="P138" s="36" t="s">
        <v>133</v>
      </c>
      <c r="Q138" s="36" t="s">
        <v>134</v>
      </c>
      <c r="R138" s="36" t="s">
        <v>151</v>
      </c>
      <c r="Y138" s="36" t="s">
        <v>134</v>
      </c>
      <c r="AI138" s="40"/>
      <c r="AQ138" s="40"/>
      <c r="BT138" s="36">
        <v>3</v>
      </c>
      <c r="BU138" s="36">
        <v>3</v>
      </c>
      <c r="BV138" s="36">
        <v>3</v>
      </c>
      <c r="BW138" s="36">
        <v>3</v>
      </c>
      <c r="BX138" s="36">
        <v>3</v>
      </c>
      <c r="BY138" s="36">
        <v>3</v>
      </c>
      <c r="BZ138" s="36">
        <v>3</v>
      </c>
      <c r="CA138" s="36">
        <v>3</v>
      </c>
      <c r="CB138" s="36">
        <v>3</v>
      </c>
      <c r="CC138" s="36">
        <v>3</v>
      </c>
      <c r="CD138" s="36">
        <v>3</v>
      </c>
      <c r="CE138" s="36">
        <v>3</v>
      </c>
      <c r="CF138" s="36">
        <v>3</v>
      </c>
      <c r="CG138" s="36">
        <v>3</v>
      </c>
      <c r="CH138" s="36" t="s">
        <v>227</v>
      </c>
      <c r="CI138" t="s">
        <v>229</v>
      </c>
      <c r="CJ138" t="s">
        <v>230</v>
      </c>
      <c r="CK138" s="36" t="s">
        <v>233</v>
      </c>
      <c r="CL138"/>
      <c r="CM138"/>
      <c r="CN138" s="36" t="s">
        <v>242</v>
      </c>
      <c r="CO138" s="36" t="s">
        <v>134</v>
      </c>
      <c r="CP138" s="36">
        <v>5</v>
      </c>
      <c r="CQ138" s="36">
        <v>5</v>
      </c>
      <c r="CR138" s="36" t="s">
        <v>248</v>
      </c>
      <c r="CS138" s="36">
        <v>3</v>
      </c>
      <c r="CT138" s="36">
        <v>3</v>
      </c>
      <c r="CU138" s="36">
        <v>5</v>
      </c>
      <c r="CV138" s="36">
        <v>2</v>
      </c>
      <c r="CW138" s="36">
        <v>1</v>
      </c>
      <c r="CX138" s="36">
        <v>5</v>
      </c>
      <c r="CY138" s="36">
        <v>3</v>
      </c>
      <c r="CZ138" s="36">
        <v>2</v>
      </c>
      <c r="DA138" s="36">
        <v>2</v>
      </c>
      <c r="DB138" s="36">
        <v>1</v>
      </c>
      <c r="DC138" s="36">
        <v>1</v>
      </c>
      <c r="DD138" s="36">
        <v>3</v>
      </c>
      <c r="DE138" s="36">
        <v>3</v>
      </c>
      <c r="DF138" s="36">
        <v>3</v>
      </c>
      <c r="DG138" s="36">
        <v>3</v>
      </c>
      <c r="DH138" s="36">
        <v>3</v>
      </c>
      <c r="DI138" s="36" t="s">
        <v>133</v>
      </c>
      <c r="DJ138" s="36" t="s">
        <v>133</v>
      </c>
      <c r="DK138" s="36" t="s">
        <v>255</v>
      </c>
      <c r="DL138"/>
      <c r="DM138"/>
      <c r="DN138" t="s">
        <v>257</v>
      </c>
      <c r="DO138"/>
      <c r="DP138"/>
      <c r="DQ138" s="36">
        <v>5</v>
      </c>
      <c r="DR138" s="36" t="s">
        <v>133</v>
      </c>
      <c r="DS138" s="36" t="s">
        <v>258</v>
      </c>
      <c r="DT138" t="s">
        <v>259</v>
      </c>
      <c r="DU138"/>
      <c r="DV138"/>
      <c r="DW138" t="s">
        <v>261</v>
      </c>
      <c r="DX138"/>
      <c r="DY138" s="36">
        <v>5</v>
      </c>
      <c r="DZ138" s="36" t="s">
        <v>134</v>
      </c>
      <c r="EB138" s="36" t="s">
        <v>263</v>
      </c>
      <c r="EC138" s="36" t="s">
        <v>267</v>
      </c>
      <c r="ED138" s="36">
        <v>23</v>
      </c>
      <c r="EE138" s="36" t="s">
        <v>639</v>
      </c>
      <c r="EF138" s="36" t="str">
        <f>Tabulacao!MC138</f>
        <v>Cristinápolis</v>
      </c>
      <c r="EG138" s="36" t="s">
        <v>640</v>
      </c>
      <c r="EH138" s="36" t="str">
        <f>Tabulacao!MG138</f>
        <v>Aracaju</v>
      </c>
      <c r="EI138" s="36" t="s">
        <v>372</v>
      </c>
      <c r="EJ138" s="36" t="str">
        <f>Tabulacao!MK138</f>
        <v>Aracaju</v>
      </c>
      <c r="EK138" s="36" t="s">
        <v>134</v>
      </c>
      <c r="EL138" s="36" t="s">
        <v>134</v>
      </c>
      <c r="EM138" s="36" t="s">
        <v>134</v>
      </c>
      <c r="EN138" s="36" t="s">
        <v>134</v>
      </c>
      <c r="EO138" s="36" t="s">
        <v>134</v>
      </c>
      <c r="EP138" s="36" t="s">
        <v>134</v>
      </c>
      <c r="EQ138" s="36" t="s">
        <v>272</v>
      </c>
      <c r="ER138" s="36" t="str">
        <f>IF(OR(EQ138=CaractAmostra!$BD$9,EQ138=CaractAmostra!$BD$10,EQ138=CaractAmostra!$BD$11,EQ138=CaractAmostra!$BD$12,EQ138=CaractAmostra!$BD$13),Respostas_Formatadas!EQ138,"Outros")</f>
        <v>Morava sozinho</v>
      </c>
      <c r="ES138" s="36" t="s">
        <v>277</v>
      </c>
      <c r="ET138" s="36" t="str">
        <f>IF(OR(ES138=CaractAmostra!$BH$9,ES138=CaractAmostra!$BH$10,ES138=CaractAmostra!$BH$11,ES138=CaractAmostra!$BH$12),Respostas_Formatadas!ES138,"Outros")</f>
        <v>Sozinho</v>
      </c>
      <c r="EU138" s="36" t="s">
        <v>134</v>
      </c>
      <c r="EV138" s="36" t="s">
        <v>192</v>
      </c>
      <c r="EW138" s="36" t="s">
        <v>287</v>
      </c>
      <c r="FE138" s="47">
        <v>2017</v>
      </c>
      <c r="FF138" s="97">
        <v>8.3233999999999995</v>
      </c>
      <c r="FG138" s="47">
        <v>2017</v>
      </c>
      <c r="FH138" s="47">
        <f t="shared" si="6"/>
        <v>0</v>
      </c>
      <c r="FI138" s="47" t="str">
        <f t="shared" si="4"/>
        <v>Aracaju</v>
      </c>
      <c r="FJ138" s="47" t="str">
        <f t="shared" si="5"/>
        <v>Licenciatura</v>
      </c>
    </row>
    <row r="139" spans="1:166" s="36" customFormat="1" ht="15.75" customHeight="1" x14ac:dyDescent="0.2">
      <c r="A139" s="38">
        <v>43417.746194467589</v>
      </c>
      <c r="C139" s="36" t="s">
        <v>124</v>
      </c>
      <c r="D139" s="47" t="s">
        <v>134</v>
      </c>
      <c r="M139" s="36" t="s">
        <v>146</v>
      </c>
      <c r="N139" s="36" t="s">
        <v>134</v>
      </c>
      <c r="O139" s="36" t="s">
        <v>133</v>
      </c>
      <c r="P139" s="36" t="s">
        <v>133</v>
      </c>
      <c r="Q139" s="36" t="s">
        <v>133</v>
      </c>
      <c r="R139" s="36" t="s">
        <v>153</v>
      </c>
      <c r="S139" s="36" t="s">
        <v>641</v>
      </c>
      <c r="T139" s="36" t="s">
        <v>154</v>
      </c>
      <c r="U139" s="36" t="s">
        <v>159</v>
      </c>
      <c r="V139" s="36">
        <v>2</v>
      </c>
      <c r="W139" s="36">
        <v>3</v>
      </c>
      <c r="X139" s="36">
        <v>3</v>
      </c>
      <c r="Y139" s="36" t="s">
        <v>166</v>
      </c>
      <c r="AC139" s="36" t="s">
        <v>186</v>
      </c>
      <c r="AD139" s="36" t="s">
        <v>642</v>
      </c>
      <c r="AE139" s="36">
        <v>1</v>
      </c>
      <c r="AF139" s="36" t="s">
        <v>190</v>
      </c>
      <c r="AG139" s="36" t="s">
        <v>190</v>
      </c>
      <c r="AH139" s="36" t="s">
        <v>134</v>
      </c>
      <c r="AI139" s="40">
        <v>1200</v>
      </c>
      <c r="AJ139" s="36">
        <v>1</v>
      </c>
      <c r="AK139" s="36">
        <v>1</v>
      </c>
      <c r="AL139" s="36" t="s">
        <v>133</v>
      </c>
      <c r="AP139" s="36" t="s">
        <v>642</v>
      </c>
      <c r="AQ139" s="40">
        <v>1600</v>
      </c>
      <c r="AR139" s="36">
        <v>3</v>
      </c>
      <c r="AS139" s="36">
        <v>1</v>
      </c>
      <c r="AT139" s="36">
        <v>1</v>
      </c>
      <c r="AU139" s="36">
        <v>3</v>
      </c>
      <c r="AV139" s="36">
        <v>1</v>
      </c>
      <c r="AW139" s="36" t="s">
        <v>643</v>
      </c>
      <c r="AX139" s="36" t="s">
        <v>206</v>
      </c>
      <c r="AY139" s="36" t="s">
        <v>210</v>
      </c>
      <c r="AZ139" s="36" t="s">
        <v>133</v>
      </c>
      <c r="BA139" s="36" t="s">
        <v>170</v>
      </c>
      <c r="BB139" s="36" t="s">
        <v>644</v>
      </c>
      <c r="BC139" s="36" t="s">
        <v>1352</v>
      </c>
      <c r="BD139" s="36" t="s">
        <v>190</v>
      </c>
      <c r="BG139" s="36">
        <v>2</v>
      </c>
      <c r="BH139" s="36">
        <v>4</v>
      </c>
      <c r="BI139" s="36">
        <v>4</v>
      </c>
      <c r="BJ139" s="36">
        <v>5</v>
      </c>
      <c r="BK139" s="36">
        <v>4</v>
      </c>
      <c r="BL139" s="36">
        <v>3</v>
      </c>
      <c r="BM139" s="36">
        <v>4</v>
      </c>
      <c r="BN139" s="36">
        <v>5</v>
      </c>
      <c r="BO139" s="36">
        <v>4</v>
      </c>
      <c r="BP139" s="36">
        <v>4</v>
      </c>
      <c r="BQ139" s="36">
        <v>4</v>
      </c>
      <c r="BR139" s="36">
        <v>3</v>
      </c>
      <c r="BS139" s="36">
        <v>1</v>
      </c>
      <c r="BT139" s="36">
        <v>4</v>
      </c>
      <c r="BU139" s="36">
        <v>4</v>
      </c>
      <c r="BV139" s="36">
        <v>4</v>
      </c>
      <c r="BW139" s="36">
        <v>4</v>
      </c>
      <c r="BX139" s="36">
        <v>4</v>
      </c>
      <c r="BY139" s="36">
        <v>4</v>
      </c>
      <c r="BZ139" s="36">
        <v>4</v>
      </c>
      <c r="CA139" s="36">
        <v>5</v>
      </c>
      <c r="CB139" s="36">
        <v>4</v>
      </c>
      <c r="CC139" s="36">
        <v>4</v>
      </c>
      <c r="CD139" s="36">
        <v>4</v>
      </c>
      <c r="CE139" s="36">
        <v>4</v>
      </c>
      <c r="CF139" s="36">
        <v>1</v>
      </c>
      <c r="CG139" s="36">
        <v>4</v>
      </c>
      <c r="CH139" s="36" t="s">
        <v>222</v>
      </c>
      <c r="CI139" t="s">
        <v>225</v>
      </c>
      <c r="CJ139" t="s">
        <v>226</v>
      </c>
      <c r="CK139" s="36" t="s">
        <v>232</v>
      </c>
      <c r="CL139" t="s">
        <v>234</v>
      </c>
      <c r="CM139" t="s">
        <v>239</v>
      </c>
      <c r="CN139" s="36" t="s">
        <v>241</v>
      </c>
      <c r="CO139" s="36" t="s">
        <v>134</v>
      </c>
      <c r="CP139" s="36">
        <v>5</v>
      </c>
      <c r="CQ139" s="36">
        <v>5</v>
      </c>
      <c r="CR139" s="36" t="s">
        <v>248</v>
      </c>
      <c r="CS139" s="36">
        <v>5</v>
      </c>
      <c r="CT139" s="36">
        <v>4</v>
      </c>
      <c r="CU139" s="36">
        <v>1</v>
      </c>
      <c r="CV139" s="36">
        <v>4</v>
      </c>
      <c r="CW139" s="36">
        <v>4</v>
      </c>
      <c r="CX139" s="36">
        <v>4</v>
      </c>
      <c r="CY139" s="36">
        <v>4</v>
      </c>
      <c r="CZ139" s="36">
        <v>4</v>
      </c>
      <c r="DA139" s="36">
        <v>3</v>
      </c>
      <c r="DB139" s="36">
        <v>3</v>
      </c>
      <c r="DC139" s="36">
        <v>4</v>
      </c>
      <c r="DD139" s="36">
        <v>1</v>
      </c>
      <c r="DE139" s="36">
        <v>1</v>
      </c>
      <c r="DF139" s="36">
        <v>1</v>
      </c>
      <c r="DG139" s="36">
        <v>1</v>
      </c>
      <c r="DH139" s="36">
        <v>1</v>
      </c>
      <c r="DI139" s="36" t="s">
        <v>250</v>
      </c>
      <c r="DJ139" s="36" t="s">
        <v>134</v>
      </c>
      <c r="DL139"/>
      <c r="DM139"/>
      <c r="DN139"/>
      <c r="DO139"/>
      <c r="DP139"/>
      <c r="DR139" s="36" t="s">
        <v>134</v>
      </c>
      <c r="DT139"/>
      <c r="DU139"/>
      <c r="DV139"/>
      <c r="DW139"/>
      <c r="DX139"/>
      <c r="DZ139" s="36" t="s">
        <v>134</v>
      </c>
      <c r="EB139" s="36" t="s">
        <v>262</v>
      </c>
      <c r="EC139" s="36" t="s">
        <v>264</v>
      </c>
      <c r="ED139" s="36">
        <v>26</v>
      </c>
      <c r="EE139" s="36" t="s">
        <v>645</v>
      </c>
      <c r="EF139" s="36" t="str">
        <f>Tabulacao!MC139</f>
        <v>Nossa Senhora das Dores</v>
      </c>
      <c r="EG139" s="36" t="s">
        <v>645</v>
      </c>
      <c r="EH139" s="36" t="str">
        <f>Tabulacao!MG139</f>
        <v>Nossa Senhora das Dores</v>
      </c>
      <c r="EI139" s="36" t="s">
        <v>645</v>
      </c>
      <c r="EJ139" s="36" t="str">
        <f>Tabulacao!MK139</f>
        <v>Nossa Senhora das Dores</v>
      </c>
      <c r="EK139" s="36" t="s">
        <v>134</v>
      </c>
      <c r="EL139" s="36" t="s">
        <v>134</v>
      </c>
      <c r="EM139" s="36" t="s">
        <v>134</v>
      </c>
      <c r="EN139" s="36" t="s">
        <v>134</v>
      </c>
      <c r="EO139" s="36" t="s">
        <v>134</v>
      </c>
      <c r="EP139" s="36" t="s">
        <v>134</v>
      </c>
      <c r="EQ139" s="36" t="s">
        <v>275</v>
      </c>
      <c r="ER139" s="36" t="str">
        <f>IF(OR(EQ139=CaractAmostra!$BD$9,EQ139=CaractAmostra!$BD$10,EQ139=CaractAmostra!$BD$11,EQ139=CaractAmostra!$BD$12,EQ139=CaractAmostra!$BD$13),Respostas_Formatadas!EQ139,"Outros")</f>
        <v>Com os pais</v>
      </c>
      <c r="ES139" s="36" t="s">
        <v>275</v>
      </c>
      <c r="ET139" s="36" t="str">
        <f>IF(OR(ES139=CaractAmostra!$BH$9,ES139=CaractAmostra!$BH$10,ES139=CaractAmostra!$BH$11,ES139=CaractAmostra!$BH$12),Respostas_Formatadas!ES139,"Outros")</f>
        <v>Com os pais</v>
      </c>
      <c r="EU139" s="36" t="s">
        <v>134</v>
      </c>
      <c r="EV139" s="36" t="s">
        <v>285</v>
      </c>
      <c r="EW139" s="36" t="s">
        <v>284</v>
      </c>
      <c r="FE139" s="47">
        <v>2013</v>
      </c>
      <c r="FF139" s="97">
        <v>7.5721999999999996</v>
      </c>
      <c r="FG139" s="47">
        <v>2013</v>
      </c>
      <c r="FH139" s="47">
        <f t="shared" si="6"/>
        <v>0</v>
      </c>
      <c r="FI139" s="47" t="str">
        <f t="shared" si="4"/>
        <v>Aracaju</v>
      </c>
      <c r="FJ139" s="47" t="str">
        <f t="shared" si="5"/>
        <v>Tecnologia</v>
      </c>
    </row>
    <row r="140" spans="1:166" s="36" customFormat="1" ht="15.75" customHeight="1" x14ac:dyDescent="0.2">
      <c r="A140" s="38">
        <v>43417.765786203701</v>
      </c>
      <c r="C140" s="36" t="s">
        <v>130</v>
      </c>
      <c r="D140" s="47" t="s">
        <v>133</v>
      </c>
      <c r="E140" s="36" t="s">
        <v>135</v>
      </c>
      <c r="F140" s="36" t="s">
        <v>137</v>
      </c>
      <c r="H140" s="36" t="s">
        <v>144</v>
      </c>
      <c r="M140" s="36" t="s">
        <v>147</v>
      </c>
      <c r="N140" s="36" t="s">
        <v>134</v>
      </c>
      <c r="O140" s="36" t="s">
        <v>134</v>
      </c>
      <c r="P140" s="36" t="s">
        <v>133</v>
      </c>
      <c r="Q140" s="36" t="s">
        <v>133</v>
      </c>
      <c r="R140" s="36" t="s">
        <v>151</v>
      </c>
      <c r="Y140" s="36" t="s">
        <v>165</v>
      </c>
      <c r="Z140" s="36" t="s">
        <v>167</v>
      </c>
      <c r="AA140" s="36" t="s">
        <v>172</v>
      </c>
      <c r="AB140" s="36" t="s">
        <v>184</v>
      </c>
      <c r="AD140" s="36" t="s">
        <v>646</v>
      </c>
      <c r="AE140" s="36">
        <v>4</v>
      </c>
      <c r="AF140" s="36" t="s">
        <v>190</v>
      </c>
      <c r="AG140" s="36" t="s">
        <v>190</v>
      </c>
      <c r="AH140" s="36" t="s">
        <v>133</v>
      </c>
      <c r="AI140" s="40">
        <v>1300</v>
      </c>
      <c r="AJ140" s="36">
        <v>3</v>
      </c>
      <c r="AK140" s="36">
        <v>3</v>
      </c>
      <c r="AL140" s="36" t="s">
        <v>134</v>
      </c>
      <c r="AM140" s="36" t="s">
        <v>167</v>
      </c>
      <c r="AN140" s="36">
        <v>2</v>
      </c>
      <c r="AO140" s="36" t="s">
        <v>133</v>
      </c>
      <c r="AP140" s="36" t="s">
        <v>506</v>
      </c>
      <c r="AQ140" s="40">
        <v>1100</v>
      </c>
      <c r="AR140" s="36">
        <v>3</v>
      </c>
      <c r="AS140" s="36">
        <v>2</v>
      </c>
      <c r="AT140" s="36">
        <v>2</v>
      </c>
      <c r="AU140" s="36">
        <v>3</v>
      </c>
      <c r="AV140" s="36">
        <v>2</v>
      </c>
      <c r="AW140" s="36" t="s">
        <v>193</v>
      </c>
      <c r="AX140" s="36" t="s">
        <v>206</v>
      </c>
      <c r="AY140" s="36" t="s">
        <v>210</v>
      </c>
      <c r="AZ140" s="36" t="s">
        <v>134</v>
      </c>
      <c r="BA140" s="36" t="s">
        <v>167</v>
      </c>
      <c r="BB140" s="36" t="s">
        <v>292</v>
      </c>
      <c r="BC140" s="36" t="s">
        <v>292</v>
      </c>
      <c r="BD140" s="36" t="s">
        <v>188</v>
      </c>
      <c r="BF140" s="36" t="s">
        <v>219</v>
      </c>
      <c r="BG140" s="36">
        <v>3</v>
      </c>
      <c r="BH140" s="36">
        <v>4</v>
      </c>
      <c r="BI140" s="36">
        <v>3</v>
      </c>
      <c r="BJ140" s="36">
        <v>4</v>
      </c>
      <c r="BK140" s="36">
        <v>3</v>
      </c>
      <c r="BL140" s="36">
        <v>4</v>
      </c>
      <c r="BM140" s="36">
        <v>4</v>
      </c>
      <c r="BN140" s="36">
        <v>5</v>
      </c>
      <c r="BO140" s="36">
        <v>4</v>
      </c>
      <c r="BP140" s="36">
        <v>3</v>
      </c>
      <c r="BQ140" s="36">
        <v>3</v>
      </c>
      <c r="BR140" s="36">
        <v>4</v>
      </c>
      <c r="BS140" s="36">
        <v>2</v>
      </c>
      <c r="BT140" s="36">
        <v>4</v>
      </c>
      <c r="BU140" s="36">
        <v>4</v>
      </c>
      <c r="BV140" s="36">
        <v>3</v>
      </c>
      <c r="BW140" s="36">
        <v>4</v>
      </c>
      <c r="BX140" s="36">
        <v>3</v>
      </c>
      <c r="BY140" s="36">
        <v>5</v>
      </c>
      <c r="BZ140" s="36">
        <v>4</v>
      </c>
      <c r="CA140" s="36">
        <v>5</v>
      </c>
      <c r="CB140" s="36">
        <v>4</v>
      </c>
      <c r="CC140" s="36">
        <v>3</v>
      </c>
      <c r="CD140" s="36">
        <v>3</v>
      </c>
      <c r="CE140" s="36">
        <v>4</v>
      </c>
      <c r="CF140" s="36">
        <v>2</v>
      </c>
      <c r="CG140" s="36">
        <v>3</v>
      </c>
      <c r="CH140" s="36" t="s">
        <v>222</v>
      </c>
      <c r="CI140"/>
      <c r="CJ140"/>
      <c r="CK140" s="36" t="s">
        <v>240</v>
      </c>
      <c r="CL140"/>
      <c r="CM140"/>
      <c r="CN140" s="36" t="s">
        <v>242</v>
      </c>
      <c r="CO140" s="36" t="s">
        <v>134</v>
      </c>
      <c r="CP140" s="36">
        <v>4</v>
      </c>
      <c r="CQ140" s="36">
        <v>4</v>
      </c>
      <c r="CR140" s="36" t="s">
        <v>248</v>
      </c>
      <c r="CS140" s="36">
        <v>5</v>
      </c>
      <c r="CT140" s="36">
        <v>5</v>
      </c>
      <c r="CU140" s="36">
        <v>5</v>
      </c>
      <c r="CV140" s="36">
        <v>3</v>
      </c>
      <c r="CW140" s="36">
        <v>5</v>
      </c>
      <c r="CX140" s="36">
        <v>5</v>
      </c>
      <c r="CY140" s="36">
        <v>5</v>
      </c>
      <c r="CZ140" s="36">
        <v>4</v>
      </c>
      <c r="DA140" s="36">
        <v>4</v>
      </c>
      <c r="DB140" s="36">
        <v>5</v>
      </c>
      <c r="DC140" s="36">
        <v>5</v>
      </c>
      <c r="DD140" s="36">
        <v>3</v>
      </c>
      <c r="DE140" s="36">
        <v>3</v>
      </c>
      <c r="DF140" s="36">
        <v>4</v>
      </c>
      <c r="DG140" s="36">
        <v>4</v>
      </c>
      <c r="DH140" s="36">
        <v>4</v>
      </c>
      <c r="DI140" s="36" t="s">
        <v>252</v>
      </c>
      <c r="DJ140" s="36" t="s">
        <v>133</v>
      </c>
      <c r="DK140" s="36" t="s">
        <v>254</v>
      </c>
      <c r="DL140" t="s">
        <v>255</v>
      </c>
      <c r="DM140"/>
      <c r="DN140"/>
      <c r="DO140" t="s">
        <v>256</v>
      </c>
      <c r="DP140" t="s">
        <v>257</v>
      </c>
      <c r="DQ140" s="36">
        <v>5</v>
      </c>
      <c r="DR140" s="36" t="s">
        <v>133</v>
      </c>
      <c r="DS140" s="36" t="s">
        <v>259</v>
      </c>
      <c r="DT140"/>
      <c r="DU140"/>
      <c r="DV140" t="s">
        <v>260</v>
      </c>
      <c r="DW140" t="s">
        <v>261</v>
      </c>
      <c r="DX140"/>
      <c r="DY140" s="36">
        <v>4</v>
      </c>
      <c r="DZ140" s="36" t="s">
        <v>133</v>
      </c>
      <c r="EA140" s="36">
        <v>5</v>
      </c>
      <c r="EB140" s="36" t="s">
        <v>262</v>
      </c>
      <c r="EC140" s="36" t="s">
        <v>267</v>
      </c>
      <c r="ED140" s="36">
        <v>29</v>
      </c>
      <c r="EE140" s="36" t="s">
        <v>292</v>
      </c>
      <c r="EF140" s="36" t="str">
        <f>Tabulacao!MC140</f>
        <v>Aracaju</v>
      </c>
      <c r="EG140" s="36" t="s">
        <v>292</v>
      </c>
      <c r="EH140" s="36" t="str">
        <f>Tabulacao!MG140</f>
        <v>Aracaju</v>
      </c>
      <c r="EI140" s="36" t="s">
        <v>292</v>
      </c>
      <c r="EJ140" s="36" t="str">
        <f>Tabulacao!MK140</f>
        <v>Aracaju</v>
      </c>
      <c r="EK140" s="36" t="s">
        <v>134</v>
      </c>
      <c r="EL140" s="36" t="s">
        <v>134</v>
      </c>
      <c r="EM140" s="36" t="s">
        <v>134</v>
      </c>
      <c r="EN140" s="36" t="s">
        <v>134</v>
      </c>
      <c r="EO140" s="36" t="s">
        <v>134</v>
      </c>
      <c r="EP140" s="36" t="s">
        <v>134</v>
      </c>
      <c r="EQ140" s="36" t="s">
        <v>273</v>
      </c>
      <c r="ER140" s="36" t="str">
        <f>IF(OR(EQ140=CaractAmostra!$BD$9,EQ140=CaractAmostra!$BD$10,EQ140=CaractAmostra!$BD$11,EQ140=CaractAmostra!$BD$12,EQ140=CaractAmostra!$BD$13),Respostas_Formatadas!EQ140,"Outros")</f>
        <v>Dividia residência com outras pessoas</v>
      </c>
      <c r="ES140" s="36" t="s">
        <v>278</v>
      </c>
      <c r="ET140" s="36" t="str">
        <f>IF(OR(ES140=CaractAmostra!$BH$9,ES140=CaractAmostra!$BH$10,ES140=CaractAmostra!$BH$11,ES140=CaractAmostra!$BH$12),Respostas_Formatadas!ES140,"Outros")</f>
        <v>Divido residência com outras pessoas</v>
      </c>
      <c r="EU140" s="36" t="s">
        <v>134</v>
      </c>
      <c r="EV140" s="36" t="s">
        <v>192</v>
      </c>
      <c r="EW140" s="36" t="s">
        <v>282</v>
      </c>
      <c r="FD140" s="36" t="s">
        <v>647</v>
      </c>
      <c r="FE140" s="47">
        <v>2017</v>
      </c>
      <c r="FF140" s="97">
        <v>5.8952999999999998</v>
      </c>
      <c r="FG140" s="47">
        <v>2017</v>
      </c>
      <c r="FH140" s="47">
        <f t="shared" si="6"/>
        <v>0</v>
      </c>
      <c r="FI140" s="47" t="str">
        <f t="shared" si="4"/>
        <v>São Cristóvão</v>
      </c>
      <c r="FJ140" s="47" t="str">
        <f t="shared" si="5"/>
        <v>Tecnologia</v>
      </c>
    </row>
    <row r="141" spans="1:166" s="36" customFormat="1" ht="15.75" customHeight="1" x14ac:dyDescent="0.2">
      <c r="A141" s="38">
        <v>43417.797223784721</v>
      </c>
      <c r="C141" s="36" t="s">
        <v>125</v>
      </c>
      <c r="D141" s="47" t="s">
        <v>133</v>
      </c>
      <c r="E141" s="36" t="s">
        <v>137</v>
      </c>
      <c r="H141" s="36" t="s">
        <v>142</v>
      </c>
      <c r="M141" s="36" t="s">
        <v>148</v>
      </c>
      <c r="N141" s="36" t="s">
        <v>134</v>
      </c>
      <c r="O141" s="36" t="s">
        <v>133</v>
      </c>
      <c r="P141" s="36" t="s">
        <v>133</v>
      </c>
      <c r="Q141" s="36" t="s">
        <v>134</v>
      </c>
      <c r="R141" s="36" t="s">
        <v>153</v>
      </c>
      <c r="S141" s="36" t="s">
        <v>947</v>
      </c>
      <c r="T141" s="36" t="s">
        <v>154</v>
      </c>
      <c r="U141" s="36" t="s">
        <v>157</v>
      </c>
      <c r="V141" s="36">
        <v>1</v>
      </c>
      <c r="W141" s="36">
        <v>5</v>
      </c>
      <c r="X141" s="36">
        <v>5</v>
      </c>
      <c r="Y141" s="36" t="s">
        <v>134</v>
      </c>
      <c r="AI141" s="40"/>
      <c r="AQ141" s="40"/>
      <c r="BT141" s="36">
        <v>5</v>
      </c>
      <c r="BU141" s="36">
        <v>5</v>
      </c>
      <c r="BV141" s="36">
        <v>5</v>
      </c>
      <c r="BW141" s="36">
        <v>5</v>
      </c>
      <c r="BX141" s="36">
        <v>5</v>
      </c>
      <c r="BY141" s="36">
        <v>5</v>
      </c>
      <c r="BZ141" s="36">
        <v>5</v>
      </c>
      <c r="CA141" s="36">
        <v>5</v>
      </c>
      <c r="CB141" s="36">
        <v>5</v>
      </c>
      <c r="CC141" s="36">
        <v>5</v>
      </c>
      <c r="CD141" s="36">
        <v>5</v>
      </c>
      <c r="CE141" s="36">
        <v>5</v>
      </c>
      <c r="CF141" s="36">
        <v>5</v>
      </c>
      <c r="CG141" s="36">
        <v>1</v>
      </c>
      <c r="CH141" s="36" t="s">
        <v>222</v>
      </c>
      <c r="CI141" t="s">
        <v>226</v>
      </c>
      <c r="CJ141" t="s">
        <v>1017</v>
      </c>
      <c r="CK141" s="36" t="s">
        <v>233</v>
      </c>
      <c r="CL141" t="s">
        <v>236</v>
      </c>
      <c r="CM141" t="s">
        <v>237</v>
      </c>
      <c r="CN141" s="36" t="s">
        <v>241</v>
      </c>
      <c r="CO141" s="36" t="s">
        <v>134</v>
      </c>
      <c r="CP141" s="36">
        <v>1</v>
      </c>
      <c r="CQ141" s="36">
        <v>1</v>
      </c>
      <c r="CR141" s="36" t="s">
        <v>248</v>
      </c>
      <c r="CS141" s="36">
        <v>3</v>
      </c>
      <c r="CT141" s="36">
        <v>5</v>
      </c>
      <c r="CU141" s="36">
        <v>2</v>
      </c>
      <c r="CV141" s="36">
        <v>2</v>
      </c>
      <c r="CW141" s="36">
        <v>3</v>
      </c>
      <c r="CX141" s="36">
        <v>5</v>
      </c>
      <c r="CY141" s="36">
        <v>4</v>
      </c>
      <c r="CZ141" s="36">
        <v>5</v>
      </c>
      <c r="DA141" s="36">
        <v>3</v>
      </c>
      <c r="DB141" s="36">
        <v>2</v>
      </c>
      <c r="DC141" s="36">
        <v>3</v>
      </c>
      <c r="DD141" s="36">
        <v>1</v>
      </c>
      <c r="DE141" s="36">
        <v>5</v>
      </c>
      <c r="DF141" s="36">
        <v>5</v>
      </c>
      <c r="DG141" s="36">
        <v>5</v>
      </c>
      <c r="DH141" s="36">
        <v>5</v>
      </c>
      <c r="DI141" s="36" t="s">
        <v>133</v>
      </c>
      <c r="DJ141" s="36" t="s">
        <v>133</v>
      </c>
      <c r="DK141" s="36" t="s">
        <v>255</v>
      </c>
      <c r="DL141"/>
      <c r="DM141"/>
      <c r="DN141"/>
      <c r="DO141"/>
      <c r="DP141"/>
      <c r="DQ141" s="36">
        <v>4</v>
      </c>
      <c r="DR141" s="36" t="s">
        <v>133</v>
      </c>
      <c r="DS141" s="36" t="s">
        <v>258</v>
      </c>
      <c r="DT141" t="s">
        <v>260</v>
      </c>
      <c r="DU141" t="s">
        <v>261</v>
      </c>
      <c r="DV141"/>
      <c r="DW141"/>
      <c r="DX141"/>
      <c r="DY141" s="36">
        <v>4</v>
      </c>
      <c r="DZ141" s="36" t="s">
        <v>133</v>
      </c>
      <c r="EA141" s="36">
        <v>5</v>
      </c>
      <c r="EB141" s="36" t="s">
        <v>262</v>
      </c>
      <c r="EC141" s="36" t="s">
        <v>264</v>
      </c>
      <c r="ED141" s="36">
        <v>45</v>
      </c>
      <c r="EE141" s="36" t="s">
        <v>648</v>
      </c>
      <c r="EF141" s="36" t="str">
        <f>Tabulacao!MC141</f>
        <v>Cristinápolis</v>
      </c>
      <c r="EG141" s="36" t="s">
        <v>292</v>
      </c>
      <c r="EH141" s="36" t="str">
        <f>Tabulacao!MG141</f>
        <v>Aracaju</v>
      </c>
      <c r="EI141" s="36" t="s">
        <v>292</v>
      </c>
      <c r="EJ141" s="36" t="str">
        <f>Tabulacao!MK141</f>
        <v>Aracaju</v>
      </c>
      <c r="EK141" s="36" t="s">
        <v>271</v>
      </c>
      <c r="EL141" s="36" t="s">
        <v>271</v>
      </c>
      <c r="EM141" s="36" t="s">
        <v>271</v>
      </c>
      <c r="EN141" s="36" t="s">
        <v>134</v>
      </c>
      <c r="EO141" s="36" t="s">
        <v>134</v>
      </c>
      <c r="EP141" s="36" t="s">
        <v>134</v>
      </c>
      <c r="EQ141" s="36" t="s">
        <v>273</v>
      </c>
      <c r="ER141" s="36" t="str">
        <f>IF(OR(EQ141=CaractAmostra!$BD$9,EQ141=CaractAmostra!$BD$10,EQ141=CaractAmostra!$BD$11,EQ141=CaractAmostra!$BD$12,EQ141=CaractAmostra!$BD$13),Respostas_Formatadas!EQ141,"Outros")</f>
        <v>Dividia residência com outras pessoas</v>
      </c>
      <c r="ES141" s="36" t="s">
        <v>274</v>
      </c>
      <c r="ET141" s="36" t="str">
        <f>IF(OR(ES141=CaractAmostra!$BH$9,ES141=CaractAmostra!$BH$10,ES141=CaractAmostra!$BH$11,ES141=CaractAmostra!$BH$12),Respostas_Formatadas!ES141,"Outros")</f>
        <v>Com um(a) parceiro(a)</v>
      </c>
      <c r="EU141" s="36" t="s">
        <v>279</v>
      </c>
      <c r="EV141" s="36" t="s">
        <v>287</v>
      </c>
      <c r="EW141" s="36" t="s">
        <v>285</v>
      </c>
      <c r="FE141" s="47">
        <v>2014</v>
      </c>
      <c r="FF141" s="97">
        <v>7.8323999999999998</v>
      </c>
      <c r="FG141" s="47">
        <v>2014</v>
      </c>
      <c r="FH141" s="47">
        <f t="shared" si="6"/>
        <v>0</v>
      </c>
      <c r="FI141" s="47" t="str">
        <f t="shared" si="4"/>
        <v>Aracaju</v>
      </c>
      <c r="FJ141" s="47" t="str">
        <f t="shared" si="5"/>
        <v>Tecnologia</v>
      </c>
    </row>
    <row r="142" spans="1:166" s="36" customFormat="1" ht="15.75" customHeight="1" x14ac:dyDescent="0.2">
      <c r="A142" s="38">
        <v>43417.802612453699</v>
      </c>
      <c r="C142" s="36" t="s">
        <v>128</v>
      </c>
      <c r="D142" s="47" t="s">
        <v>134</v>
      </c>
      <c r="M142" s="36" t="s">
        <v>146</v>
      </c>
      <c r="N142" s="36" t="s">
        <v>134</v>
      </c>
      <c r="O142" s="36" t="s">
        <v>134</v>
      </c>
      <c r="P142" s="36" t="s">
        <v>134</v>
      </c>
      <c r="Q142" s="36" t="s">
        <v>134</v>
      </c>
      <c r="R142" s="36" t="s">
        <v>151</v>
      </c>
      <c r="Y142" s="36" t="s">
        <v>165</v>
      </c>
      <c r="Z142" s="36" t="s">
        <v>167</v>
      </c>
      <c r="AA142" s="36" t="s">
        <v>173</v>
      </c>
      <c r="AB142" s="36" t="s">
        <v>178</v>
      </c>
      <c r="AD142" s="36" t="s">
        <v>649</v>
      </c>
      <c r="AE142" s="36">
        <v>5</v>
      </c>
      <c r="AF142" s="36" t="s">
        <v>187</v>
      </c>
      <c r="AG142" s="36" t="s">
        <v>187</v>
      </c>
      <c r="AH142" s="36" t="s">
        <v>134</v>
      </c>
      <c r="AI142" s="40">
        <v>932</v>
      </c>
      <c r="AJ142" s="36">
        <v>5</v>
      </c>
      <c r="AK142" s="36">
        <v>5</v>
      </c>
      <c r="AL142" s="36" t="s">
        <v>133</v>
      </c>
      <c r="AP142" s="36" t="s">
        <v>650</v>
      </c>
      <c r="AQ142" s="40">
        <v>1500</v>
      </c>
      <c r="AR142" s="36">
        <v>5</v>
      </c>
      <c r="AS142" s="36">
        <v>5</v>
      </c>
      <c r="AT142" s="36">
        <v>5</v>
      </c>
      <c r="AU142" s="36">
        <v>5</v>
      </c>
      <c r="AV142" s="36">
        <v>4</v>
      </c>
      <c r="AW142" s="36" t="s">
        <v>192</v>
      </c>
      <c r="AX142" s="36" t="s">
        <v>206</v>
      </c>
      <c r="AY142" s="36" t="s">
        <v>210</v>
      </c>
      <c r="AZ142" s="36" t="s">
        <v>133</v>
      </c>
      <c r="BA142" s="36" t="s">
        <v>170</v>
      </c>
      <c r="BB142" s="36" t="s">
        <v>355</v>
      </c>
      <c r="BC142" s="36" t="s">
        <v>328</v>
      </c>
      <c r="BD142" s="36" t="s">
        <v>187</v>
      </c>
      <c r="BE142" s="36" t="s">
        <v>215</v>
      </c>
      <c r="BG142" s="36">
        <v>5</v>
      </c>
      <c r="BH142" s="36">
        <v>5</v>
      </c>
      <c r="BI142" s="36">
        <v>5</v>
      </c>
      <c r="BJ142" s="36">
        <v>4</v>
      </c>
      <c r="BK142" s="36">
        <v>5</v>
      </c>
      <c r="BL142" s="36">
        <v>5</v>
      </c>
      <c r="BM142" s="36">
        <v>5</v>
      </c>
      <c r="BN142" s="36">
        <v>5</v>
      </c>
      <c r="BO142" s="36">
        <v>5</v>
      </c>
      <c r="BP142" s="36">
        <v>5</v>
      </c>
      <c r="BQ142" s="36">
        <v>4</v>
      </c>
      <c r="BR142" s="36">
        <v>5</v>
      </c>
      <c r="BS142" s="36">
        <v>1</v>
      </c>
      <c r="BT142" s="36">
        <v>5</v>
      </c>
      <c r="BU142" s="36">
        <v>5</v>
      </c>
      <c r="BV142" s="36">
        <v>5</v>
      </c>
      <c r="BW142" s="36">
        <v>4</v>
      </c>
      <c r="BX142" s="36">
        <v>5</v>
      </c>
      <c r="BY142" s="36">
        <v>5</v>
      </c>
      <c r="BZ142" s="36">
        <v>5</v>
      </c>
      <c r="CA142" s="36">
        <v>5</v>
      </c>
      <c r="CB142" s="36">
        <v>5</v>
      </c>
      <c r="CC142" s="36">
        <v>5</v>
      </c>
      <c r="CD142" s="36">
        <v>4</v>
      </c>
      <c r="CE142" s="36">
        <v>5</v>
      </c>
      <c r="CF142" s="36">
        <v>1</v>
      </c>
      <c r="CG142" s="36">
        <v>5</v>
      </c>
      <c r="CH142" s="36" t="s">
        <v>222</v>
      </c>
      <c r="CI142"/>
      <c r="CJ142"/>
      <c r="CK142" s="36" t="s">
        <v>233</v>
      </c>
      <c r="CL142"/>
      <c r="CM142"/>
      <c r="CN142" s="36" t="s">
        <v>242</v>
      </c>
      <c r="CO142" s="36" t="s">
        <v>134</v>
      </c>
      <c r="CP142" s="36">
        <v>5</v>
      </c>
      <c r="CQ142" s="36">
        <v>5</v>
      </c>
      <c r="CR142" s="36" t="s">
        <v>248</v>
      </c>
      <c r="CS142" s="36">
        <v>4</v>
      </c>
      <c r="CT142" s="36">
        <v>5</v>
      </c>
      <c r="CU142" s="36">
        <v>1</v>
      </c>
      <c r="CV142" s="36">
        <v>1</v>
      </c>
      <c r="CW142" s="36">
        <v>3</v>
      </c>
      <c r="CX142" s="36">
        <v>4</v>
      </c>
      <c r="CY142" s="36">
        <v>5</v>
      </c>
      <c r="CZ142" s="36">
        <v>5</v>
      </c>
      <c r="DA142" s="36">
        <v>5</v>
      </c>
      <c r="DB142" s="36">
        <v>4</v>
      </c>
      <c r="DC142" s="36">
        <v>4</v>
      </c>
      <c r="DD142" s="36">
        <v>5</v>
      </c>
      <c r="DE142" s="36">
        <v>5</v>
      </c>
      <c r="DF142" s="36">
        <v>5</v>
      </c>
      <c r="DG142" s="36">
        <v>5</v>
      </c>
      <c r="DH142" s="36">
        <v>5</v>
      </c>
      <c r="DI142" s="36" t="s">
        <v>133</v>
      </c>
      <c r="DJ142" s="36" t="s">
        <v>134</v>
      </c>
      <c r="DL142"/>
      <c r="DM142"/>
      <c r="DN142"/>
      <c r="DO142"/>
      <c r="DP142"/>
      <c r="DR142" s="36" t="s">
        <v>134</v>
      </c>
      <c r="DT142"/>
      <c r="DU142"/>
      <c r="DV142"/>
      <c r="DW142"/>
      <c r="DX142"/>
      <c r="DZ142" s="36" t="s">
        <v>133</v>
      </c>
      <c r="EA142" s="36">
        <v>5</v>
      </c>
      <c r="EB142" s="36" t="s">
        <v>263</v>
      </c>
      <c r="EC142" s="36" t="s">
        <v>264</v>
      </c>
      <c r="ED142" s="36">
        <v>24</v>
      </c>
      <c r="EE142" s="36" t="s">
        <v>355</v>
      </c>
      <c r="EF142" s="36" t="str">
        <f>Tabulacao!MC142</f>
        <v>Nossa Senhora da Glória</v>
      </c>
      <c r="EG142" s="36" t="s">
        <v>355</v>
      </c>
      <c r="EH142" s="36" t="str">
        <f>Tabulacao!MG142</f>
        <v>Nossa Senhora da Glória</v>
      </c>
      <c r="EI142" s="36" t="s">
        <v>355</v>
      </c>
      <c r="EJ142" s="36" t="str">
        <f>Tabulacao!MK142</f>
        <v>Nossa Senhora da Glória</v>
      </c>
      <c r="EK142" s="36" t="s">
        <v>134</v>
      </c>
      <c r="EL142" s="36" t="s">
        <v>134</v>
      </c>
      <c r="EM142" s="36" t="s">
        <v>134</v>
      </c>
      <c r="EN142" s="36" t="s">
        <v>134</v>
      </c>
      <c r="EO142" s="36" t="s">
        <v>134</v>
      </c>
      <c r="EP142" s="36" t="s">
        <v>134</v>
      </c>
      <c r="EQ142" s="36" t="s">
        <v>275</v>
      </c>
      <c r="ER142" s="36" t="str">
        <f>IF(OR(EQ142=CaractAmostra!$BD$9,EQ142=CaractAmostra!$BD$10,EQ142=CaractAmostra!$BD$11,EQ142=CaractAmostra!$BD$12,EQ142=CaractAmostra!$BD$13),Respostas_Formatadas!EQ142,"Outros")</f>
        <v>Com os pais</v>
      </c>
      <c r="ES142" s="36" t="s">
        <v>275</v>
      </c>
      <c r="ET142" s="36" t="str">
        <f>IF(OR(ES142=CaractAmostra!$BH$9,ES142=CaractAmostra!$BH$10,ES142=CaractAmostra!$BH$11,ES142=CaractAmostra!$BH$12),Respostas_Formatadas!ES142,"Outros")</f>
        <v>Com os pais</v>
      </c>
      <c r="EU142" s="36" t="s">
        <v>134</v>
      </c>
      <c r="EV142" s="36" t="s">
        <v>283</v>
      </c>
      <c r="EW142" s="36" t="s">
        <v>285</v>
      </c>
      <c r="FE142" s="47">
        <v>2015</v>
      </c>
      <c r="FF142" s="97">
        <v>7.2682000000000002</v>
      </c>
      <c r="FG142" s="47">
        <v>2015</v>
      </c>
      <c r="FH142" s="47">
        <f t="shared" si="6"/>
        <v>0</v>
      </c>
      <c r="FI142" s="47" t="str">
        <f t="shared" si="4"/>
        <v>Nossa Senhora da Glória</v>
      </c>
      <c r="FJ142" s="47" t="str">
        <f t="shared" si="5"/>
        <v>Tecnologia</v>
      </c>
    </row>
    <row r="143" spans="1:166" s="36" customFormat="1" ht="15.75" customHeight="1" x14ac:dyDescent="0.2">
      <c r="A143" s="38">
        <v>43417.8026994213</v>
      </c>
      <c r="C143" s="36" t="s">
        <v>128</v>
      </c>
      <c r="D143" s="47" t="s">
        <v>134</v>
      </c>
      <c r="M143" s="36" t="s">
        <v>146</v>
      </c>
      <c r="N143" s="36" t="s">
        <v>134</v>
      </c>
      <c r="O143" s="36" t="s">
        <v>134</v>
      </c>
      <c r="P143" s="36" t="s">
        <v>134</v>
      </c>
      <c r="Q143" s="36" t="s">
        <v>133</v>
      </c>
      <c r="R143" s="36" t="s">
        <v>151</v>
      </c>
      <c r="Y143" s="36" t="s">
        <v>165</v>
      </c>
      <c r="Z143" s="36" t="s">
        <v>169</v>
      </c>
      <c r="AA143" s="36" t="s">
        <v>174</v>
      </c>
      <c r="AB143" s="36" t="s">
        <v>181</v>
      </c>
      <c r="AD143" s="36" t="s">
        <v>651</v>
      </c>
      <c r="AE143" s="36">
        <v>1</v>
      </c>
      <c r="AF143" s="36" t="s">
        <v>188</v>
      </c>
      <c r="AG143" s="36" t="s">
        <v>188</v>
      </c>
      <c r="AH143" s="36" t="s">
        <v>134</v>
      </c>
      <c r="AI143" s="40">
        <v>1100</v>
      </c>
      <c r="AJ143" s="36">
        <v>1</v>
      </c>
      <c r="AK143" s="36">
        <v>2</v>
      </c>
      <c r="AL143" s="36" t="s">
        <v>133</v>
      </c>
      <c r="AP143" s="36" t="s">
        <v>651</v>
      </c>
      <c r="AQ143" s="40">
        <v>1100</v>
      </c>
      <c r="AR143" s="36">
        <v>2</v>
      </c>
      <c r="AS143" s="36">
        <v>1</v>
      </c>
      <c r="AT143" s="36">
        <v>2</v>
      </c>
      <c r="AU143" s="36">
        <v>3</v>
      </c>
      <c r="AV143" s="36">
        <v>3</v>
      </c>
      <c r="AW143" s="36" t="s">
        <v>192</v>
      </c>
      <c r="AX143" s="36" t="s">
        <v>205</v>
      </c>
      <c r="AY143" s="36" t="s">
        <v>210</v>
      </c>
      <c r="AZ143" s="36" t="s">
        <v>134</v>
      </c>
      <c r="BA143" s="36" t="s">
        <v>213</v>
      </c>
      <c r="BB143" s="36" t="s">
        <v>652</v>
      </c>
      <c r="BC143" s="36" t="s">
        <v>328</v>
      </c>
      <c r="BD143" s="36" t="s">
        <v>188</v>
      </c>
      <c r="BF143" s="36" t="s">
        <v>221</v>
      </c>
      <c r="BG143" s="36">
        <v>1</v>
      </c>
      <c r="BH143" s="36">
        <v>3</v>
      </c>
      <c r="BI143" s="36">
        <v>3</v>
      </c>
      <c r="BJ143" s="36">
        <v>5</v>
      </c>
      <c r="BK143" s="36">
        <v>4</v>
      </c>
      <c r="BL143" s="36">
        <v>5</v>
      </c>
      <c r="BM143" s="36">
        <v>4</v>
      </c>
      <c r="BN143" s="36">
        <v>3</v>
      </c>
      <c r="BO143" s="36">
        <v>3</v>
      </c>
      <c r="BP143" s="36">
        <v>3</v>
      </c>
      <c r="BQ143" s="36">
        <v>3</v>
      </c>
      <c r="BR143" s="36">
        <v>4</v>
      </c>
      <c r="BS143" s="36">
        <v>1</v>
      </c>
      <c r="BT143" s="36">
        <v>3</v>
      </c>
      <c r="BU143" s="36">
        <v>3</v>
      </c>
      <c r="BV143" s="36">
        <v>3</v>
      </c>
      <c r="BW143" s="36">
        <v>4</v>
      </c>
      <c r="BX143" s="36">
        <v>4</v>
      </c>
      <c r="BY143" s="36">
        <v>5</v>
      </c>
      <c r="BZ143" s="36">
        <v>5</v>
      </c>
      <c r="CA143" s="36">
        <v>4</v>
      </c>
      <c r="CB143" s="36">
        <v>4</v>
      </c>
      <c r="CC143" s="36">
        <v>4</v>
      </c>
      <c r="CD143" s="36">
        <v>4</v>
      </c>
      <c r="CE143" s="36">
        <v>4</v>
      </c>
      <c r="CF143" s="36">
        <v>1</v>
      </c>
      <c r="CG143" s="36">
        <v>3</v>
      </c>
      <c r="CH143" s="36" t="s">
        <v>653</v>
      </c>
      <c r="CI143"/>
      <c r="CJ143"/>
      <c r="CK143" s="36" t="s">
        <v>235</v>
      </c>
      <c r="CL143"/>
      <c r="CM143"/>
      <c r="CN143" s="36" t="s">
        <v>242</v>
      </c>
      <c r="CO143" s="36" t="s">
        <v>134</v>
      </c>
      <c r="CP143" s="36">
        <v>2</v>
      </c>
      <c r="CQ143" s="36">
        <v>4</v>
      </c>
      <c r="CR143" s="36" t="s">
        <v>248</v>
      </c>
      <c r="CS143" s="36">
        <v>3</v>
      </c>
      <c r="CT143" s="36">
        <v>4</v>
      </c>
      <c r="CU143" s="36">
        <v>3</v>
      </c>
      <c r="CV143" s="36">
        <v>2</v>
      </c>
      <c r="CW143" s="36">
        <v>2</v>
      </c>
      <c r="CX143" s="36">
        <v>5</v>
      </c>
      <c r="CY143" s="36">
        <v>5</v>
      </c>
      <c r="CZ143" s="36">
        <v>5</v>
      </c>
      <c r="DA143" s="36">
        <v>2</v>
      </c>
      <c r="DB143" s="36">
        <v>3</v>
      </c>
      <c r="DC143" s="36">
        <v>5</v>
      </c>
      <c r="DD143" s="36">
        <v>1</v>
      </c>
      <c r="DE143" s="36">
        <v>1</v>
      </c>
      <c r="DF143" s="36">
        <v>1</v>
      </c>
      <c r="DG143" s="36">
        <v>3</v>
      </c>
      <c r="DH143" s="36">
        <v>2</v>
      </c>
      <c r="DI143" s="36" t="s">
        <v>252</v>
      </c>
      <c r="DJ143" s="36" t="s">
        <v>133</v>
      </c>
      <c r="DK143" s="36" t="s">
        <v>255</v>
      </c>
      <c r="DL143"/>
      <c r="DM143"/>
      <c r="DN143" t="s">
        <v>256</v>
      </c>
      <c r="DO143" t="s">
        <v>257</v>
      </c>
      <c r="DP143"/>
      <c r="DQ143" s="36">
        <v>1</v>
      </c>
      <c r="DR143" s="36" t="s">
        <v>133</v>
      </c>
      <c r="DS143" s="36" t="s">
        <v>259</v>
      </c>
      <c r="DT143"/>
      <c r="DU143"/>
      <c r="DV143" t="s">
        <v>260</v>
      </c>
      <c r="DW143" t="s">
        <v>261</v>
      </c>
      <c r="DX143"/>
      <c r="DY143" s="36">
        <v>1</v>
      </c>
      <c r="DZ143" s="36" t="s">
        <v>134</v>
      </c>
      <c r="EB143" s="36" t="s">
        <v>262</v>
      </c>
      <c r="EC143" s="36" t="s">
        <v>267</v>
      </c>
      <c r="ED143" s="36">
        <v>24</v>
      </c>
      <c r="EE143" s="36" t="s">
        <v>654</v>
      </c>
      <c r="EF143" s="36" t="str">
        <f>Tabulacao!MC143</f>
        <v>Nossa Senhora da Glória</v>
      </c>
      <c r="EG143" s="36" t="s">
        <v>328</v>
      </c>
      <c r="EH143" s="36" t="str">
        <f>Tabulacao!MG143</f>
        <v>Nossa Senhora da Glória</v>
      </c>
      <c r="EI143" s="36" t="s">
        <v>328</v>
      </c>
      <c r="EJ143" s="36" t="str">
        <f>Tabulacao!MK143</f>
        <v>Nossa Senhora da Glória</v>
      </c>
      <c r="EK143" s="36" t="s">
        <v>134</v>
      </c>
      <c r="EL143" s="36" t="s">
        <v>134</v>
      </c>
      <c r="EM143" s="36" t="s">
        <v>134</v>
      </c>
      <c r="EN143" s="36" t="s">
        <v>134</v>
      </c>
      <c r="EO143" s="36" t="s">
        <v>134</v>
      </c>
      <c r="EP143" s="36" t="s">
        <v>134</v>
      </c>
      <c r="EQ143" s="36" t="s">
        <v>275</v>
      </c>
      <c r="ER143" s="36" t="str">
        <f>IF(OR(EQ143=CaractAmostra!$BD$9,EQ143=CaractAmostra!$BD$10,EQ143=CaractAmostra!$BD$11,EQ143=CaractAmostra!$BD$12,EQ143=CaractAmostra!$BD$13),Respostas_Formatadas!EQ143,"Outros")</f>
        <v>Com os pais</v>
      </c>
      <c r="ES143" s="36" t="s">
        <v>275</v>
      </c>
      <c r="ET143" s="36" t="str">
        <f>IF(OR(ES143=CaractAmostra!$BH$9,ES143=CaractAmostra!$BH$10,ES143=CaractAmostra!$BH$11,ES143=CaractAmostra!$BH$12),Respostas_Formatadas!ES143,"Outros")</f>
        <v>Com os pais</v>
      </c>
      <c r="EU143" s="36" t="s">
        <v>134</v>
      </c>
      <c r="EV143" s="36" t="s">
        <v>285</v>
      </c>
      <c r="EW143" s="36" t="s">
        <v>288</v>
      </c>
      <c r="FE143" s="47">
        <v>2015</v>
      </c>
      <c r="FF143" s="97">
        <v>8.4635999999999996</v>
      </c>
      <c r="FG143" s="47">
        <v>2015</v>
      </c>
      <c r="FH143" s="47">
        <f t="shared" si="6"/>
        <v>0</v>
      </c>
      <c r="FI143" s="47" t="str">
        <f t="shared" si="4"/>
        <v>Nossa Senhora da Glória</v>
      </c>
      <c r="FJ143" s="47" t="str">
        <f t="shared" si="5"/>
        <v>Tecnologia</v>
      </c>
    </row>
    <row r="144" spans="1:166" s="36" customFormat="1" ht="15.75" customHeight="1" x14ac:dyDescent="0.2">
      <c r="A144" s="38">
        <v>43417.825695949075</v>
      </c>
      <c r="C144" s="36" t="s">
        <v>119</v>
      </c>
      <c r="D144" s="47" t="s">
        <v>133</v>
      </c>
      <c r="E144" s="36" t="s">
        <v>138</v>
      </c>
      <c r="H144" s="36" t="s">
        <v>141</v>
      </c>
      <c r="I144" s="36" t="s">
        <v>142</v>
      </c>
      <c r="J144" s="36" t="s">
        <v>144</v>
      </c>
      <c r="M144" s="36" t="s">
        <v>146</v>
      </c>
      <c r="N144" s="36" t="s">
        <v>134</v>
      </c>
      <c r="O144" s="36" t="s">
        <v>133</v>
      </c>
      <c r="P144" s="36" t="s">
        <v>134</v>
      </c>
      <c r="Q144" s="36" t="s">
        <v>134</v>
      </c>
      <c r="R144" s="36" t="s">
        <v>151</v>
      </c>
      <c r="Y144" s="36" t="s">
        <v>134</v>
      </c>
      <c r="AI144" s="40"/>
      <c r="AQ144" s="40"/>
      <c r="BT144" s="36">
        <v>4</v>
      </c>
      <c r="BU144" s="36">
        <v>4</v>
      </c>
      <c r="BV144" s="36">
        <v>5</v>
      </c>
      <c r="BW144" s="36">
        <v>5</v>
      </c>
      <c r="BX144" s="36">
        <v>5</v>
      </c>
      <c r="BY144" s="36">
        <v>5</v>
      </c>
      <c r="BZ144" s="36">
        <v>5</v>
      </c>
      <c r="CA144" s="36">
        <v>5</v>
      </c>
      <c r="CB144" s="36">
        <v>5</v>
      </c>
      <c r="CC144" s="36">
        <v>5</v>
      </c>
      <c r="CD144" s="36">
        <v>5</v>
      </c>
      <c r="CE144" s="36">
        <v>5</v>
      </c>
      <c r="CF144" s="36">
        <v>4</v>
      </c>
      <c r="CG144" s="36">
        <v>4</v>
      </c>
      <c r="CH144" s="36" t="s">
        <v>222</v>
      </c>
      <c r="CI144" t="s">
        <v>226</v>
      </c>
      <c r="CJ144" t="s">
        <v>229</v>
      </c>
      <c r="CK144" s="36" t="s">
        <v>234</v>
      </c>
      <c r="CL144" t="s">
        <v>236</v>
      </c>
      <c r="CM144" t="s">
        <v>240</v>
      </c>
      <c r="CN144" s="36" t="s">
        <v>242</v>
      </c>
      <c r="CO144" s="36" t="s">
        <v>134</v>
      </c>
      <c r="CP144" s="36">
        <v>1</v>
      </c>
      <c r="CQ144" s="36">
        <v>5</v>
      </c>
      <c r="CR144" s="36" t="s">
        <v>248</v>
      </c>
      <c r="CS144" s="36">
        <v>5</v>
      </c>
      <c r="CT144" s="36">
        <v>2</v>
      </c>
      <c r="CU144" s="36">
        <v>2</v>
      </c>
      <c r="CV144" s="36">
        <v>3</v>
      </c>
      <c r="CW144" s="36">
        <v>5</v>
      </c>
      <c r="CX144" s="36">
        <v>5</v>
      </c>
      <c r="CY144" s="36">
        <v>5</v>
      </c>
      <c r="CZ144" s="36">
        <v>5</v>
      </c>
      <c r="DA144" s="36">
        <v>3</v>
      </c>
      <c r="DB144" s="36">
        <v>2</v>
      </c>
      <c r="DC144" s="36">
        <v>4</v>
      </c>
      <c r="DD144" s="36">
        <v>4</v>
      </c>
      <c r="DE144" s="36">
        <v>5</v>
      </c>
      <c r="DF144" s="36">
        <v>5</v>
      </c>
      <c r="DG144" s="36">
        <v>4</v>
      </c>
      <c r="DH144" s="36">
        <v>4</v>
      </c>
      <c r="DI144" s="36" t="s">
        <v>133</v>
      </c>
      <c r="DJ144" s="36" t="s">
        <v>133</v>
      </c>
      <c r="DK144" s="36" t="s">
        <v>255</v>
      </c>
      <c r="DL144"/>
      <c r="DM144"/>
      <c r="DN144"/>
      <c r="DO144"/>
      <c r="DP144"/>
      <c r="DQ144" s="36">
        <v>5</v>
      </c>
      <c r="DR144" s="36" t="s">
        <v>133</v>
      </c>
      <c r="DS144" s="36" t="s">
        <v>259</v>
      </c>
      <c r="DT144"/>
      <c r="DU144"/>
      <c r="DV144"/>
      <c r="DW144"/>
      <c r="DX144"/>
      <c r="DY144" s="36">
        <v>5</v>
      </c>
      <c r="DZ144" s="36" t="s">
        <v>134</v>
      </c>
      <c r="EB144" s="36" t="s">
        <v>262</v>
      </c>
      <c r="EC144" s="36" t="s">
        <v>265</v>
      </c>
      <c r="ED144" s="36">
        <v>25</v>
      </c>
      <c r="EE144" s="36" t="s">
        <v>292</v>
      </c>
      <c r="EF144" s="36" t="str">
        <f>Tabulacao!MC144</f>
        <v>Aracaju</v>
      </c>
      <c r="EG144" s="36" t="s">
        <v>292</v>
      </c>
      <c r="EH144" s="36" t="str">
        <f>Tabulacao!MG144</f>
        <v>Aracaju</v>
      </c>
      <c r="EI144" s="36" t="s">
        <v>655</v>
      </c>
      <c r="EJ144" s="36" t="str">
        <f>Tabulacao!MK144</f>
        <v>Brasília - DF</v>
      </c>
      <c r="EK144" s="36" t="s">
        <v>134</v>
      </c>
      <c r="EL144" s="36" t="s">
        <v>134</v>
      </c>
      <c r="EM144" s="36" t="s">
        <v>134</v>
      </c>
      <c r="EN144" s="36" t="s">
        <v>134</v>
      </c>
      <c r="EO144" s="36" t="s">
        <v>134</v>
      </c>
      <c r="EP144" s="36" t="s">
        <v>134</v>
      </c>
      <c r="EQ144" s="36" t="s">
        <v>273</v>
      </c>
      <c r="ER144" s="36" t="str">
        <f>IF(OR(EQ144=CaractAmostra!$BD$9,EQ144=CaractAmostra!$BD$10,EQ144=CaractAmostra!$BD$11,EQ144=CaractAmostra!$BD$12,EQ144=CaractAmostra!$BD$13),Respostas_Formatadas!EQ144,"Outros")</f>
        <v>Dividia residência com outras pessoas</v>
      </c>
      <c r="ES144" s="36" t="s">
        <v>277</v>
      </c>
      <c r="ET144" s="36" t="str">
        <f>IF(OR(ES144=CaractAmostra!$BH$9,ES144=CaractAmostra!$BH$10,ES144=CaractAmostra!$BH$11,ES144=CaractAmostra!$BH$12),Respostas_Formatadas!ES144,"Outros")</f>
        <v>Sozinho</v>
      </c>
      <c r="EU144" s="36" t="s">
        <v>134</v>
      </c>
      <c r="EV144" s="36" t="s">
        <v>285</v>
      </c>
      <c r="EW144" s="36" t="s">
        <v>285</v>
      </c>
      <c r="FD144" s="36" t="s">
        <v>656</v>
      </c>
      <c r="FE144" s="47">
        <v>2016</v>
      </c>
      <c r="FF144" s="97">
        <v>8.4427000000000003</v>
      </c>
      <c r="FG144" s="47">
        <v>2017</v>
      </c>
      <c r="FH144" s="47">
        <f t="shared" si="6"/>
        <v>1</v>
      </c>
      <c r="FI144" s="47" t="str">
        <f t="shared" si="4"/>
        <v>Aracaju</v>
      </c>
      <c r="FJ144" s="47" t="str">
        <f t="shared" si="5"/>
        <v>Bacharelado</v>
      </c>
    </row>
    <row r="145" spans="1:166" s="36" customFormat="1" ht="15.75" customHeight="1" x14ac:dyDescent="0.2">
      <c r="A145" s="38">
        <v>43417.849151724542</v>
      </c>
      <c r="C145" s="36" t="s">
        <v>119</v>
      </c>
      <c r="D145" s="47" t="s">
        <v>133</v>
      </c>
      <c r="E145" s="36" t="s">
        <v>135</v>
      </c>
      <c r="H145" s="36" t="s">
        <v>141</v>
      </c>
      <c r="I145" s="36" t="s">
        <v>142</v>
      </c>
      <c r="J145" s="36" t="s">
        <v>144</v>
      </c>
      <c r="M145" s="36" t="s">
        <v>146</v>
      </c>
      <c r="N145" s="36" t="s">
        <v>134</v>
      </c>
      <c r="O145" s="36" t="s">
        <v>133</v>
      </c>
      <c r="P145" s="36" t="s">
        <v>133</v>
      </c>
      <c r="Q145" s="36" t="s">
        <v>134</v>
      </c>
      <c r="R145" s="36" t="s">
        <v>151</v>
      </c>
      <c r="Y145" s="36" t="s">
        <v>166</v>
      </c>
      <c r="AC145" s="36" t="s">
        <v>185</v>
      </c>
      <c r="AD145" s="36" t="s">
        <v>657</v>
      </c>
      <c r="AE145" s="36">
        <v>5</v>
      </c>
      <c r="AF145" s="36" t="s">
        <v>189</v>
      </c>
      <c r="AG145" s="36" t="s">
        <v>189</v>
      </c>
      <c r="AH145" s="36" t="s">
        <v>134</v>
      </c>
      <c r="AI145" s="40">
        <v>2500</v>
      </c>
      <c r="AJ145" s="36">
        <v>3</v>
      </c>
      <c r="AK145" s="36">
        <v>2</v>
      </c>
      <c r="AL145" s="36" t="s">
        <v>134</v>
      </c>
      <c r="AM145" s="36" t="s">
        <v>169</v>
      </c>
      <c r="AN145" s="36">
        <v>2</v>
      </c>
      <c r="AO145" s="36" t="s">
        <v>134</v>
      </c>
      <c r="AQ145" s="40"/>
      <c r="BT145" s="36">
        <v>4</v>
      </c>
      <c r="BU145" s="36">
        <v>4</v>
      </c>
      <c r="BV145" s="36">
        <v>4</v>
      </c>
      <c r="BW145" s="36">
        <v>3</v>
      </c>
      <c r="BX145" s="36">
        <v>5</v>
      </c>
      <c r="BY145" s="36">
        <v>4</v>
      </c>
      <c r="BZ145" s="36">
        <v>4</v>
      </c>
      <c r="CA145" s="36">
        <v>4</v>
      </c>
      <c r="CB145" s="36">
        <v>3</v>
      </c>
      <c r="CC145" s="36">
        <v>4</v>
      </c>
      <c r="CD145" s="36">
        <v>4</v>
      </c>
      <c r="CE145" s="36">
        <v>4</v>
      </c>
      <c r="CF145" s="36">
        <v>1</v>
      </c>
      <c r="CG145" s="36">
        <v>4</v>
      </c>
      <c r="CH145" s="36" t="s">
        <v>222</v>
      </c>
      <c r="CI145" t="s">
        <v>225</v>
      </c>
      <c r="CJ145"/>
      <c r="CK145" s="36" t="s">
        <v>235</v>
      </c>
      <c r="CL145" t="s">
        <v>239</v>
      </c>
      <c r="CM145" t="s">
        <v>240</v>
      </c>
      <c r="CN145" s="36" t="s">
        <v>241</v>
      </c>
      <c r="CO145" s="36" t="s">
        <v>134</v>
      </c>
      <c r="CP145" s="36">
        <v>3</v>
      </c>
      <c r="CQ145" s="36">
        <v>3</v>
      </c>
      <c r="CR145" s="36" t="s">
        <v>249</v>
      </c>
      <c r="CS145" s="36">
        <v>2</v>
      </c>
      <c r="CT145" s="36">
        <v>2</v>
      </c>
      <c r="CU145" s="36">
        <v>3</v>
      </c>
      <c r="CV145" s="36">
        <v>2</v>
      </c>
      <c r="CW145" s="36">
        <v>2</v>
      </c>
      <c r="CX145" s="36">
        <v>4</v>
      </c>
      <c r="CY145" s="36">
        <v>4</v>
      </c>
      <c r="CZ145" s="36">
        <v>4</v>
      </c>
      <c r="DA145" s="36">
        <v>2</v>
      </c>
      <c r="DB145" s="36">
        <v>2</v>
      </c>
      <c r="DC145" s="36">
        <v>2</v>
      </c>
      <c r="DD145" s="36">
        <v>4</v>
      </c>
      <c r="DE145" s="36">
        <v>3</v>
      </c>
      <c r="DF145" s="36">
        <v>3</v>
      </c>
      <c r="DG145" s="36">
        <v>2</v>
      </c>
      <c r="DH145" s="36">
        <v>3</v>
      </c>
      <c r="DI145" s="36" t="s">
        <v>252</v>
      </c>
      <c r="DJ145" s="36" t="s">
        <v>133</v>
      </c>
      <c r="DK145" s="36" t="s">
        <v>255</v>
      </c>
      <c r="DL145"/>
      <c r="DM145"/>
      <c r="DN145"/>
      <c r="DO145"/>
      <c r="DP145"/>
      <c r="DQ145" s="36">
        <v>2</v>
      </c>
      <c r="DR145" s="36" t="s">
        <v>134</v>
      </c>
      <c r="DT145"/>
      <c r="DU145"/>
      <c r="DV145"/>
      <c r="DW145"/>
      <c r="DX145"/>
      <c r="DZ145" s="36" t="s">
        <v>134</v>
      </c>
      <c r="EB145" s="36" t="s">
        <v>262</v>
      </c>
      <c r="EC145" s="36" t="s">
        <v>264</v>
      </c>
      <c r="ED145" s="36">
        <v>26</v>
      </c>
      <c r="EE145" s="36" t="s">
        <v>292</v>
      </c>
      <c r="EF145" s="36" t="str">
        <f>Tabulacao!MC145</f>
        <v>Aracaju</v>
      </c>
      <c r="EG145" s="36" t="s">
        <v>292</v>
      </c>
      <c r="EH145" s="36" t="str">
        <f>Tabulacao!MG145</f>
        <v>Aracaju</v>
      </c>
      <c r="EI145" s="36" t="s">
        <v>292</v>
      </c>
      <c r="EJ145" s="36" t="str">
        <f>Tabulacao!MK145</f>
        <v>Aracaju</v>
      </c>
      <c r="EK145" s="36" t="s">
        <v>134</v>
      </c>
      <c r="EL145" s="36" t="s">
        <v>134</v>
      </c>
      <c r="EM145" s="36" t="s">
        <v>134</v>
      </c>
      <c r="EN145" s="36" t="s">
        <v>134</v>
      </c>
      <c r="EO145" s="36" t="s">
        <v>134</v>
      </c>
      <c r="EP145" s="36" t="s">
        <v>134</v>
      </c>
      <c r="EQ145" s="36" t="s">
        <v>275</v>
      </c>
      <c r="ER145" s="36" t="str">
        <f>IF(OR(EQ145=CaractAmostra!$BD$9,EQ145=CaractAmostra!$BD$10,EQ145=CaractAmostra!$BD$11,EQ145=CaractAmostra!$BD$12,EQ145=CaractAmostra!$BD$13),Respostas_Formatadas!EQ145,"Outros")</f>
        <v>Com os pais</v>
      </c>
      <c r="ES145" s="36" t="s">
        <v>275</v>
      </c>
      <c r="ET145" s="36" t="str">
        <f>IF(OR(ES145=CaractAmostra!$BH$9,ES145=CaractAmostra!$BH$10,ES145=CaractAmostra!$BH$11,ES145=CaractAmostra!$BH$12),Respostas_Formatadas!ES145,"Outros")</f>
        <v>Com os pais</v>
      </c>
      <c r="EU145" s="36" t="s">
        <v>134</v>
      </c>
      <c r="EV145" s="36" t="s">
        <v>288</v>
      </c>
      <c r="EW145" s="36" t="s">
        <v>288</v>
      </c>
      <c r="FE145" s="47">
        <v>2017</v>
      </c>
      <c r="FF145" s="97">
        <v>8.4100999999999999</v>
      </c>
      <c r="FG145" s="47">
        <v>2017</v>
      </c>
      <c r="FH145" s="47">
        <f t="shared" si="6"/>
        <v>0</v>
      </c>
      <c r="FI145" s="47" t="str">
        <f t="shared" si="4"/>
        <v>Aracaju</v>
      </c>
      <c r="FJ145" s="47" t="str">
        <f t="shared" si="5"/>
        <v>Bacharelado</v>
      </c>
    </row>
    <row r="146" spans="1:166" s="36" customFormat="1" ht="15.75" customHeight="1" x14ac:dyDescent="0.2">
      <c r="A146" s="38">
        <v>43417.851576064815</v>
      </c>
      <c r="C146" s="36" t="s">
        <v>123</v>
      </c>
      <c r="D146" s="47" t="s">
        <v>133</v>
      </c>
      <c r="E146" s="36" t="s">
        <v>138</v>
      </c>
      <c r="H146" s="36" t="s">
        <v>142</v>
      </c>
      <c r="I146" s="36" t="s">
        <v>144</v>
      </c>
      <c r="M146" s="36" t="s">
        <v>146</v>
      </c>
      <c r="N146" s="36" t="s">
        <v>134</v>
      </c>
      <c r="O146" s="36" t="s">
        <v>134</v>
      </c>
      <c r="P146" s="36" t="s">
        <v>133</v>
      </c>
      <c r="Q146" s="36" t="s">
        <v>134</v>
      </c>
      <c r="R146" s="36" t="s">
        <v>151</v>
      </c>
      <c r="Y146" s="36" t="s">
        <v>134</v>
      </c>
      <c r="AI146" s="40"/>
      <c r="AQ146" s="40"/>
      <c r="BT146" s="36">
        <v>4</v>
      </c>
      <c r="BU146" s="36">
        <v>3</v>
      </c>
      <c r="BV146" s="36">
        <v>4</v>
      </c>
      <c r="BW146" s="36">
        <v>2</v>
      </c>
      <c r="BX146" s="36">
        <v>4</v>
      </c>
      <c r="BY146" s="36">
        <v>5</v>
      </c>
      <c r="BZ146" s="36">
        <v>3</v>
      </c>
      <c r="CA146" s="36">
        <v>5</v>
      </c>
      <c r="CB146" s="36">
        <v>4</v>
      </c>
      <c r="CC146" s="36">
        <v>5</v>
      </c>
      <c r="CD146" s="36">
        <v>3</v>
      </c>
      <c r="CE146" s="36">
        <v>3</v>
      </c>
      <c r="CF146" s="36">
        <v>3</v>
      </c>
      <c r="CG146" s="36">
        <v>2</v>
      </c>
      <c r="CH146" s="36" t="s">
        <v>222</v>
      </c>
      <c r="CI146" t="s">
        <v>224</v>
      </c>
      <c r="CJ146" t="s">
        <v>229</v>
      </c>
      <c r="CK146" s="36" t="s">
        <v>233</v>
      </c>
      <c r="CL146"/>
      <c r="CM146"/>
      <c r="CN146" s="36" t="s">
        <v>242</v>
      </c>
      <c r="CO146" s="36" t="s">
        <v>134</v>
      </c>
      <c r="CP146" s="36">
        <v>2</v>
      </c>
      <c r="CQ146" s="36">
        <v>4</v>
      </c>
      <c r="CR146" s="36" t="s">
        <v>248</v>
      </c>
      <c r="CS146" s="36">
        <v>3</v>
      </c>
      <c r="CT146" s="36">
        <v>4</v>
      </c>
      <c r="CU146" s="36">
        <v>1</v>
      </c>
      <c r="CV146" s="36">
        <v>3</v>
      </c>
      <c r="CW146" s="36">
        <v>4</v>
      </c>
      <c r="CX146" s="36">
        <v>4</v>
      </c>
      <c r="CY146" s="36">
        <v>3</v>
      </c>
      <c r="CZ146" s="36">
        <v>4</v>
      </c>
      <c r="DA146" s="36">
        <v>3</v>
      </c>
      <c r="DB146" s="36">
        <v>4</v>
      </c>
      <c r="DC146" s="36">
        <v>3</v>
      </c>
      <c r="DD146" s="36">
        <v>3</v>
      </c>
      <c r="DE146" s="36">
        <v>4</v>
      </c>
      <c r="DF146" s="36">
        <v>4</v>
      </c>
      <c r="DG146" s="36">
        <v>5</v>
      </c>
      <c r="DH146" s="36">
        <v>3</v>
      </c>
      <c r="DI146" s="36" t="s">
        <v>133</v>
      </c>
      <c r="DJ146" s="36" t="s">
        <v>133</v>
      </c>
      <c r="DK146" s="36" t="s">
        <v>255</v>
      </c>
      <c r="DL146"/>
      <c r="DM146"/>
      <c r="DN146"/>
      <c r="DO146"/>
      <c r="DP146"/>
      <c r="DQ146" s="36">
        <v>3</v>
      </c>
      <c r="DR146" s="36" t="s">
        <v>133</v>
      </c>
      <c r="DS146" s="36" t="s">
        <v>258</v>
      </c>
      <c r="DT146" t="s">
        <v>259</v>
      </c>
      <c r="DU146"/>
      <c r="DV146"/>
      <c r="DW146" t="s">
        <v>260</v>
      </c>
      <c r="DX146"/>
      <c r="DY146" s="36">
        <v>4</v>
      </c>
      <c r="DZ146" s="36" t="s">
        <v>133</v>
      </c>
      <c r="EA146" s="36">
        <v>5</v>
      </c>
      <c r="EB146" s="36" t="s">
        <v>263</v>
      </c>
      <c r="EC146" s="36" t="s">
        <v>267</v>
      </c>
      <c r="ED146" s="36">
        <v>25</v>
      </c>
      <c r="EE146" s="36" t="s">
        <v>658</v>
      </c>
      <c r="EF146" s="36" t="str">
        <f>Tabulacao!MC146</f>
        <v>Paripiranga - BA</v>
      </c>
      <c r="EG146" s="36" t="s">
        <v>659</v>
      </c>
      <c r="EH146" s="36" t="str">
        <f>Tabulacao!MG146</f>
        <v>Simão Dias</v>
      </c>
      <c r="EI146" s="36" t="s">
        <v>322</v>
      </c>
      <c r="EJ146" s="36" t="str">
        <f>Tabulacao!MK146</f>
        <v>Itabaiana</v>
      </c>
      <c r="EK146" s="36" t="s">
        <v>134</v>
      </c>
      <c r="EL146" s="36" t="s">
        <v>134</v>
      </c>
      <c r="EM146" s="36" t="s">
        <v>134</v>
      </c>
      <c r="EN146" s="36" t="s">
        <v>134</v>
      </c>
      <c r="EO146" s="36" t="s">
        <v>134</v>
      </c>
      <c r="EP146" s="36" t="s">
        <v>134</v>
      </c>
      <c r="EQ146" s="36" t="s">
        <v>275</v>
      </c>
      <c r="ER146" s="36" t="str">
        <f>IF(OR(EQ146=CaractAmostra!$BD$9,EQ146=CaractAmostra!$BD$10,EQ146=CaractAmostra!$BD$11,EQ146=CaractAmostra!$BD$12,EQ146=CaractAmostra!$BD$13),Respostas_Formatadas!EQ146,"Outros")</f>
        <v>Com os pais</v>
      </c>
      <c r="ES146" s="36" t="s">
        <v>274</v>
      </c>
      <c r="ET146" s="36" t="str">
        <f>IF(OR(ES146=CaractAmostra!$BH$9,ES146=CaractAmostra!$BH$10,ES146=CaractAmostra!$BH$11,ES146=CaractAmostra!$BH$12),Respostas_Formatadas!ES146,"Outros")</f>
        <v>Com um(a) parceiro(a)</v>
      </c>
      <c r="EU146" s="36" t="s">
        <v>134</v>
      </c>
      <c r="EV146" s="36" t="s">
        <v>192</v>
      </c>
      <c r="EW146" s="36" t="s">
        <v>282</v>
      </c>
      <c r="FE146" s="47">
        <v>2017</v>
      </c>
      <c r="FF146" s="97">
        <v>7.4166999999999996</v>
      </c>
      <c r="FG146" s="47">
        <v>2017</v>
      </c>
      <c r="FH146" s="47">
        <f t="shared" si="6"/>
        <v>0</v>
      </c>
      <c r="FI146" s="47" t="str">
        <f t="shared" si="4"/>
        <v>Lagarto</v>
      </c>
      <c r="FJ146" s="47" t="str">
        <f t="shared" si="5"/>
        <v>Licenciatura</v>
      </c>
    </row>
    <row r="147" spans="1:166" s="36" customFormat="1" ht="15.75" customHeight="1" x14ac:dyDescent="0.2">
      <c r="A147" s="38">
        <v>43417.851759861107</v>
      </c>
      <c r="C147" s="36" t="s">
        <v>119</v>
      </c>
      <c r="D147" s="47" t="s">
        <v>134</v>
      </c>
      <c r="M147" s="36" t="s">
        <v>146</v>
      </c>
      <c r="N147" s="36" t="s">
        <v>134</v>
      </c>
      <c r="O147" s="36" t="s">
        <v>133</v>
      </c>
      <c r="P147" s="36" t="s">
        <v>134</v>
      </c>
      <c r="Q147" s="36" t="s">
        <v>134</v>
      </c>
      <c r="R147" s="36" t="s">
        <v>151</v>
      </c>
      <c r="Y147" s="36" t="s">
        <v>134</v>
      </c>
      <c r="AI147" s="40"/>
      <c r="AQ147" s="40"/>
      <c r="BT147" s="36">
        <v>3</v>
      </c>
      <c r="BU147" s="36">
        <v>2</v>
      </c>
      <c r="BV147" s="36">
        <v>4</v>
      </c>
      <c r="BW147" s="36">
        <v>4</v>
      </c>
      <c r="BX147" s="36">
        <v>4</v>
      </c>
      <c r="BY147" s="36">
        <v>4</v>
      </c>
      <c r="BZ147" s="36">
        <v>4</v>
      </c>
      <c r="CA147" s="36">
        <v>4</v>
      </c>
      <c r="CB147" s="36">
        <v>4</v>
      </c>
      <c r="CC147" s="36">
        <v>5</v>
      </c>
      <c r="CD147" s="36">
        <v>4</v>
      </c>
      <c r="CE147" s="36">
        <v>3</v>
      </c>
      <c r="CF147" s="36">
        <v>1</v>
      </c>
      <c r="CG147" s="36">
        <v>1</v>
      </c>
      <c r="CH147" s="36" t="s">
        <v>226</v>
      </c>
      <c r="CI147" t="s">
        <v>227</v>
      </c>
      <c r="CJ147" t="s">
        <v>230</v>
      </c>
      <c r="CK147" s="36" t="s">
        <v>660</v>
      </c>
      <c r="CL147"/>
      <c r="CM147"/>
      <c r="CN147" s="36" t="s">
        <v>242</v>
      </c>
      <c r="CO147" s="36" t="s">
        <v>134</v>
      </c>
      <c r="CP147" s="36">
        <v>1</v>
      </c>
      <c r="CQ147" s="36">
        <v>4</v>
      </c>
      <c r="CR147" s="36" t="s">
        <v>248</v>
      </c>
      <c r="CS147" s="36">
        <v>1</v>
      </c>
      <c r="CT147" s="36">
        <v>1</v>
      </c>
      <c r="CU147" s="36">
        <v>1</v>
      </c>
      <c r="CV147" s="36">
        <v>1</v>
      </c>
      <c r="CW147" s="36">
        <v>1</v>
      </c>
      <c r="CX147" s="36">
        <v>5</v>
      </c>
      <c r="CY147" s="36">
        <v>2</v>
      </c>
      <c r="CZ147" s="36">
        <v>5</v>
      </c>
      <c r="DA147" s="36">
        <v>2</v>
      </c>
      <c r="DB147" s="36">
        <v>1</v>
      </c>
      <c r="DC147" s="36">
        <v>1</v>
      </c>
      <c r="DD147" s="36">
        <v>1</v>
      </c>
      <c r="DE147" s="36">
        <v>2</v>
      </c>
      <c r="DF147" s="36">
        <v>2</v>
      </c>
      <c r="DG147" s="36">
        <v>1</v>
      </c>
      <c r="DH147" s="36">
        <v>1</v>
      </c>
      <c r="DI147" s="36" t="s">
        <v>252</v>
      </c>
      <c r="DJ147" s="36" t="s">
        <v>134</v>
      </c>
      <c r="DL147"/>
      <c r="DM147"/>
      <c r="DN147"/>
      <c r="DO147"/>
      <c r="DP147"/>
      <c r="DR147" s="36" t="s">
        <v>134</v>
      </c>
      <c r="DT147"/>
      <c r="DU147"/>
      <c r="DV147"/>
      <c r="DW147"/>
      <c r="DX147"/>
      <c r="DZ147" s="36" t="s">
        <v>134</v>
      </c>
      <c r="EB147" s="36" t="s">
        <v>262</v>
      </c>
      <c r="EC147" s="36" t="s">
        <v>267</v>
      </c>
      <c r="ED147" s="36">
        <v>28</v>
      </c>
      <c r="EE147" s="36" t="s">
        <v>292</v>
      </c>
      <c r="EF147" s="36" t="str">
        <f>Tabulacao!MC147</f>
        <v>Aracaju</v>
      </c>
      <c r="EG147" s="36" t="s">
        <v>292</v>
      </c>
      <c r="EH147" s="36" t="str">
        <f>Tabulacao!MG147</f>
        <v>Aracaju</v>
      </c>
      <c r="EI147" s="36" t="s">
        <v>292</v>
      </c>
      <c r="EJ147" s="36" t="str">
        <f>Tabulacao!MK147</f>
        <v>Aracaju</v>
      </c>
      <c r="EK147" s="36" t="s">
        <v>134</v>
      </c>
      <c r="EL147" s="36" t="s">
        <v>134</v>
      </c>
      <c r="EM147" s="36" t="s">
        <v>134</v>
      </c>
      <c r="EN147" s="36" t="s">
        <v>134</v>
      </c>
      <c r="EO147" s="36" t="s">
        <v>134</v>
      </c>
      <c r="EP147" s="36" t="s">
        <v>134</v>
      </c>
      <c r="EQ147" s="36" t="s">
        <v>275</v>
      </c>
      <c r="ER147" s="36" t="str">
        <f>IF(OR(EQ147=CaractAmostra!$BD$9,EQ147=CaractAmostra!$BD$10,EQ147=CaractAmostra!$BD$11,EQ147=CaractAmostra!$BD$12,EQ147=CaractAmostra!$BD$13),Respostas_Formatadas!EQ147,"Outros")</f>
        <v>Com os pais</v>
      </c>
      <c r="ES147" s="36" t="s">
        <v>275</v>
      </c>
      <c r="ET147" s="36" t="str">
        <f>IF(OR(ES147=CaractAmostra!$BH$9,ES147=CaractAmostra!$BH$10,ES147=CaractAmostra!$BH$11,ES147=CaractAmostra!$BH$12),Respostas_Formatadas!ES147,"Outros")</f>
        <v>Com os pais</v>
      </c>
      <c r="EU147" s="36" t="s">
        <v>134</v>
      </c>
      <c r="EV147" s="36" t="s">
        <v>192</v>
      </c>
      <c r="EW147" s="36" t="s">
        <v>192</v>
      </c>
      <c r="FD147" s="36" t="s">
        <v>661</v>
      </c>
      <c r="FE147" s="47">
        <v>2017</v>
      </c>
      <c r="FF147" s="97">
        <v>7.2537000000000003</v>
      </c>
      <c r="FG147" s="47">
        <v>2017</v>
      </c>
      <c r="FH147" s="47">
        <f t="shared" si="6"/>
        <v>0</v>
      </c>
      <c r="FI147" s="47" t="str">
        <f t="shared" si="4"/>
        <v>Aracaju</v>
      </c>
      <c r="FJ147" s="47" t="str">
        <f t="shared" si="5"/>
        <v>Bacharelado</v>
      </c>
    </row>
    <row r="148" spans="1:166" s="36" customFormat="1" ht="15.75" customHeight="1" x14ac:dyDescent="0.2">
      <c r="A148" s="38">
        <v>43417.874104560186</v>
      </c>
      <c r="C148" s="36" t="s">
        <v>128</v>
      </c>
      <c r="D148" s="47" t="s">
        <v>134</v>
      </c>
      <c r="M148" s="36" t="s">
        <v>146</v>
      </c>
      <c r="N148" s="36" t="s">
        <v>133</v>
      </c>
      <c r="O148" s="36" t="s">
        <v>133</v>
      </c>
      <c r="P148" s="36" t="s">
        <v>134</v>
      </c>
      <c r="Q148" s="36" t="s">
        <v>134</v>
      </c>
      <c r="R148" s="36" t="s">
        <v>151</v>
      </c>
      <c r="Y148" s="36" t="s">
        <v>166</v>
      </c>
      <c r="AC148" s="36" t="s">
        <v>178</v>
      </c>
      <c r="AD148" s="36" t="s">
        <v>662</v>
      </c>
      <c r="AE148" s="36">
        <v>5</v>
      </c>
      <c r="AF148" s="36" t="s">
        <v>187</v>
      </c>
      <c r="AG148" s="36" t="s">
        <v>187</v>
      </c>
      <c r="AH148" s="36" t="s">
        <v>134</v>
      </c>
      <c r="AI148" s="40">
        <v>1200</v>
      </c>
      <c r="AJ148" s="36">
        <v>5</v>
      </c>
      <c r="AK148" s="36">
        <v>3</v>
      </c>
      <c r="AL148" s="36" t="s">
        <v>133</v>
      </c>
      <c r="AP148" s="36" t="s">
        <v>663</v>
      </c>
      <c r="AQ148" s="40">
        <v>1500</v>
      </c>
      <c r="AR148" s="36">
        <v>3</v>
      </c>
      <c r="AS148" s="36">
        <v>5</v>
      </c>
      <c r="AT148" s="36">
        <v>3</v>
      </c>
      <c r="AU148" s="36">
        <v>5</v>
      </c>
      <c r="AV148" s="36">
        <v>5</v>
      </c>
      <c r="AW148" s="36" t="s">
        <v>197</v>
      </c>
      <c r="AX148" s="36" t="s">
        <v>206</v>
      </c>
      <c r="AY148" s="36" t="s">
        <v>210</v>
      </c>
      <c r="AZ148" s="36" t="s">
        <v>133</v>
      </c>
      <c r="BA148" s="36" t="s">
        <v>170</v>
      </c>
      <c r="BB148" s="36" t="s">
        <v>664</v>
      </c>
      <c r="BC148" s="36" t="s">
        <v>328</v>
      </c>
      <c r="BD148" s="36" t="s">
        <v>187</v>
      </c>
      <c r="BE148" s="36" t="s">
        <v>215</v>
      </c>
      <c r="BG148" s="36">
        <v>5</v>
      </c>
      <c r="BH148" s="36">
        <v>5</v>
      </c>
      <c r="BI148" s="36">
        <v>5</v>
      </c>
      <c r="BJ148" s="36">
        <v>5</v>
      </c>
      <c r="BK148" s="36">
        <v>5</v>
      </c>
      <c r="BL148" s="36">
        <v>5</v>
      </c>
      <c r="BM148" s="36">
        <v>5</v>
      </c>
      <c r="BN148" s="36">
        <v>5</v>
      </c>
      <c r="BO148" s="36">
        <v>5</v>
      </c>
      <c r="BP148" s="36">
        <v>5</v>
      </c>
      <c r="BQ148" s="36">
        <v>4</v>
      </c>
      <c r="BR148" s="36">
        <v>5</v>
      </c>
      <c r="BS148" s="36">
        <v>3</v>
      </c>
      <c r="BT148" s="36">
        <v>4</v>
      </c>
      <c r="BU148" s="36">
        <v>4</v>
      </c>
      <c r="BV148" s="36">
        <v>5</v>
      </c>
      <c r="BW148" s="36">
        <v>5</v>
      </c>
      <c r="BX148" s="36">
        <v>5</v>
      </c>
      <c r="BY148" s="36">
        <v>5</v>
      </c>
      <c r="BZ148" s="36">
        <v>5</v>
      </c>
      <c r="CA148" s="36">
        <v>4</v>
      </c>
      <c r="CB148" s="36">
        <v>5</v>
      </c>
      <c r="CC148" s="36">
        <v>4</v>
      </c>
      <c r="CD148" s="36">
        <v>4</v>
      </c>
      <c r="CE148" s="36">
        <v>4</v>
      </c>
      <c r="CF148" s="36">
        <v>3</v>
      </c>
      <c r="CG148" s="36">
        <v>5</v>
      </c>
      <c r="CH148" s="36" t="s">
        <v>222</v>
      </c>
      <c r="CI148" t="s">
        <v>229</v>
      </c>
      <c r="CJ148"/>
      <c r="CK148" s="36" t="s">
        <v>239</v>
      </c>
      <c r="CL148" t="s">
        <v>240</v>
      </c>
      <c r="CM148"/>
      <c r="CN148" s="36" t="s">
        <v>242</v>
      </c>
      <c r="CO148" s="36" t="s">
        <v>134</v>
      </c>
      <c r="CP148" s="36">
        <v>3</v>
      </c>
      <c r="CQ148" s="36">
        <v>4</v>
      </c>
      <c r="CR148" s="36" t="s">
        <v>249</v>
      </c>
      <c r="CS148" s="36">
        <v>4</v>
      </c>
      <c r="CT148" s="36">
        <v>5</v>
      </c>
      <c r="CU148" s="36">
        <v>5</v>
      </c>
      <c r="CV148" s="36">
        <v>1</v>
      </c>
      <c r="CW148" s="36">
        <v>4</v>
      </c>
      <c r="CX148" s="36">
        <v>5</v>
      </c>
      <c r="CY148" s="36">
        <v>5</v>
      </c>
      <c r="CZ148" s="36">
        <v>4</v>
      </c>
      <c r="DA148" s="36">
        <v>4</v>
      </c>
      <c r="DB148" s="36">
        <v>3</v>
      </c>
      <c r="DC148" s="36">
        <v>5</v>
      </c>
      <c r="DD148" s="36">
        <v>5</v>
      </c>
      <c r="DE148" s="36">
        <v>5</v>
      </c>
      <c r="DF148" s="36">
        <v>5</v>
      </c>
      <c r="DG148" s="36">
        <v>5</v>
      </c>
      <c r="DH148" s="36">
        <v>5</v>
      </c>
      <c r="DI148" s="36" t="s">
        <v>133</v>
      </c>
      <c r="DJ148" s="36" t="s">
        <v>134</v>
      </c>
      <c r="DL148"/>
      <c r="DM148"/>
      <c r="DN148"/>
      <c r="DO148"/>
      <c r="DP148"/>
      <c r="DR148" s="36" t="s">
        <v>133</v>
      </c>
      <c r="DS148" s="36" t="s">
        <v>260</v>
      </c>
      <c r="DT148" t="s">
        <v>261</v>
      </c>
      <c r="DU148"/>
      <c r="DV148"/>
      <c r="DW148"/>
      <c r="DX148"/>
      <c r="DY148" s="36">
        <v>4</v>
      </c>
      <c r="DZ148" s="36" t="s">
        <v>133</v>
      </c>
      <c r="EA148" s="36">
        <v>4</v>
      </c>
      <c r="EB148" s="36" t="s">
        <v>262</v>
      </c>
      <c r="EC148" s="36" t="s">
        <v>265</v>
      </c>
      <c r="ED148" s="36">
        <v>27</v>
      </c>
      <c r="EE148" s="36" t="s">
        <v>665</v>
      </c>
      <c r="EF148" s="36" t="str">
        <f>Tabulacao!MC148</f>
        <v>Nossa Senhora da Glória</v>
      </c>
      <c r="EG148" s="36" t="s">
        <v>665</v>
      </c>
      <c r="EH148" s="36" t="str">
        <f>Tabulacao!MG148</f>
        <v>Nossa Senhora da Glória</v>
      </c>
      <c r="EI148" s="36" t="s">
        <v>665</v>
      </c>
      <c r="EJ148" s="36" t="str">
        <f>Tabulacao!MK148</f>
        <v>Nossa senhora da Glória</v>
      </c>
      <c r="EK148" s="36" t="s">
        <v>134</v>
      </c>
      <c r="EL148" s="36" t="s">
        <v>134</v>
      </c>
      <c r="EM148" s="36" t="s">
        <v>134</v>
      </c>
      <c r="EN148" s="36" t="s">
        <v>134</v>
      </c>
      <c r="EO148" s="36" t="s">
        <v>134</v>
      </c>
      <c r="EP148" s="36" t="s">
        <v>134</v>
      </c>
      <c r="EQ148" s="36" t="s">
        <v>275</v>
      </c>
      <c r="ER148" s="36" t="str">
        <f>IF(OR(EQ148=CaractAmostra!$BD$9,EQ148=CaractAmostra!$BD$10,EQ148=CaractAmostra!$BD$11,EQ148=CaractAmostra!$BD$12,EQ148=CaractAmostra!$BD$13),Respostas_Formatadas!EQ148,"Outros")</f>
        <v>Com os pais</v>
      </c>
      <c r="ES148" s="36" t="s">
        <v>274</v>
      </c>
      <c r="ET148" s="36" t="str">
        <f>IF(OR(ES148=CaractAmostra!$BH$9,ES148=CaractAmostra!$BH$10,ES148=CaractAmostra!$BH$11,ES148=CaractAmostra!$BH$12),Respostas_Formatadas!ES148,"Outros")</f>
        <v>Com um(a) parceiro(a)</v>
      </c>
      <c r="EU148" s="36" t="s">
        <v>280</v>
      </c>
      <c r="EV148" s="36" t="s">
        <v>282</v>
      </c>
      <c r="EW148" s="36" t="s">
        <v>282</v>
      </c>
      <c r="FE148" s="47">
        <v>2015</v>
      </c>
      <c r="FF148" s="97">
        <v>7.0156000000000001</v>
      </c>
      <c r="FG148" s="47">
        <v>2015</v>
      </c>
      <c r="FH148" s="47">
        <f t="shared" si="6"/>
        <v>0</v>
      </c>
      <c r="FI148" s="47" t="str">
        <f t="shared" si="4"/>
        <v>Nossa Senhora da Glória</v>
      </c>
      <c r="FJ148" s="47" t="str">
        <f t="shared" si="5"/>
        <v>Tecnologia</v>
      </c>
    </row>
    <row r="149" spans="1:166" s="36" customFormat="1" ht="15.75" customHeight="1" x14ac:dyDescent="0.2">
      <c r="A149" s="38">
        <v>43417.893170254625</v>
      </c>
      <c r="C149" s="36" t="s">
        <v>128</v>
      </c>
      <c r="D149" s="47" t="s">
        <v>134</v>
      </c>
      <c r="M149" s="36" t="s">
        <v>146</v>
      </c>
      <c r="N149" s="36" t="s">
        <v>134</v>
      </c>
      <c r="O149" s="36" t="s">
        <v>134</v>
      </c>
      <c r="P149" s="36" t="s">
        <v>133</v>
      </c>
      <c r="Q149" s="36" t="s">
        <v>134</v>
      </c>
      <c r="R149" s="36" t="s">
        <v>151</v>
      </c>
      <c r="Y149" s="36" t="s">
        <v>165</v>
      </c>
      <c r="Z149" s="36" t="s">
        <v>167</v>
      </c>
      <c r="AA149" s="36" t="s">
        <v>172</v>
      </c>
      <c r="AB149" s="36" t="s">
        <v>182</v>
      </c>
      <c r="AD149" s="36" t="s">
        <v>666</v>
      </c>
      <c r="AE149" s="36">
        <v>5</v>
      </c>
      <c r="AF149" s="36" t="s">
        <v>187</v>
      </c>
      <c r="AG149" s="36" t="s">
        <v>187</v>
      </c>
      <c r="AH149" s="36" t="s">
        <v>134</v>
      </c>
      <c r="AI149" s="40">
        <v>950</v>
      </c>
      <c r="AJ149" s="36">
        <v>5</v>
      </c>
      <c r="AK149" s="36">
        <v>5</v>
      </c>
      <c r="AL149" s="36" t="s">
        <v>134</v>
      </c>
      <c r="AM149" s="36" t="s">
        <v>170</v>
      </c>
      <c r="AN149" s="36">
        <v>2</v>
      </c>
      <c r="AO149" s="36" t="s">
        <v>133</v>
      </c>
      <c r="AP149" s="36" t="s">
        <v>667</v>
      </c>
      <c r="AQ149" s="40">
        <v>1300</v>
      </c>
      <c r="AR149" s="36">
        <v>3</v>
      </c>
      <c r="AS149" s="36">
        <v>5</v>
      </c>
      <c r="AT149" s="36">
        <v>5</v>
      </c>
      <c r="AU149" s="36">
        <v>3</v>
      </c>
      <c r="AV149" s="36">
        <v>5</v>
      </c>
      <c r="AW149" s="36" t="s">
        <v>192</v>
      </c>
      <c r="AX149" s="36" t="s">
        <v>207</v>
      </c>
      <c r="AY149" s="36" t="s">
        <v>210</v>
      </c>
      <c r="AZ149" s="36" t="s">
        <v>133</v>
      </c>
      <c r="BA149" s="36" t="s">
        <v>213</v>
      </c>
      <c r="BB149" s="36" t="s">
        <v>668</v>
      </c>
      <c r="BC149" s="36" t="s">
        <v>328</v>
      </c>
      <c r="BD149" s="36" t="s">
        <v>187</v>
      </c>
      <c r="BE149" s="36" t="s">
        <v>217</v>
      </c>
      <c r="BG149" s="36">
        <v>5</v>
      </c>
      <c r="BH149" s="36">
        <v>4</v>
      </c>
      <c r="BI149" s="36">
        <v>5</v>
      </c>
      <c r="BJ149" s="36">
        <v>3</v>
      </c>
      <c r="BK149" s="36">
        <v>5</v>
      </c>
      <c r="BL149" s="36">
        <v>5</v>
      </c>
      <c r="BM149" s="36">
        <v>5</v>
      </c>
      <c r="BN149" s="36">
        <v>5</v>
      </c>
      <c r="BO149" s="36">
        <v>5</v>
      </c>
      <c r="BP149" s="36">
        <v>3</v>
      </c>
      <c r="BQ149" s="36">
        <v>3</v>
      </c>
      <c r="BR149" s="36">
        <v>3</v>
      </c>
      <c r="BS149" s="36">
        <v>2</v>
      </c>
      <c r="BT149" s="36">
        <v>4</v>
      </c>
      <c r="BU149" s="36">
        <v>3</v>
      </c>
      <c r="BV149" s="36">
        <v>5</v>
      </c>
      <c r="BW149" s="36">
        <v>5</v>
      </c>
      <c r="BX149" s="36">
        <v>5</v>
      </c>
      <c r="BY149" s="36">
        <v>5</v>
      </c>
      <c r="BZ149" s="36">
        <v>5</v>
      </c>
      <c r="CA149" s="36">
        <v>5</v>
      </c>
      <c r="CB149" s="36">
        <v>5</v>
      </c>
      <c r="CC149" s="36">
        <v>5</v>
      </c>
      <c r="CD149" s="36">
        <v>5</v>
      </c>
      <c r="CE149" s="36">
        <v>5</v>
      </c>
      <c r="CF149" s="36">
        <v>1</v>
      </c>
      <c r="CG149" s="36">
        <v>5</v>
      </c>
      <c r="CH149" s="36" t="s">
        <v>669</v>
      </c>
      <c r="CI149"/>
      <c r="CJ149"/>
      <c r="CK149" s="36" t="s">
        <v>234</v>
      </c>
      <c r="CL149"/>
      <c r="CM149"/>
      <c r="CN149" s="36" t="s">
        <v>242</v>
      </c>
      <c r="CO149" s="36" t="s">
        <v>134</v>
      </c>
      <c r="CP149" s="36">
        <v>1</v>
      </c>
      <c r="CQ149" s="36">
        <v>5</v>
      </c>
      <c r="CR149" s="36" t="s">
        <v>248</v>
      </c>
      <c r="CS149" s="36">
        <v>4</v>
      </c>
      <c r="CT149" s="36">
        <v>4</v>
      </c>
      <c r="CU149" s="36">
        <v>3</v>
      </c>
      <c r="CV149" s="36">
        <v>1</v>
      </c>
      <c r="CW149" s="36">
        <v>3</v>
      </c>
      <c r="CX149" s="36">
        <v>5</v>
      </c>
      <c r="CY149" s="36">
        <v>5</v>
      </c>
      <c r="CZ149" s="36">
        <v>4</v>
      </c>
      <c r="DA149" s="36">
        <v>5</v>
      </c>
      <c r="DB149" s="36">
        <v>3</v>
      </c>
      <c r="DC149" s="36">
        <v>5</v>
      </c>
      <c r="DD149" s="36">
        <v>5</v>
      </c>
      <c r="DE149" s="36">
        <v>5</v>
      </c>
      <c r="DF149" s="36">
        <v>5</v>
      </c>
      <c r="DG149" s="36">
        <v>5</v>
      </c>
      <c r="DH149" s="36">
        <v>3</v>
      </c>
      <c r="DI149" s="36" t="s">
        <v>250</v>
      </c>
      <c r="DJ149" s="36" t="s">
        <v>133</v>
      </c>
      <c r="DK149" s="36" t="s">
        <v>254</v>
      </c>
      <c r="DL149" t="s">
        <v>255</v>
      </c>
      <c r="DM149"/>
      <c r="DN149"/>
      <c r="DO149"/>
      <c r="DP149"/>
      <c r="DQ149" s="36">
        <v>3</v>
      </c>
      <c r="DR149" s="36" t="s">
        <v>133</v>
      </c>
      <c r="DS149" s="36" t="s">
        <v>258</v>
      </c>
      <c r="DT149" t="s">
        <v>259</v>
      </c>
      <c r="DU149"/>
      <c r="DV149"/>
      <c r="DW149" t="s">
        <v>260</v>
      </c>
      <c r="DX149" t="s">
        <v>261</v>
      </c>
      <c r="DY149" s="36">
        <v>5</v>
      </c>
      <c r="DZ149" s="36" t="s">
        <v>134</v>
      </c>
      <c r="EB149" s="36" t="s">
        <v>263</v>
      </c>
      <c r="EC149" s="36" t="s">
        <v>267</v>
      </c>
      <c r="ED149" s="36">
        <v>23</v>
      </c>
      <c r="EE149" s="36" t="s">
        <v>670</v>
      </c>
      <c r="EF149" s="36" t="str">
        <f>Tabulacao!MC149</f>
        <v>Carira</v>
      </c>
      <c r="EG149" s="36" t="s">
        <v>671</v>
      </c>
      <c r="EH149" s="36" t="str">
        <f>Tabulacao!MG149</f>
        <v>Nossa Senhora da Glória</v>
      </c>
      <c r="EI149" s="36" t="s">
        <v>328</v>
      </c>
      <c r="EJ149" s="36" t="str">
        <f>Tabulacao!MK149</f>
        <v>Nossa Senhora da Glória</v>
      </c>
      <c r="EK149" s="36" t="s">
        <v>134</v>
      </c>
      <c r="EL149" s="36" t="s">
        <v>134</v>
      </c>
      <c r="EM149" s="36" t="s">
        <v>134</v>
      </c>
      <c r="EN149" s="36" t="s">
        <v>134</v>
      </c>
      <c r="EO149" s="36" t="s">
        <v>134</v>
      </c>
      <c r="EP149" s="36" t="s">
        <v>134</v>
      </c>
      <c r="EQ149" s="36" t="s">
        <v>273</v>
      </c>
      <c r="ER149" s="36" t="str">
        <f>IF(OR(EQ149=CaractAmostra!$BD$9,EQ149=CaractAmostra!$BD$10,EQ149=CaractAmostra!$BD$11,EQ149=CaractAmostra!$BD$12,EQ149=CaractAmostra!$BD$13),Respostas_Formatadas!EQ149,"Outros")</f>
        <v>Dividia residência com outras pessoas</v>
      </c>
      <c r="ES149" s="36" t="s">
        <v>274</v>
      </c>
      <c r="ET149" s="36" t="str">
        <f>IF(OR(ES149=CaractAmostra!$BH$9,ES149=CaractAmostra!$BH$10,ES149=CaractAmostra!$BH$11,ES149=CaractAmostra!$BH$12),Respostas_Formatadas!ES149,"Outros")</f>
        <v>Com um(a) parceiro(a)</v>
      </c>
      <c r="EU149" s="36" t="s">
        <v>134</v>
      </c>
      <c r="EV149" s="36" t="s">
        <v>192</v>
      </c>
      <c r="EW149" s="36" t="s">
        <v>282</v>
      </c>
      <c r="FE149" s="47">
        <v>2015</v>
      </c>
      <c r="FF149" s="97">
        <v>7.7114000000000003</v>
      </c>
      <c r="FG149" s="47">
        <v>2015</v>
      </c>
      <c r="FH149" s="47">
        <f t="shared" si="6"/>
        <v>0</v>
      </c>
      <c r="FI149" s="47" t="str">
        <f t="shared" si="4"/>
        <v>Nossa Senhora da Glória</v>
      </c>
      <c r="FJ149" s="47" t="str">
        <f t="shared" si="5"/>
        <v>Tecnologia</v>
      </c>
    </row>
    <row r="150" spans="1:166" s="36" customFormat="1" ht="15.75" customHeight="1" x14ac:dyDescent="0.2">
      <c r="A150" s="38">
        <v>43417.955524016201</v>
      </c>
      <c r="C150" s="36" t="s">
        <v>130</v>
      </c>
      <c r="D150" s="47" t="s">
        <v>133</v>
      </c>
      <c r="E150" s="36" t="s">
        <v>138</v>
      </c>
      <c r="H150" s="36" t="s">
        <v>144</v>
      </c>
      <c r="M150" s="36" t="s">
        <v>146</v>
      </c>
      <c r="N150" s="36" t="s">
        <v>134</v>
      </c>
      <c r="O150" s="36" t="s">
        <v>133</v>
      </c>
      <c r="P150" s="36" t="s">
        <v>134</v>
      </c>
      <c r="Q150" s="36" t="s">
        <v>134</v>
      </c>
      <c r="R150" s="36" t="s">
        <v>151</v>
      </c>
      <c r="Y150" s="36" t="s">
        <v>165</v>
      </c>
      <c r="Z150" s="36" t="s">
        <v>168</v>
      </c>
      <c r="AA150" s="36" t="s">
        <v>173</v>
      </c>
      <c r="AB150" s="36" t="s">
        <v>180</v>
      </c>
      <c r="AD150" s="36" t="s">
        <v>672</v>
      </c>
      <c r="AE150" s="36">
        <v>5</v>
      </c>
      <c r="AF150" s="36" t="s">
        <v>189</v>
      </c>
      <c r="AG150" s="36" t="s">
        <v>189</v>
      </c>
      <c r="AH150" s="36" t="s">
        <v>134</v>
      </c>
      <c r="AI150" s="40">
        <v>1700</v>
      </c>
      <c r="AJ150" s="36">
        <v>5</v>
      </c>
      <c r="AK150" s="36">
        <v>5</v>
      </c>
      <c r="AL150" s="36" t="s">
        <v>134</v>
      </c>
      <c r="AM150" s="36" t="s">
        <v>168</v>
      </c>
      <c r="AN150" s="36">
        <v>3</v>
      </c>
      <c r="AO150" s="36" t="s">
        <v>191</v>
      </c>
      <c r="AP150" s="36" t="s">
        <v>530</v>
      </c>
      <c r="AQ150" s="40">
        <v>3000</v>
      </c>
      <c r="AR150" s="36">
        <v>5</v>
      </c>
      <c r="AS150" s="36">
        <v>5</v>
      </c>
      <c r="AT150" s="36">
        <v>5</v>
      </c>
      <c r="AU150" s="36">
        <v>5</v>
      </c>
      <c r="AV150" s="36">
        <v>5</v>
      </c>
      <c r="AW150" s="36" t="s">
        <v>192</v>
      </c>
      <c r="AX150" s="36" t="s">
        <v>206</v>
      </c>
      <c r="AY150" s="36" t="s">
        <v>210</v>
      </c>
      <c r="AZ150" s="36" t="s">
        <v>133</v>
      </c>
      <c r="BA150" s="36" t="s">
        <v>167</v>
      </c>
      <c r="BB150" s="36" t="s">
        <v>673</v>
      </c>
      <c r="BC150" s="36" t="s">
        <v>1280</v>
      </c>
      <c r="BD150" s="36" t="s">
        <v>189</v>
      </c>
      <c r="BF150" s="36" t="s">
        <v>221</v>
      </c>
      <c r="BG150" s="36">
        <v>5</v>
      </c>
      <c r="BH150" s="36">
        <v>3</v>
      </c>
      <c r="BI150" s="36">
        <v>4</v>
      </c>
      <c r="BJ150" s="36">
        <v>4</v>
      </c>
      <c r="BK150" s="36">
        <v>5</v>
      </c>
      <c r="BL150" s="36">
        <v>5</v>
      </c>
      <c r="BM150" s="36">
        <v>5</v>
      </c>
      <c r="BN150" s="36">
        <v>3</v>
      </c>
      <c r="BO150" s="36">
        <v>4</v>
      </c>
      <c r="BP150" s="36">
        <v>4</v>
      </c>
      <c r="BQ150" s="36">
        <v>5</v>
      </c>
      <c r="BR150" s="36">
        <v>4</v>
      </c>
      <c r="BS150" s="36">
        <v>3</v>
      </c>
      <c r="BT150" s="36">
        <v>5</v>
      </c>
      <c r="BU150" s="36">
        <v>4</v>
      </c>
      <c r="BV150" s="36">
        <v>4</v>
      </c>
      <c r="BW150" s="36">
        <v>5</v>
      </c>
      <c r="BX150" s="36">
        <v>5</v>
      </c>
      <c r="BY150" s="36">
        <v>5</v>
      </c>
      <c r="BZ150" s="36">
        <v>5</v>
      </c>
      <c r="CA150" s="36">
        <v>4</v>
      </c>
      <c r="CB150" s="36">
        <v>4</v>
      </c>
      <c r="CC150" s="36">
        <v>5</v>
      </c>
      <c r="CD150" s="36">
        <v>5</v>
      </c>
      <c r="CE150" s="36">
        <v>4</v>
      </c>
      <c r="CF150" s="36">
        <v>2</v>
      </c>
      <c r="CG150" s="36">
        <v>3</v>
      </c>
      <c r="CH150" s="36" t="s">
        <v>222</v>
      </c>
      <c r="CI150"/>
      <c r="CJ150"/>
      <c r="CK150" s="36" t="s">
        <v>233</v>
      </c>
      <c r="CL150" t="s">
        <v>240</v>
      </c>
      <c r="CM150"/>
      <c r="CN150" s="36" t="s">
        <v>241</v>
      </c>
      <c r="CO150" s="36" t="s">
        <v>134</v>
      </c>
      <c r="CP150" s="36">
        <v>1</v>
      </c>
      <c r="CQ150" s="36">
        <v>5</v>
      </c>
      <c r="CR150" s="36" t="s">
        <v>248</v>
      </c>
      <c r="CS150" s="36">
        <v>5</v>
      </c>
      <c r="CT150" s="36">
        <v>4</v>
      </c>
      <c r="CU150" s="36">
        <v>5</v>
      </c>
      <c r="CV150" s="36">
        <v>5</v>
      </c>
      <c r="CW150" s="36">
        <v>5</v>
      </c>
      <c r="CX150" s="36">
        <v>5</v>
      </c>
      <c r="CY150" s="36">
        <v>5</v>
      </c>
      <c r="CZ150" s="36">
        <v>5</v>
      </c>
      <c r="DA150" s="36">
        <v>4</v>
      </c>
      <c r="DB150" s="36">
        <v>5</v>
      </c>
      <c r="DC150" s="36">
        <v>2</v>
      </c>
      <c r="DD150" s="36">
        <v>5</v>
      </c>
      <c r="DE150" s="36">
        <v>5</v>
      </c>
      <c r="DF150" s="36">
        <v>5</v>
      </c>
      <c r="DG150" s="36">
        <v>5</v>
      </c>
      <c r="DH150" s="36">
        <v>4</v>
      </c>
      <c r="DI150" s="36" t="s">
        <v>133</v>
      </c>
      <c r="DJ150" s="36" t="s">
        <v>133</v>
      </c>
      <c r="DK150" s="36" t="s">
        <v>254</v>
      </c>
      <c r="DL150" t="s">
        <v>255</v>
      </c>
      <c r="DM150"/>
      <c r="DN150"/>
      <c r="DO150" t="s">
        <v>256</v>
      </c>
      <c r="DP150" t="s">
        <v>257</v>
      </c>
      <c r="DQ150" s="36">
        <v>5</v>
      </c>
      <c r="DR150" s="36" t="s">
        <v>133</v>
      </c>
      <c r="DS150" s="36" t="s">
        <v>258</v>
      </c>
      <c r="DT150" t="s">
        <v>259</v>
      </c>
      <c r="DU150"/>
      <c r="DV150"/>
      <c r="DW150" t="s">
        <v>260</v>
      </c>
      <c r="DX150" t="s">
        <v>261</v>
      </c>
      <c r="DY150" s="36">
        <v>5</v>
      </c>
      <c r="DZ150" s="36" t="s">
        <v>133</v>
      </c>
      <c r="EA150" s="36">
        <v>5</v>
      </c>
      <c r="EB150" s="36" t="s">
        <v>263</v>
      </c>
      <c r="EC150" s="36" t="s">
        <v>265</v>
      </c>
      <c r="ED150" s="36">
        <v>31</v>
      </c>
      <c r="EE150" s="36" t="s">
        <v>292</v>
      </c>
      <c r="EF150" s="36" t="str">
        <f>Tabulacao!MC150</f>
        <v>Aracaju</v>
      </c>
      <c r="EG150" s="36" t="s">
        <v>292</v>
      </c>
      <c r="EH150" s="36" t="str">
        <f>Tabulacao!MG150</f>
        <v>Aracaju</v>
      </c>
      <c r="EI150" s="36" t="s">
        <v>292</v>
      </c>
      <c r="EJ150" s="36" t="str">
        <f>Tabulacao!MK150</f>
        <v>Aracaju</v>
      </c>
      <c r="EK150" s="36" t="s">
        <v>134</v>
      </c>
      <c r="EL150" s="36" t="s">
        <v>134</v>
      </c>
      <c r="EM150" s="36" t="s">
        <v>134</v>
      </c>
      <c r="EN150" s="36" t="s">
        <v>134</v>
      </c>
      <c r="EO150" s="36" t="s">
        <v>134</v>
      </c>
      <c r="EP150" s="36" t="s">
        <v>134</v>
      </c>
      <c r="EQ150" s="36" t="s">
        <v>275</v>
      </c>
      <c r="ER150" s="36" t="str">
        <f>IF(OR(EQ150=CaractAmostra!$BD$9,EQ150=CaractAmostra!$BD$10,EQ150=CaractAmostra!$BD$11,EQ150=CaractAmostra!$BD$12,EQ150=CaractAmostra!$BD$13),Respostas_Formatadas!EQ150,"Outros")</f>
        <v>Com os pais</v>
      </c>
      <c r="ES150" s="36" t="s">
        <v>275</v>
      </c>
      <c r="ET150" s="36" t="str">
        <f>IF(OR(ES150=CaractAmostra!$BH$9,ES150=CaractAmostra!$BH$10,ES150=CaractAmostra!$BH$11,ES150=CaractAmostra!$BH$12),Respostas_Formatadas!ES150,"Outros")</f>
        <v>Com os pais</v>
      </c>
      <c r="EU150" s="36" t="s">
        <v>134</v>
      </c>
      <c r="EV150" s="36" t="s">
        <v>285</v>
      </c>
      <c r="EW150" s="36" t="s">
        <v>287</v>
      </c>
      <c r="FE150" s="47">
        <v>2014</v>
      </c>
      <c r="FF150" s="97">
        <v>7.8490000000000002</v>
      </c>
      <c r="FG150" s="47">
        <v>2015</v>
      </c>
      <c r="FH150" s="47">
        <f t="shared" si="6"/>
        <v>1</v>
      </c>
      <c r="FI150" s="47" t="str">
        <f t="shared" si="4"/>
        <v>São Cristóvão</v>
      </c>
      <c r="FJ150" s="47" t="str">
        <f t="shared" si="5"/>
        <v>Tecnologia</v>
      </c>
    </row>
    <row r="151" spans="1:166" s="36" customFormat="1" ht="15.75" customHeight="1" x14ac:dyDescent="0.2">
      <c r="A151" s="38">
        <v>43418.032781319445</v>
      </c>
      <c r="C151" s="36" t="s">
        <v>130</v>
      </c>
      <c r="D151" s="47" t="s">
        <v>133</v>
      </c>
      <c r="E151" s="36" t="s">
        <v>138</v>
      </c>
      <c r="H151" s="36" t="s">
        <v>144</v>
      </c>
      <c r="M151" s="36" t="s">
        <v>147</v>
      </c>
      <c r="N151" s="36" t="s">
        <v>133</v>
      </c>
      <c r="O151" s="36" t="s">
        <v>134</v>
      </c>
      <c r="P151" s="36" t="s">
        <v>133</v>
      </c>
      <c r="Q151" s="36" t="s">
        <v>134</v>
      </c>
      <c r="R151" s="36" t="s">
        <v>151</v>
      </c>
      <c r="Y151" s="36" t="s">
        <v>134</v>
      </c>
      <c r="AI151" s="40"/>
      <c r="AQ151" s="40"/>
      <c r="BT151" s="36">
        <v>4</v>
      </c>
      <c r="BU151" s="36">
        <v>5</v>
      </c>
      <c r="BV151" s="36">
        <v>4</v>
      </c>
      <c r="BW151" s="36">
        <v>4</v>
      </c>
      <c r="BX151" s="36">
        <v>4</v>
      </c>
      <c r="BY151" s="36">
        <v>4</v>
      </c>
      <c r="BZ151" s="36">
        <v>4</v>
      </c>
      <c r="CA151" s="36">
        <v>5</v>
      </c>
      <c r="CB151" s="36">
        <v>4</v>
      </c>
      <c r="CC151" s="36">
        <v>4</v>
      </c>
      <c r="CD151" s="36">
        <v>4</v>
      </c>
      <c r="CE151" s="36">
        <v>3</v>
      </c>
      <c r="CF151" s="36">
        <v>3</v>
      </c>
      <c r="CG151" s="36">
        <v>3</v>
      </c>
      <c r="CH151" s="36" t="s">
        <v>225</v>
      </c>
      <c r="CI151" t="s">
        <v>1013</v>
      </c>
      <c r="CJ151"/>
      <c r="CK151" s="36" t="s">
        <v>232</v>
      </c>
      <c r="CL151" t="s">
        <v>1024</v>
      </c>
      <c r="CM151"/>
      <c r="CN151" s="36" t="s">
        <v>241</v>
      </c>
      <c r="CO151" s="36" t="s">
        <v>133</v>
      </c>
      <c r="CP151" s="36">
        <v>1</v>
      </c>
      <c r="CQ151" s="36">
        <v>5</v>
      </c>
      <c r="CR151" s="36" t="s">
        <v>248</v>
      </c>
      <c r="CS151" s="36">
        <v>5</v>
      </c>
      <c r="CT151" s="36">
        <v>2</v>
      </c>
      <c r="CU151" s="36">
        <v>5</v>
      </c>
      <c r="CV151" s="36">
        <v>2</v>
      </c>
      <c r="CW151" s="36">
        <v>5</v>
      </c>
      <c r="CX151" s="36">
        <v>5</v>
      </c>
      <c r="CY151" s="36">
        <v>5</v>
      </c>
      <c r="CZ151" s="36">
        <v>5</v>
      </c>
      <c r="DA151" s="36">
        <v>4</v>
      </c>
      <c r="DB151" s="36">
        <v>5</v>
      </c>
      <c r="DC151" s="36">
        <v>5</v>
      </c>
      <c r="DD151" s="36">
        <v>4</v>
      </c>
      <c r="DE151" s="36">
        <v>4</v>
      </c>
      <c r="DF151" s="36">
        <v>5</v>
      </c>
      <c r="DG151" s="36">
        <v>5</v>
      </c>
      <c r="DH151" s="36">
        <v>4</v>
      </c>
      <c r="DI151" s="36" t="s">
        <v>133</v>
      </c>
      <c r="DJ151" s="36" t="s">
        <v>133</v>
      </c>
      <c r="DK151" s="36" t="s">
        <v>255</v>
      </c>
      <c r="DL151"/>
      <c r="DM151"/>
      <c r="DN151" t="s">
        <v>256</v>
      </c>
      <c r="DO151" t="s">
        <v>257</v>
      </c>
      <c r="DP151"/>
      <c r="DQ151" s="36">
        <v>5</v>
      </c>
      <c r="DR151" s="36" t="s">
        <v>133</v>
      </c>
      <c r="DS151" s="36" t="s">
        <v>258</v>
      </c>
      <c r="DT151" t="s">
        <v>259</v>
      </c>
      <c r="DU151"/>
      <c r="DV151"/>
      <c r="DW151" t="s">
        <v>260</v>
      </c>
      <c r="DX151" t="s">
        <v>261</v>
      </c>
      <c r="DY151" s="36">
        <v>5</v>
      </c>
      <c r="DZ151" s="36" t="s">
        <v>133</v>
      </c>
      <c r="EA151" s="36">
        <v>5</v>
      </c>
      <c r="EB151" s="36" t="s">
        <v>263</v>
      </c>
      <c r="EC151" s="36" t="s">
        <v>267</v>
      </c>
      <c r="ED151" s="36">
        <v>28</v>
      </c>
      <c r="EE151" s="36" t="s">
        <v>674</v>
      </c>
      <c r="EF151" s="36" t="str">
        <f>Tabulacao!MC151</f>
        <v>Rio Real - BA</v>
      </c>
      <c r="EG151" s="36" t="s">
        <v>292</v>
      </c>
      <c r="EH151" s="36" t="str">
        <f>Tabulacao!MG151</f>
        <v>Aracaju</v>
      </c>
      <c r="EI151" s="36" t="s">
        <v>292</v>
      </c>
      <c r="EJ151" s="36" t="str">
        <f>Tabulacao!MK151</f>
        <v>Aracaju</v>
      </c>
      <c r="EK151" s="36" t="s">
        <v>134</v>
      </c>
      <c r="EL151" s="36" t="s">
        <v>134</v>
      </c>
      <c r="EM151" s="36" t="s">
        <v>134</v>
      </c>
      <c r="EN151" s="36" t="s">
        <v>134</v>
      </c>
      <c r="EO151" s="36" t="s">
        <v>134</v>
      </c>
      <c r="EP151" s="36" t="s">
        <v>134</v>
      </c>
      <c r="EQ151" s="36" t="s">
        <v>273</v>
      </c>
      <c r="ER151" s="36" t="str">
        <f>IF(OR(EQ151=CaractAmostra!$BD$9,EQ151=CaractAmostra!$BD$10,EQ151=CaractAmostra!$BD$11,EQ151=CaractAmostra!$BD$12,EQ151=CaractAmostra!$BD$13),Respostas_Formatadas!EQ151,"Outros")</f>
        <v>Dividia residência com outras pessoas</v>
      </c>
      <c r="ES151" s="36" t="s">
        <v>278</v>
      </c>
      <c r="ET151" s="36" t="str">
        <f>IF(OR(ES151=CaractAmostra!$BH$9,ES151=CaractAmostra!$BH$10,ES151=CaractAmostra!$BH$11,ES151=CaractAmostra!$BH$12),Respostas_Formatadas!ES151,"Outros")</f>
        <v>Divido residência com outras pessoas</v>
      </c>
      <c r="EU151" s="36" t="s">
        <v>134</v>
      </c>
      <c r="EV151" s="36" t="s">
        <v>282</v>
      </c>
      <c r="EW151" s="36" t="s">
        <v>192</v>
      </c>
      <c r="FD151" s="36" t="s">
        <v>675</v>
      </c>
      <c r="FE151" s="47">
        <v>2016</v>
      </c>
      <c r="FF151" s="97">
        <v>6.8827999999999996</v>
      </c>
      <c r="FG151" s="47">
        <v>2016</v>
      </c>
      <c r="FH151" s="47">
        <f t="shared" si="6"/>
        <v>0</v>
      </c>
      <c r="FI151" s="47" t="str">
        <f t="shared" si="4"/>
        <v>São Cristóvão</v>
      </c>
      <c r="FJ151" s="47" t="str">
        <f t="shared" si="5"/>
        <v>Tecnologia</v>
      </c>
    </row>
    <row r="152" spans="1:166" s="36" customFormat="1" ht="15.75" customHeight="1" x14ac:dyDescent="0.2">
      <c r="A152" s="38">
        <v>43418.086415150465</v>
      </c>
      <c r="C152" s="36" t="s">
        <v>130</v>
      </c>
      <c r="D152" s="47" t="s">
        <v>133</v>
      </c>
      <c r="E152" s="36" t="s">
        <v>135</v>
      </c>
      <c r="H152" s="36" t="s">
        <v>142</v>
      </c>
      <c r="I152" s="36" t="s">
        <v>143</v>
      </c>
      <c r="J152" s="36" t="s">
        <v>144</v>
      </c>
      <c r="M152" s="36" t="s">
        <v>146</v>
      </c>
      <c r="N152" s="36" t="s">
        <v>133</v>
      </c>
      <c r="O152" s="36" t="s">
        <v>133</v>
      </c>
      <c r="P152" s="36" t="s">
        <v>133</v>
      </c>
      <c r="Q152" s="36" t="s">
        <v>134</v>
      </c>
      <c r="R152" s="36" t="s">
        <v>153</v>
      </c>
      <c r="S152" s="36" t="s">
        <v>939</v>
      </c>
      <c r="T152" s="36" t="s">
        <v>155</v>
      </c>
      <c r="U152" s="36" t="s">
        <v>159</v>
      </c>
      <c r="V152" s="36">
        <v>4</v>
      </c>
      <c r="W152" s="36">
        <v>4</v>
      </c>
      <c r="X152" s="36">
        <v>4</v>
      </c>
      <c r="Y152" s="36" t="s">
        <v>165</v>
      </c>
      <c r="Z152" s="36" t="s">
        <v>167</v>
      </c>
      <c r="AA152" s="36" t="s">
        <v>174</v>
      </c>
      <c r="AB152" s="36" t="s">
        <v>181</v>
      </c>
      <c r="AD152" s="36" t="s">
        <v>676</v>
      </c>
      <c r="AE152" s="36">
        <v>5</v>
      </c>
      <c r="AF152" s="36" t="s">
        <v>677</v>
      </c>
      <c r="AG152" s="36" t="s">
        <v>189</v>
      </c>
      <c r="AH152" s="36" t="s">
        <v>134</v>
      </c>
      <c r="AI152" s="40">
        <v>2193</v>
      </c>
      <c r="AJ152" s="36">
        <v>4</v>
      </c>
      <c r="AK152" s="36">
        <v>4</v>
      </c>
      <c r="AL152" s="36" t="s">
        <v>133</v>
      </c>
      <c r="AP152" s="36" t="s">
        <v>676</v>
      </c>
      <c r="AQ152" s="40">
        <v>2193</v>
      </c>
      <c r="AR152" s="36">
        <v>4</v>
      </c>
      <c r="AS152" s="36">
        <v>4</v>
      </c>
      <c r="AT152" s="36">
        <v>4</v>
      </c>
      <c r="AU152" s="36">
        <v>4</v>
      </c>
      <c r="AV152" s="36">
        <v>3</v>
      </c>
      <c r="AW152" s="36" t="s">
        <v>202</v>
      </c>
      <c r="AX152" s="36" t="s">
        <v>207</v>
      </c>
      <c r="AY152" s="36" t="s">
        <v>209</v>
      </c>
      <c r="AZ152" s="36" t="s">
        <v>134</v>
      </c>
      <c r="BA152" s="36" t="s">
        <v>167</v>
      </c>
      <c r="BB152" s="36" t="s">
        <v>678</v>
      </c>
      <c r="BC152" s="36" t="s">
        <v>659</v>
      </c>
      <c r="BD152" s="36" t="s">
        <v>190</v>
      </c>
      <c r="BG152" s="36">
        <v>3</v>
      </c>
      <c r="BH152" s="36">
        <v>3</v>
      </c>
      <c r="BI152" s="36">
        <v>2</v>
      </c>
      <c r="BJ152" s="36">
        <v>3</v>
      </c>
      <c r="BK152" s="36">
        <v>4</v>
      </c>
      <c r="BL152" s="36">
        <v>2</v>
      </c>
      <c r="BM152" s="36">
        <v>5</v>
      </c>
      <c r="BN152" s="36">
        <v>5</v>
      </c>
      <c r="BO152" s="36">
        <v>3</v>
      </c>
      <c r="BP152" s="36">
        <v>5</v>
      </c>
      <c r="BQ152" s="36">
        <v>3</v>
      </c>
      <c r="BR152" s="36">
        <v>4</v>
      </c>
      <c r="BS152" s="36">
        <v>2</v>
      </c>
      <c r="BT152" s="36">
        <v>4</v>
      </c>
      <c r="BU152" s="36">
        <v>3</v>
      </c>
      <c r="BV152" s="36">
        <v>1</v>
      </c>
      <c r="BW152" s="36">
        <v>3</v>
      </c>
      <c r="BX152" s="36">
        <v>4</v>
      </c>
      <c r="BY152" s="36">
        <v>3</v>
      </c>
      <c r="BZ152" s="36">
        <v>3</v>
      </c>
      <c r="CA152" s="36">
        <v>5</v>
      </c>
      <c r="CB152" s="36">
        <v>3</v>
      </c>
      <c r="CC152" s="36">
        <v>4</v>
      </c>
      <c r="CD152" s="36">
        <v>2</v>
      </c>
      <c r="CE152" s="36">
        <v>3</v>
      </c>
      <c r="CF152" s="36">
        <v>1</v>
      </c>
      <c r="CG152" s="36">
        <v>3</v>
      </c>
      <c r="CH152" s="36" t="s">
        <v>222</v>
      </c>
      <c r="CI152"/>
      <c r="CJ152"/>
      <c r="CK152" s="36" t="s">
        <v>239</v>
      </c>
      <c r="CL152"/>
      <c r="CM152"/>
      <c r="CN152" s="36" t="s">
        <v>241</v>
      </c>
      <c r="CO152" s="36" t="s">
        <v>134</v>
      </c>
      <c r="CP152" s="36">
        <v>3</v>
      </c>
      <c r="CQ152" s="36">
        <v>1</v>
      </c>
      <c r="CR152" s="36" t="s">
        <v>249</v>
      </c>
      <c r="CS152" s="36">
        <v>1</v>
      </c>
      <c r="CT152" s="36">
        <v>2</v>
      </c>
      <c r="CU152" s="36">
        <v>2</v>
      </c>
      <c r="CV152" s="36">
        <v>1</v>
      </c>
      <c r="CW152" s="36">
        <v>3</v>
      </c>
      <c r="CX152" s="36">
        <v>4</v>
      </c>
      <c r="CY152" s="36">
        <v>3</v>
      </c>
      <c r="CZ152" s="36">
        <v>4</v>
      </c>
      <c r="DA152" s="36">
        <v>1</v>
      </c>
      <c r="DB152" s="36">
        <v>4</v>
      </c>
      <c r="DC152" s="36">
        <v>4</v>
      </c>
      <c r="DD152" s="36">
        <v>4</v>
      </c>
      <c r="DE152" s="36">
        <v>4</v>
      </c>
      <c r="DF152" s="36">
        <v>4</v>
      </c>
      <c r="DG152" s="36">
        <v>3</v>
      </c>
      <c r="DH152" s="36">
        <v>3</v>
      </c>
      <c r="DI152" s="36" t="s">
        <v>250</v>
      </c>
      <c r="DJ152" s="36" t="s">
        <v>133</v>
      </c>
      <c r="DK152" s="36" t="s">
        <v>255</v>
      </c>
      <c r="DL152"/>
      <c r="DM152"/>
      <c r="DN152" t="s">
        <v>256</v>
      </c>
      <c r="DO152" t="s">
        <v>257</v>
      </c>
      <c r="DP152"/>
      <c r="DQ152" s="36">
        <v>5</v>
      </c>
      <c r="DR152" s="36" t="s">
        <v>133</v>
      </c>
      <c r="DS152" s="36" t="s">
        <v>260</v>
      </c>
      <c r="DT152"/>
      <c r="DU152"/>
      <c r="DV152"/>
      <c r="DW152"/>
      <c r="DX152"/>
      <c r="DY152" s="36">
        <v>5</v>
      </c>
      <c r="DZ152" s="36" t="s">
        <v>133</v>
      </c>
      <c r="EA152" s="36">
        <v>4</v>
      </c>
      <c r="EB152" s="36" t="s">
        <v>262</v>
      </c>
      <c r="EC152" s="36" t="s">
        <v>267</v>
      </c>
      <c r="ED152" s="36">
        <v>30</v>
      </c>
      <c r="EE152" s="36" t="s">
        <v>659</v>
      </c>
      <c r="EF152" s="36" t="str">
        <f>Tabulacao!MC152</f>
        <v>Simão Dias</v>
      </c>
      <c r="EG152" s="36" t="s">
        <v>679</v>
      </c>
      <c r="EH152" s="36" t="str">
        <f>Tabulacao!MG152</f>
        <v>Simão Dias</v>
      </c>
      <c r="EI152" s="36" t="s">
        <v>679</v>
      </c>
      <c r="EJ152" s="36" t="str">
        <f>Tabulacao!MK152</f>
        <v>Simão Dias</v>
      </c>
      <c r="EK152" s="36" t="s">
        <v>134</v>
      </c>
      <c r="EL152" s="36" t="s">
        <v>134</v>
      </c>
      <c r="EM152" s="36" t="s">
        <v>134</v>
      </c>
      <c r="EN152" s="36" t="s">
        <v>134</v>
      </c>
      <c r="EO152" s="36" t="s">
        <v>134</v>
      </c>
      <c r="EP152" s="36" t="s">
        <v>134</v>
      </c>
      <c r="EQ152" s="36" t="s">
        <v>273</v>
      </c>
      <c r="ER152" s="36" t="str">
        <f>IF(OR(EQ152=CaractAmostra!$BD$9,EQ152=CaractAmostra!$BD$10,EQ152=CaractAmostra!$BD$11,EQ152=CaractAmostra!$BD$12,EQ152=CaractAmostra!$BD$13),Respostas_Formatadas!EQ152,"Outros")</f>
        <v>Dividia residência com outras pessoas</v>
      </c>
      <c r="ES152" s="36" t="s">
        <v>275</v>
      </c>
      <c r="ET152" s="36" t="str">
        <f>IF(OR(ES152=CaractAmostra!$BH$9,ES152=CaractAmostra!$BH$10,ES152=CaractAmostra!$BH$11,ES152=CaractAmostra!$BH$12),Respostas_Formatadas!ES152,"Outros")</f>
        <v>Com os pais</v>
      </c>
      <c r="EU152" s="36" t="s">
        <v>134</v>
      </c>
      <c r="EV152" s="36" t="s">
        <v>192</v>
      </c>
      <c r="EW152" s="36" t="s">
        <v>192</v>
      </c>
      <c r="FE152" s="47">
        <v>2018</v>
      </c>
      <c r="FF152" s="97">
        <v>6.2074999999999996</v>
      </c>
      <c r="FG152" s="47">
        <v>2018</v>
      </c>
      <c r="FH152" s="47">
        <f t="shared" si="6"/>
        <v>0</v>
      </c>
      <c r="FI152" s="47" t="str">
        <f t="shared" si="4"/>
        <v>São Cristóvão</v>
      </c>
      <c r="FJ152" s="47" t="str">
        <f t="shared" si="5"/>
        <v>Tecnologia</v>
      </c>
    </row>
    <row r="153" spans="1:166" s="36" customFormat="1" ht="15.75" customHeight="1" x14ac:dyDescent="0.2">
      <c r="A153" s="38">
        <v>43418.451854548606</v>
      </c>
      <c r="C153" s="36" t="s">
        <v>120</v>
      </c>
      <c r="D153" s="47" t="s">
        <v>133</v>
      </c>
      <c r="E153" s="36" t="s">
        <v>135</v>
      </c>
      <c r="H153" s="36" t="s">
        <v>141</v>
      </c>
      <c r="I153" s="36" t="s">
        <v>142</v>
      </c>
      <c r="J153" s="36" t="s">
        <v>143</v>
      </c>
      <c r="K153" s="36" t="s">
        <v>144</v>
      </c>
      <c r="M153" s="36" t="s">
        <v>147</v>
      </c>
      <c r="N153" s="36" t="s">
        <v>133</v>
      </c>
      <c r="O153" s="36" t="s">
        <v>133</v>
      </c>
      <c r="P153" s="36" t="s">
        <v>134</v>
      </c>
      <c r="Q153" s="36" t="s">
        <v>134</v>
      </c>
      <c r="R153" s="36" t="s">
        <v>151</v>
      </c>
      <c r="Y153" s="36" t="s">
        <v>166</v>
      </c>
      <c r="AC153" s="36" t="s">
        <v>177</v>
      </c>
      <c r="AD153" s="36" t="s">
        <v>680</v>
      </c>
      <c r="AE153" s="36">
        <v>5</v>
      </c>
      <c r="AF153" s="36" t="s">
        <v>499</v>
      </c>
      <c r="AG153" s="36" t="s">
        <v>189</v>
      </c>
      <c r="AH153" s="36" t="s">
        <v>134</v>
      </c>
      <c r="AI153" s="40">
        <v>2500</v>
      </c>
      <c r="AJ153" s="36">
        <v>5</v>
      </c>
      <c r="AK153" s="36">
        <v>5</v>
      </c>
      <c r="AL153" s="36" t="s">
        <v>133</v>
      </c>
      <c r="AP153" s="36" t="s">
        <v>680</v>
      </c>
      <c r="AQ153" s="40"/>
      <c r="AR153" s="36">
        <v>3</v>
      </c>
      <c r="AS153" s="36">
        <v>5</v>
      </c>
      <c r="AT153" s="36">
        <v>5</v>
      </c>
      <c r="AU153" s="36">
        <v>3</v>
      </c>
      <c r="AV153" s="36">
        <v>3</v>
      </c>
      <c r="AW153" s="36" t="s">
        <v>681</v>
      </c>
      <c r="AX153" s="36" t="s">
        <v>206</v>
      </c>
      <c r="AY153" s="36" t="s">
        <v>210</v>
      </c>
      <c r="AZ153" s="36" t="s">
        <v>133</v>
      </c>
      <c r="BA153" s="36" t="s">
        <v>170</v>
      </c>
      <c r="BB153" s="36" t="s">
        <v>325</v>
      </c>
      <c r="BC153" s="36" t="s">
        <v>325</v>
      </c>
      <c r="BD153" s="36" t="s">
        <v>189</v>
      </c>
      <c r="BF153" s="36" t="s">
        <v>221</v>
      </c>
      <c r="BG153" s="36">
        <v>5</v>
      </c>
      <c r="BH153" s="36">
        <v>3</v>
      </c>
      <c r="BI153" s="36">
        <v>5</v>
      </c>
      <c r="BJ153" s="36">
        <v>5</v>
      </c>
      <c r="BK153" s="36">
        <v>5</v>
      </c>
      <c r="BL153" s="36">
        <v>5</v>
      </c>
      <c r="BM153" s="36">
        <v>5</v>
      </c>
      <c r="BN153" s="36">
        <v>5</v>
      </c>
      <c r="BO153" s="36">
        <v>5</v>
      </c>
      <c r="BP153" s="36">
        <v>5</v>
      </c>
      <c r="BQ153" s="36">
        <v>5</v>
      </c>
      <c r="BR153" s="36">
        <v>1</v>
      </c>
      <c r="BS153" s="36">
        <v>4</v>
      </c>
      <c r="BT153" s="36">
        <v>4</v>
      </c>
      <c r="BU153" s="36">
        <v>2</v>
      </c>
      <c r="BV153" s="36">
        <v>3</v>
      </c>
      <c r="BW153" s="36">
        <v>3</v>
      </c>
      <c r="BX153" s="36">
        <v>3</v>
      </c>
      <c r="BY153" s="36">
        <v>3</v>
      </c>
      <c r="BZ153" s="36">
        <v>4</v>
      </c>
      <c r="CA153" s="36">
        <v>5</v>
      </c>
      <c r="CB153" s="36">
        <v>3</v>
      </c>
      <c r="CC153" s="36">
        <v>3</v>
      </c>
      <c r="CD153" s="36">
        <v>5</v>
      </c>
      <c r="CE153" s="36">
        <v>1</v>
      </c>
      <c r="CF153" s="36">
        <v>4</v>
      </c>
      <c r="CG153" s="36">
        <v>4</v>
      </c>
      <c r="CH153" s="36" t="s">
        <v>225</v>
      </c>
      <c r="CI153" t="s">
        <v>229</v>
      </c>
      <c r="CJ153" t="s">
        <v>230</v>
      </c>
      <c r="CK153" s="36" t="s">
        <v>235</v>
      </c>
      <c r="CL153" t="s">
        <v>236</v>
      </c>
      <c r="CM153" t="s">
        <v>240</v>
      </c>
      <c r="CN153" s="36" t="s">
        <v>242</v>
      </c>
      <c r="CO153" s="36" t="s">
        <v>134</v>
      </c>
      <c r="CP153" s="36">
        <v>1</v>
      </c>
      <c r="CQ153" s="36">
        <v>5</v>
      </c>
      <c r="CR153" s="36" t="s">
        <v>248</v>
      </c>
      <c r="CS153" s="36">
        <v>3</v>
      </c>
      <c r="CT153" s="36">
        <v>1</v>
      </c>
      <c r="CU153" s="36">
        <v>2</v>
      </c>
      <c r="CV153" s="36">
        <v>1</v>
      </c>
      <c r="CW153" s="36">
        <v>3</v>
      </c>
      <c r="CX153" s="36">
        <v>5</v>
      </c>
      <c r="CY153" s="36">
        <v>4</v>
      </c>
      <c r="CZ153" s="36">
        <v>3</v>
      </c>
      <c r="DA153" s="36">
        <v>2</v>
      </c>
      <c r="DB153" s="36">
        <v>2</v>
      </c>
      <c r="DC153" s="36">
        <v>3</v>
      </c>
      <c r="DD153" s="36">
        <v>3</v>
      </c>
      <c r="DE153" s="36">
        <v>5</v>
      </c>
      <c r="DF153" s="36">
        <v>4</v>
      </c>
      <c r="DG153" s="36">
        <v>4</v>
      </c>
      <c r="DH153" s="36">
        <v>2</v>
      </c>
      <c r="DI153" s="36" t="s">
        <v>133</v>
      </c>
      <c r="DJ153" s="36" t="s">
        <v>134</v>
      </c>
      <c r="DL153"/>
      <c r="DM153"/>
      <c r="DN153"/>
      <c r="DO153"/>
      <c r="DP153"/>
      <c r="DR153" s="36" t="s">
        <v>134</v>
      </c>
      <c r="DT153"/>
      <c r="DU153"/>
      <c r="DV153"/>
      <c r="DW153"/>
      <c r="DX153"/>
      <c r="DZ153" s="36" t="s">
        <v>134</v>
      </c>
      <c r="EB153" s="36" t="s">
        <v>262</v>
      </c>
      <c r="EC153" s="36" t="s">
        <v>267</v>
      </c>
      <c r="ED153" s="36">
        <v>23</v>
      </c>
      <c r="EE153" s="36" t="s">
        <v>325</v>
      </c>
      <c r="EF153" s="36" t="str">
        <f>Tabulacao!MC153</f>
        <v>Estância</v>
      </c>
      <c r="EG153" s="36" t="s">
        <v>325</v>
      </c>
      <c r="EH153" s="36" t="str">
        <f>Tabulacao!MG153</f>
        <v>Estância</v>
      </c>
      <c r="EI153" s="36" t="s">
        <v>325</v>
      </c>
      <c r="EJ153" s="36" t="str">
        <f>Tabulacao!MK153</f>
        <v>Estância</v>
      </c>
      <c r="EK153" s="36" t="s">
        <v>134</v>
      </c>
      <c r="EL153" s="36" t="s">
        <v>134</v>
      </c>
      <c r="EM153" s="36" t="s">
        <v>134</v>
      </c>
      <c r="EN153" s="36" t="s">
        <v>134</v>
      </c>
      <c r="EO153" s="36" t="s">
        <v>134</v>
      </c>
      <c r="EP153" s="36" t="s">
        <v>134</v>
      </c>
      <c r="EQ153" s="36" t="s">
        <v>275</v>
      </c>
      <c r="ER153" s="36" t="str">
        <f>IF(OR(EQ153=CaractAmostra!$BD$9,EQ153=CaractAmostra!$BD$10,EQ153=CaractAmostra!$BD$11,EQ153=CaractAmostra!$BD$12,EQ153=CaractAmostra!$BD$13),Respostas_Formatadas!EQ153,"Outros")</f>
        <v>Com os pais</v>
      </c>
      <c r="ES153" s="36" t="s">
        <v>275</v>
      </c>
      <c r="ET153" s="36" t="str">
        <f>IF(OR(ES153=CaractAmostra!$BH$9,ES153=CaractAmostra!$BH$10,ES153=CaractAmostra!$BH$11,ES153=CaractAmostra!$BH$12),Respostas_Formatadas!ES153,"Outros")</f>
        <v>Com os pais</v>
      </c>
      <c r="EU153" s="36" t="s">
        <v>134</v>
      </c>
      <c r="EV153" s="36" t="s">
        <v>286</v>
      </c>
      <c r="EW153" s="36" t="s">
        <v>285</v>
      </c>
      <c r="FE153" s="47">
        <v>2018</v>
      </c>
      <c r="FF153" s="97">
        <v>8.5828000000000007</v>
      </c>
      <c r="FG153" s="47">
        <v>2018</v>
      </c>
      <c r="FH153" s="47">
        <f t="shared" si="6"/>
        <v>0</v>
      </c>
      <c r="FI153" s="47" t="str">
        <f t="shared" si="4"/>
        <v>Lagarto</v>
      </c>
      <c r="FJ153" s="47" t="str">
        <f t="shared" si="5"/>
        <v>Bacharelado</v>
      </c>
    </row>
    <row r="154" spans="1:166" s="36" customFormat="1" ht="15.75" customHeight="1" x14ac:dyDescent="0.2">
      <c r="A154" s="38">
        <v>43418.45779857639</v>
      </c>
      <c r="C154" s="36" t="s">
        <v>123</v>
      </c>
      <c r="D154" s="47" t="s">
        <v>134</v>
      </c>
      <c r="M154" s="36" t="s">
        <v>146</v>
      </c>
      <c r="N154" s="36" t="s">
        <v>134</v>
      </c>
      <c r="O154" s="36" t="s">
        <v>134</v>
      </c>
      <c r="P154" s="36" t="s">
        <v>134</v>
      </c>
      <c r="Q154" s="36" t="s">
        <v>133</v>
      </c>
      <c r="R154" s="36" t="s">
        <v>151</v>
      </c>
      <c r="Y154" s="36" t="s">
        <v>134</v>
      </c>
      <c r="AI154" s="40"/>
      <c r="AQ154" s="40"/>
      <c r="BT154" s="36">
        <v>4</v>
      </c>
      <c r="BU154" s="36">
        <v>4</v>
      </c>
      <c r="BV154" s="36">
        <v>4</v>
      </c>
      <c r="BW154" s="36">
        <v>4</v>
      </c>
      <c r="BX154" s="36">
        <v>4</v>
      </c>
      <c r="BY154" s="36">
        <v>4</v>
      </c>
      <c r="BZ154" s="36">
        <v>3</v>
      </c>
      <c r="CA154" s="36">
        <v>5</v>
      </c>
      <c r="CB154" s="36">
        <v>4</v>
      </c>
      <c r="CC154" s="36">
        <v>4</v>
      </c>
      <c r="CD154" s="36">
        <v>3</v>
      </c>
      <c r="CE154" s="36">
        <v>4</v>
      </c>
      <c r="CF154" s="36">
        <v>4</v>
      </c>
      <c r="CG154" s="36">
        <v>4</v>
      </c>
      <c r="CH154" s="36" t="s">
        <v>229</v>
      </c>
      <c r="CI154"/>
      <c r="CJ154"/>
      <c r="CK154" s="36" t="s">
        <v>232</v>
      </c>
      <c r="CL154" t="s">
        <v>235</v>
      </c>
      <c r="CM154"/>
      <c r="CN154" s="36" t="s">
        <v>241</v>
      </c>
      <c r="CO154" s="36" t="s">
        <v>134</v>
      </c>
      <c r="CP154" s="36">
        <v>3</v>
      </c>
      <c r="CQ154" s="36">
        <v>3</v>
      </c>
      <c r="CR154" s="36" t="s">
        <v>248</v>
      </c>
      <c r="CS154" s="36">
        <v>3</v>
      </c>
      <c r="CT154" s="36">
        <v>4</v>
      </c>
      <c r="CU154" s="36">
        <v>3</v>
      </c>
      <c r="CV154" s="36">
        <v>4</v>
      </c>
      <c r="CW154" s="36">
        <v>4</v>
      </c>
      <c r="CX154" s="36">
        <v>4</v>
      </c>
      <c r="CY154" s="36">
        <v>4</v>
      </c>
      <c r="CZ154" s="36">
        <v>4</v>
      </c>
      <c r="DA154" s="36">
        <v>4</v>
      </c>
      <c r="DB154" s="36">
        <v>4</v>
      </c>
      <c r="DC154" s="36">
        <v>3</v>
      </c>
      <c r="DD154" s="36">
        <v>4</v>
      </c>
      <c r="DE154" s="36">
        <v>4</v>
      </c>
      <c r="DF154" s="36">
        <v>4</v>
      </c>
      <c r="DG154" s="36">
        <v>5</v>
      </c>
      <c r="DH154" s="36">
        <v>4</v>
      </c>
      <c r="DI154" s="36" t="s">
        <v>133</v>
      </c>
      <c r="DJ154" s="36" t="s">
        <v>133</v>
      </c>
      <c r="DK154" s="36" t="s">
        <v>255</v>
      </c>
      <c r="DL154"/>
      <c r="DM154"/>
      <c r="DN154" t="s">
        <v>256</v>
      </c>
      <c r="DO154" t="s">
        <v>257</v>
      </c>
      <c r="DP154"/>
      <c r="DQ154" s="36">
        <v>5</v>
      </c>
      <c r="DR154" s="36" t="s">
        <v>134</v>
      </c>
      <c r="DT154"/>
      <c r="DU154"/>
      <c r="DV154"/>
      <c r="DW154"/>
      <c r="DX154"/>
      <c r="DZ154" s="36" t="s">
        <v>134</v>
      </c>
      <c r="EB154" s="36" t="s">
        <v>262</v>
      </c>
      <c r="EC154" s="36" t="s">
        <v>267</v>
      </c>
      <c r="ED154" s="36">
        <v>24</v>
      </c>
      <c r="EE154" s="36" t="s">
        <v>291</v>
      </c>
      <c r="EF154" s="36" t="str">
        <f>Tabulacao!MC154</f>
        <v>Lagarto</v>
      </c>
      <c r="EG154" s="36" t="s">
        <v>291</v>
      </c>
      <c r="EH154" s="36" t="str">
        <f>Tabulacao!MG154</f>
        <v>Lagarto</v>
      </c>
      <c r="EI154" s="36" t="s">
        <v>291</v>
      </c>
      <c r="EJ154" s="36" t="str">
        <f>Tabulacao!MK154</f>
        <v>Lagarto</v>
      </c>
      <c r="EK154" s="36" t="s">
        <v>134</v>
      </c>
      <c r="EL154" s="36" t="s">
        <v>134</v>
      </c>
      <c r="EM154" s="36" t="s">
        <v>134</v>
      </c>
      <c r="EN154" s="36" t="s">
        <v>134</v>
      </c>
      <c r="EO154" s="36" t="s">
        <v>134</v>
      </c>
      <c r="EP154" s="36" t="s">
        <v>134</v>
      </c>
      <c r="EQ154" s="36" t="s">
        <v>275</v>
      </c>
      <c r="ER154" s="36" t="str">
        <f>IF(OR(EQ154=CaractAmostra!$BD$9,EQ154=CaractAmostra!$BD$10,EQ154=CaractAmostra!$BD$11,EQ154=CaractAmostra!$BD$12,EQ154=CaractAmostra!$BD$13),Respostas_Formatadas!EQ154,"Outros")</f>
        <v>Com os pais</v>
      </c>
      <c r="ES154" s="36" t="s">
        <v>275</v>
      </c>
      <c r="ET154" s="36" t="str">
        <f>IF(OR(ES154=CaractAmostra!$BH$9,ES154=CaractAmostra!$BH$10,ES154=CaractAmostra!$BH$11,ES154=CaractAmostra!$BH$12),Respostas_Formatadas!ES154,"Outros")</f>
        <v>Com os pais</v>
      </c>
      <c r="EU154" s="36" t="s">
        <v>134</v>
      </c>
      <c r="EV154" s="36" t="s">
        <v>284</v>
      </c>
      <c r="EW154" s="36" t="s">
        <v>282</v>
      </c>
      <c r="FE154" s="47">
        <v>2017</v>
      </c>
      <c r="FF154" s="97">
        <v>7.5967000000000002</v>
      </c>
      <c r="FG154" s="47">
        <v>2017</v>
      </c>
      <c r="FH154" s="47">
        <f t="shared" si="6"/>
        <v>0</v>
      </c>
      <c r="FI154" s="47" t="str">
        <f t="shared" si="4"/>
        <v>Lagarto</v>
      </c>
      <c r="FJ154" s="47" t="str">
        <f t="shared" si="5"/>
        <v>Licenciatura</v>
      </c>
    </row>
    <row r="155" spans="1:166" s="36" customFormat="1" ht="15.75" customHeight="1" x14ac:dyDescent="0.2">
      <c r="A155" s="38">
        <v>43418.541553125004</v>
      </c>
      <c r="C155" s="36" t="s">
        <v>122</v>
      </c>
      <c r="D155" s="47" t="s">
        <v>134</v>
      </c>
      <c r="M155" s="36" t="s">
        <v>146</v>
      </c>
      <c r="N155" s="36" t="s">
        <v>134</v>
      </c>
      <c r="O155" s="36" t="s">
        <v>133</v>
      </c>
      <c r="P155" s="36" t="s">
        <v>133</v>
      </c>
      <c r="Q155" s="36" t="s">
        <v>134</v>
      </c>
      <c r="R155" s="36" t="s">
        <v>151</v>
      </c>
      <c r="Y155" s="36" t="s">
        <v>166</v>
      </c>
      <c r="AC155" s="36" t="s">
        <v>179</v>
      </c>
      <c r="AD155" s="36" t="s">
        <v>388</v>
      </c>
      <c r="AE155" s="36">
        <v>5</v>
      </c>
      <c r="AF155" s="36" t="s">
        <v>499</v>
      </c>
      <c r="AG155" s="36" t="s">
        <v>189</v>
      </c>
      <c r="AH155" s="36" t="s">
        <v>134</v>
      </c>
      <c r="AI155" s="40">
        <v>657</v>
      </c>
      <c r="AJ155" s="36">
        <v>5</v>
      </c>
      <c r="AK155" s="36">
        <v>5</v>
      </c>
      <c r="AL155" s="36" t="s">
        <v>133</v>
      </c>
      <c r="AP155" s="36" t="s">
        <v>388</v>
      </c>
      <c r="AQ155" s="40">
        <v>819</v>
      </c>
      <c r="AR155" s="36">
        <v>1</v>
      </c>
      <c r="AS155" s="36">
        <v>5</v>
      </c>
      <c r="AT155" s="36">
        <v>3</v>
      </c>
      <c r="AU155" s="36">
        <v>2</v>
      </c>
      <c r="AV155" s="36">
        <v>4</v>
      </c>
      <c r="AW155" s="36" t="s">
        <v>192</v>
      </c>
      <c r="AX155" s="36" t="s">
        <v>204</v>
      </c>
      <c r="AY155" s="36" t="s">
        <v>210</v>
      </c>
      <c r="AZ155" s="36" t="s">
        <v>134</v>
      </c>
      <c r="BA155" s="36" t="s">
        <v>170</v>
      </c>
      <c r="BB155" s="36" t="s">
        <v>501</v>
      </c>
      <c r="BC155" s="36" t="s">
        <v>292</v>
      </c>
      <c r="BD155" s="36" t="s">
        <v>189</v>
      </c>
      <c r="BF155" s="36" t="s">
        <v>219</v>
      </c>
      <c r="BG155" s="36">
        <v>4</v>
      </c>
      <c r="BH155" s="36">
        <v>3</v>
      </c>
      <c r="BI155" s="36">
        <v>5</v>
      </c>
      <c r="BJ155" s="36">
        <v>3</v>
      </c>
      <c r="BK155" s="36">
        <v>4</v>
      </c>
      <c r="BL155" s="36">
        <v>3</v>
      </c>
      <c r="BM155" s="36">
        <v>3</v>
      </c>
      <c r="BN155" s="36">
        <v>5</v>
      </c>
      <c r="BO155" s="36">
        <v>3</v>
      </c>
      <c r="BP155" s="36">
        <v>3</v>
      </c>
      <c r="BQ155" s="36">
        <v>3</v>
      </c>
      <c r="BR155" s="36">
        <v>2</v>
      </c>
      <c r="BS155" s="36">
        <v>1</v>
      </c>
      <c r="BT155" s="36">
        <v>5</v>
      </c>
      <c r="BU155" s="36">
        <v>4</v>
      </c>
      <c r="BV155" s="36">
        <v>3</v>
      </c>
      <c r="BW155" s="36">
        <v>3</v>
      </c>
      <c r="BX155" s="36">
        <v>4</v>
      </c>
      <c r="BY155" s="36">
        <v>3</v>
      </c>
      <c r="BZ155" s="36">
        <v>3</v>
      </c>
      <c r="CA155" s="36">
        <v>5</v>
      </c>
      <c r="CB155" s="36">
        <v>3</v>
      </c>
      <c r="CC155" s="36">
        <v>2</v>
      </c>
      <c r="CD155" s="36">
        <v>2</v>
      </c>
      <c r="CE155" s="36">
        <v>2</v>
      </c>
      <c r="CF155" s="36">
        <v>1</v>
      </c>
      <c r="CG155" s="36">
        <v>4</v>
      </c>
      <c r="CH155" s="36" t="s">
        <v>224</v>
      </c>
      <c r="CI155"/>
      <c r="CJ155"/>
      <c r="CK155" s="36" t="s">
        <v>239</v>
      </c>
      <c r="CL155"/>
      <c r="CM155"/>
      <c r="CN155" s="36" t="s">
        <v>242</v>
      </c>
      <c r="CO155" s="36" t="s">
        <v>134</v>
      </c>
      <c r="CP155" s="36">
        <v>3</v>
      </c>
      <c r="CQ155" s="36">
        <v>3</v>
      </c>
      <c r="CR155" s="36" t="s">
        <v>249</v>
      </c>
      <c r="CS155" s="36">
        <v>3</v>
      </c>
      <c r="CT155" s="36">
        <v>2</v>
      </c>
      <c r="CU155" s="36">
        <v>5</v>
      </c>
      <c r="CV155" s="36">
        <v>1</v>
      </c>
      <c r="CW155" s="36">
        <v>2</v>
      </c>
      <c r="CX155" s="36">
        <v>2</v>
      </c>
      <c r="CY155" s="36">
        <v>3</v>
      </c>
      <c r="CZ155" s="36">
        <v>1</v>
      </c>
      <c r="DA155" s="36">
        <v>2</v>
      </c>
      <c r="DB155" s="36">
        <v>4</v>
      </c>
      <c r="DC155" s="36">
        <v>1</v>
      </c>
      <c r="DD155" s="36">
        <v>3</v>
      </c>
      <c r="DE155" s="36">
        <v>4</v>
      </c>
      <c r="DF155" s="36">
        <v>2</v>
      </c>
      <c r="DG155" s="36">
        <v>2</v>
      </c>
      <c r="DH155" s="36">
        <v>2</v>
      </c>
      <c r="DI155" s="36" t="s">
        <v>250</v>
      </c>
      <c r="DJ155" s="36" t="s">
        <v>133</v>
      </c>
      <c r="DK155" s="36" t="s">
        <v>255</v>
      </c>
      <c r="DL155"/>
      <c r="DM155"/>
      <c r="DN155" t="s">
        <v>256</v>
      </c>
      <c r="DO155"/>
      <c r="DP155"/>
      <c r="DQ155" s="36">
        <v>3</v>
      </c>
      <c r="DR155" s="36" t="s">
        <v>133</v>
      </c>
      <c r="DS155" s="36" t="s">
        <v>259</v>
      </c>
      <c r="DT155"/>
      <c r="DU155"/>
      <c r="DV155"/>
      <c r="DW155"/>
      <c r="DX155"/>
      <c r="DY155" s="36">
        <v>3</v>
      </c>
      <c r="DZ155" s="36" t="s">
        <v>133</v>
      </c>
      <c r="EA155" s="36">
        <v>4</v>
      </c>
      <c r="EB155" s="36" t="s">
        <v>262</v>
      </c>
      <c r="EC155" s="36" t="s">
        <v>267</v>
      </c>
      <c r="ED155" s="36">
        <v>31</v>
      </c>
      <c r="EE155" s="36" t="s">
        <v>292</v>
      </c>
      <c r="EF155" s="36" t="str">
        <f>Tabulacao!MC155</f>
        <v>Aracaju</v>
      </c>
      <c r="EG155" s="36" t="s">
        <v>292</v>
      </c>
      <c r="EH155" s="36" t="str">
        <f>Tabulacao!MG155</f>
        <v>Aracaju</v>
      </c>
      <c r="EI155" s="36" t="s">
        <v>292</v>
      </c>
      <c r="EJ155" s="36" t="str">
        <f>Tabulacao!MK155</f>
        <v>Aracaju</v>
      </c>
      <c r="EK155" s="36" t="s">
        <v>134</v>
      </c>
      <c r="EL155" s="36" t="s">
        <v>134</v>
      </c>
      <c r="EM155" s="36" t="s">
        <v>134</v>
      </c>
      <c r="EN155" s="36" t="s">
        <v>134</v>
      </c>
      <c r="EO155" s="36" t="s">
        <v>134</v>
      </c>
      <c r="EP155" s="36" t="s">
        <v>134</v>
      </c>
      <c r="EQ155" s="36" t="s">
        <v>275</v>
      </c>
      <c r="ER155" s="36" t="str">
        <f>IF(OR(EQ155=CaractAmostra!$BD$9,EQ155=CaractAmostra!$BD$10,EQ155=CaractAmostra!$BD$11,EQ155=CaractAmostra!$BD$12,EQ155=CaractAmostra!$BD$13),Respostas_Formatadas!EQ155,"Outros")</f>
        <v>Com os pais</v>
      </c>
      <c r="ES155" s="36" t="s">
        <v>275</v>
      </c>
      <c r="ET155" s="36" t="str">
        <f>IF(OR(ES155=CaractAmostra!$BH$9,ES155=CaractAmostra!$BH$10,ES155=CaractAmostra!$BH$11,ES155=CaractAmostra!$BH$12),Respostas_Formatadas!ES155,"Outros")</f>
        <v>Com os pais</v>
      </c>
      <c r="EU155" s="36" t="s">
        <v>134</v>
      </c>
      <c r="EV155" s="36" t="s">
        <v>192</v>
      </c>
      <c r="EW155" s="36" t="s">
        <v>282</v>
      </c>
      <c r="FE155" s="47">
        <v>2016</v>
      </c>
      <c r="FF155" s="97">
        <v>6.3795999999999999</v>
      </c>
      <c r="FG155" s="47">
        <v>2017</v>
      </c>
      <c r="FH155" s="47">
        <f t="shared" si="6"/>
        <v>1</v>
      </c>
      <c r="FI155" s="47" t="str">
        <f t="shared" si="4"/>
        <v>Aracaju</v>
      </c>
      <c r="FJ155" s="47" t="str">
        <f t="shared" si="5"/>
        <v>Licenciatura</v>
      </c>
    </row>
    <row r="156" spans="1:166" s="36" customFormat="1" ht="15.75" customHeight="1" x14ac:dyDescent="0.2">
      <c r="A156" s="38">
        <v>43418.572323518514</v>
      </c>
      <c r="C156" s="36" t="s">
        <v>125</v>
      </c>
      <c r="D156" s="47" t="s">
        <v>134</v>
      </c>
      <c r="M156" s="36" t="s">
        <v>146</v>
      </c>
      <c r="N156" s="36" t="s">
        <v>134</v>
      </c>
      <c r="O156" s="36" t="s">
        <v>133</v>
      </c>
      <c r="P156" s="36" t="s">
        <v>134</v>
      </c>
      <c r="Q156" s="36" t="s">
        <v>133</v>
      </c>
      <c r="R156" s="36" t="s">
        <v>151</v>
      </c>
      <c r="Y156" s="36" t="s">
        <v>165</v>
      </c>
      <c r="Z156" s="36" t="s">
        <v>167</v>
      </c>
      <c r="AA156" s="36" t="s">
        <v>172</v>
      </c>
      <c r="AB156" s="36" t="s">
        <v>180</v>
      </c>
      <c r="AD156" s="36" t="s">
        <v>682</v>
      </c>
      <c r="AE156" s="36">
        <v>5</v>
      </c>
      <c r="AF156" s="36" t="s">
        <v>189</v>
      </c>
      <c r="AG156" s="36" t="s">
        <v>189</v>
      </c>
      <c r="AH156" s="36" t="s">
        <v>134</v>
      </c>
      <c r="AI156" s="40">
        <v>1200</v>
      </c>
      <c r="AJ156" s="36">
        <v>5</v>
      </c>
      <c r="AK156" s="36">
        <v>4</v>
      </c>
      <c r="AL156" s="36" t="s">
        <v>133</v>
      </c>
      <c r="AP156" s="36" t="s">
        <v>683</v>
      </c>
      <c r="AQ156" s="40">
        <v>1800</v>
      </c>
      <c r="AR156" s="36">
        <v>4</v>
      </c>
      <c r="AS156" s="36">
        <v>5</v>
      </c>
      <c r="AT156" s="36">
        <v>5</v>
      </c>
      <c r="AU156" s="36">
        <v>4</v>
      </c>
      <c r="AV156" s="36">
        <v>4</v>
      </c>
      <c r="AW156" s="36" t="s">
        <v>192</v>
      </c>
      <c r="AX156" s="36" t="s">
        <v>206</v>
      </c>
      <c r="AY156" s="36" t="s">
        <v>210</v>
      </c>
      <c r="AZ156" s="36" t="s">
        <v>133</v>
      </c>
      <c r="BA156" s="36" t="s">
        <v>170</v>
      </c>
      <c r="BB156" s="36" t="s">
        <v>684</v>
      </c>
      <c r="BC156" s="36" t="s">
        <v>292</v>
      </c>
      <c r="BD156" s="36" t="s">
        <v>189</v>
      </c>
      <c r="BF156" s="36" t="s">
        <v>220</v>
      </c>
      <c r="BG156" s="36">
        <v>5</v>
      </c>
      <c r="BH156" s="36">
        <v>5</v>
      </c>
      <c r="BI156" s="36">
        <v>5</v>
      </c>
      <c r="BJ156" s="36">
        <v>5</v>
      </c>
      <c r="BK156" s="36">
        <v>5</v>
      </c>
      <c r="BL156" s="36">
        <v>5</v>
      </c>
      <c r="BM156" s="36">
        <v>5</v>
      </c>
      <c r="BN156" s="36">
        <v>5</v>
      </c>
      <c r="BO156" s="36">
        <v>5</v>
      </c>
      <c r="BP156" s="36">
        <v>5</v>
      </c>
      <c r="BQ156" s="36">
        <v>5</v>
      </c>
      <c r="BR156" s="36">
        <v>5</v>
      </c>
      <c r="BS156" s="36">
        <v>4</v>
      </c>
      <c r="BT156" s="36">
        <v>5</v>
      </c>
      <c r="BU156" s="36">
        <v>5</v>
      </c>
      <c r="BV156" s="36">
        <v>5</v>
      </c>
      <c r="BW156" s="36">
        <v>5</v>
      </c>
      <c r="BX156" s="36">
        <v>5</v>
      </c>
      <c r="BY156" s="36">
        <v>5</v>
      </c>
      <c r="BZ156" s="36">
        <v>5</v>
      </c>
      <c r="CA156" s="36">
        <v>5</v>
      </c>
      <c r="CB156" s="36">
        <v>5</v>
      </c>
      <c r="CC156" s="36">
        <v>5</v>
      </c>
      <c r="CD156" s="36">
        <v>5</v>
      </c>
      <c r="CE156" s="36">
        <v>4</v>
      </c>
      <c r="CF156" s="36">
        <v>4</v>
      </c>
      <c r="CG156" s="36">
        <v>4</v>
      </c>
      <c r="CH156" s="36" t="s">
        <v>222</v>
      </c>
      <c r="CI156" t="s">
        <v>227</v>
      </c>
      <c r="CJ156" t="s">
        <v>228</v>
      </c>
      <c r="CK156" s="36" t="s">
        <v>233</v>
      </c>
      <c r="CL156" t="s">
        <v>239</v>
      </c>
      <c r="CM156" t="s">
        <v>240</v>
      </c>
      <c r="CN156" s="36" t="s">
        <v>241</v>
      </c>
      <c r="CO156" s="36" t="s">
        <v>133</v>
      </c>
      <c r="CP156" s="36">
        <v>5</v>
      </c>
      <c r="CQ156" s="36">
        <v>5</v>
      </c>
      <c r="CR156" s="36" t="s">
        <v>249</v>
      </c>
      <c r="CS156" s="36">
        <v>4</v>
      </c>
      <c r="CT156" s="36">
        <v>4</v>
      </c>
      <c r="CU156" s="36">
        <v>3</v>
      </c>
      <c r="CV156" s="36">
        <v>3</v>
      </c>
      <c r="CW156" s="36">
        <v>3</v>
      </c>
      <c r="CX156" s="36">
        <v>3</v>
      </c>
      <c r="CY156" s="36">
        <v>3</v>
      </c>
      <c r="CZ156" s="36">
        <v>2</v>
      </c>
      <c r="DA156" s="36">
        <v>4</v>
      </c>
      <c r="DB156" s="36">
        <v>3</v>
      </c>
      <c r="DC156" s="36">
        <v>3</v>
      </c>
      <c r="DD156" s="36">
        <v>5</v>
      </c>
      <c r="DE156" s="36">
        <v>5</v>
      </c>
      <c r="DF156" s="36">
        <v>5</v>
      </c>
      <c r="DG156" s="36">
        <v>5</v>
      </c>
      <c r="DH156" s="36">
        <v>5</v>
      </c>
      <c r="DI156" s="36" t="s">
        <v>133</v>
      </c>
      <c r="DJ156" s="36" t="s">
        <v>133</v>
      </c>
      <c r="DK156" s="36" t="s">
        <v>257</v>
      </c>
      <c r="DL156"/>
      <c r="DM156"/>
      <c r="DN156"/>
      <c r="DO156"/>
      <c r="DP156"/>
      <c r="DQ156" s="36">
        <v>5</v>
      </c>
      <c r="DR156" s="36" t="s">
        <v>133</v>
      </c>
      <c r="DS156" s="36" t="s">
        <v>258</v>
      </c>
      <c r="DT156" t="s">
        <v>260</v>
      </c>
      <c r="DU156" t="s">
        <v>261</v>
      </c>
      <c r="DV156"/>
      <c r="DW156"/>
      <c r="DX156"/>
      <c r="DY156" s="36">
        <v>5</v>
      </c>
      <c r="DZ156" s="36" t="s">
        <v>133</v>
      </c>
      <c r="EA156" s="36">
        <v>5</v>
      </c>
      <c r="EB156" s="36" t="s">
        <v>262</v>
      </c>
      <c r="EC156" s="36" t="s">
        <v>265</v>
      </c>
      <c r="ED156" s="36">
        <v>30</v>
      </c>
      <c r="EE156" s="36" t="s">
        <v>304</v>
      </c>
      <c r="EF156" s="36" t="str">
        <f>Tabulacao!MC156</f>
        <v>Aracaju</v>
      </c>
      <c r="EG156" s="36" t="s">
        <v>304</v>
      </c>
      <c r="EH156" s="36" t="str">
        <f>Tabulacao!MG156</f>
        <v>Aracaju</v>
      </c>
      <c r="EI156" s="36" t="s">
        <v>304</v>
      </c>
      <c r="EJ156" s="36" t="str">
        <f>Tabulacao!MK156</f>
        <v>Aracaju</v>
      </c>
      <c r="EK156" s="36" t="s">
        <v>134</v>
      </c>
      <c r="EL156" s="36" t="s">
        <v>134</v>
      </c>
      <c r="EM156" s="36" t="s">
        <v>134</v>
      </c>
      <c r="EN156" s="36" t="s">
        <v>134</v>
      </c>
      <c r="EO156" s="36" t="s">
        <v>134</v>
      </c>
      <c r="EP156" s="36" t="s">
        <v>134</v>
      </c>
      <c r="EQ156" s="36" t="s">
        <v>273</v>
      </c>
      <c r="ER156" s="36" t="str">
        <f>IF(OR(EQ156=CaractAmostra!$BD$9,EQ156=CaractAmostra!$BD$10,EQ156=CaractAmostra!$BD$11,EQ156=CaractAmostra!$BD$12,EQ156=CaractAmostra!$BD$13),Respostas_Formatadas!EQ156,"Outros")</f>
        <v>Dividia residência com outras pessoas</v>
      </c>
      <c r="ES156" s="36" t="s">
        <v>278</v>
      </c>
      <c r="ET156" s="36" t="str">
        <f>IF(OR(ES156=CaractAmostra!$BH$9,ES156=CaractAmostra!$BH$10,ES156=CaractAmostra!$BH$11,ES156=CaractAmostra!$BH$12),Respostas_Formatadas!ES156,"Outros")</f>
        <v>Divido residência com outras pessoas</v>
      </c>
      <c r="EU156" s="36" t="s">
        <v>134</v>
      </c>
      <c r="EV156" s="36" t="s">
        <v>282</v>
      </c>
      <c r="EW156" s="36" t="s">
        <v>282</v>
      </c>
      <c r="FE156" s="47">
        <v>2014</v>
      </c>
      <c r="FF156" s="97">
        <v>7.85</v>
      </c>
      <c r="FG156" s="47">
        <v>2015</v>
      </c>
      <c r="FH156" s="47">
        <f t="shared" si="6"/>
        <v>1</v>
      </c>
      <c r="FI156" s="47" t="str">
        <f t="shared" si="4"/>
        <v>Aracaju</v>
      </c>
      <c r="FJ156" s="47" t="str">
        <f t="shared" si="5"/>
        <v>Tecnologia</v>
      </c>
    </row>
    <row r="157" spans="1:166" s="36" customFormat="1" ht="15.75" customHeight="1" x14ac:dyDescent="0.2">
      <c r="A157" s="38">
        <v>43418.603778553239</v>
      </c>
      <c r="C157" s="36" t="s">
        <v>120</v>
      </c>
      <c r="D157" s="47" t="s">
        <v>133</v>
      </c>
      <c r="E157" s="36" t="s">
        <v>135</v>
      </c>
      <c r="H157" s="36" t="s">
        <v>142</v>
      </c>
      <c r="M157" s="36" t="s">
        <v>147</v>
      </c>
      <c r="N157" s="36" t="s">
        <v>134</v>
      </c>
      <c r="O157" s="36" t="s">
        <v>133</v>
      </c>
      <c r="P157" s="36" t="s">
        <v>134</v>
      </c>
      <c r="Q157" s="36" t="s">
        <v>134</v>
      </c>
      <c r="R157" s="36" t="s">
        <v>151</v>
      </c>
      <c r="Y157" s="36" t="s">
        <v>165</v>
      </c>
      <c r="Z157" s="36" t="s">
        <v>167</v>
      </c>
      <c r="AA157" s="36" t="s">
        <v>174</v>
      </c>
      <c r="AB157" s="36" t="s">
        <v>177</v>
      </c>
      <c r="AD157" s="36" t="s">
        <v>685</v>
      </c>
      <c r="AE157" s="36">
        <v>5</v>
      </c>
      <c r="AF157" s="36" t="s">
        <v>189</v>
      </c>
      <c r="AG157" s="36" t="s">
        <v>189</v>
      </c>
      <c r="AH157" s="36" t="s">
        <v>134</v>
      </c>
      <c r="AI157" s="40">
        <v>5500</v>
      </c>
      <c r="AJ157" s="36">
        <v>3</v>
      </c>
      <c r="AK157" s="36">
        <v>5</v>
      </c>
      <c r="AL157" s="36" t="s">
        <v>133</v>
      </c>
      <c r="AP157" s="36" t="s">
        <v>686</v>
      </c>
      <c r="AQ157" s="40">
        <v>7500</v>
      </c>
      <c r="AR157" s="36">
        <v>4</v>
      </c>
      <c r="AS157" s="36">
        <v>3</v>
      </c>
      <c r="AT157" s="36">
        <v>3</v>
      </c>
      <c r="AU157" s="36">
        <v>5</v>
      </c>
      <c r="AV157" s="36">
        <v>5</v>
      </c>
      <c r="AW157" s="36" t="s">
        <v>192</v>
      </c>
      <c r="AX157" s="36" t="s">
        <v>206</v>
      </c>
      <c r="AY157" s="36" t="s">
        <v>210</v>
      </c>
      <c r="AZ157" s="36" t="s">
        <v>133</v>
      </c>
      <c r="BA157" s="36" t="s">
        <v>213</v>
      </c>
      <c r="BB157" s="36" t="s">
        <v>687</v>
      </c>
      <c r="BC157" s="36" t="s">
        <v>687</v>
      </c>
      <c r="BD157" s="36" t="s">
        <v>189</v>
      </c>
      <c r="BF157" s="36" t="s">
        <v>221</v>
      </c>
      <c r="BG157" s="36">
        <v>5</v>
      </c>
      <c r="BH157" s="36">
        <v>4</v>
      </c>
      <c r="BI157" s="36">
        <v>5</v>
      </c>
      <c r="BJ157" s="36">
        <v>5</v>
      </c>
      <c r="BK157" s="36">
        <v>5</v>
      </c>
      <c r="BL157" s="36">
        <v>5</v>
      </c>
      <c r="BM157" s="36">
        <v>5</v>
      </c>
      <c r="BN157" s="36">
        <v>5</v>
      </c>
      <c r="BO157" s="36">
        <v>5</v>
      </c>
      <c r="BP157" s="36">
        <v>5</v>
      </c>
      <c r="BQ157" s="36">
        <v>4</v>
      </c>
      <c r="BR157" s="36">
        <v>2</v>
      </c>
      <c r="BS157" s="36">
        <v>4</v>
      </c>
      <c r="BT157" s="36">
        <v>4</v>
      </c>
      <c r="BU157" s="36">
        <v>4</v>
      </c>
      <c r="BV157" s="36">
        <v>4</v>
      </c>
      <c r="BW157" s="36">
        <v>3</v>
      </c>
      <c r="BX157" s="36">
        <v>5</v>
      </c>
      <c r="BY157" s="36">
        <v>5</v>
      </c>
      <c r="BZ157" s="36">
        <v>3</v>
      </c>
      <c r="CA157" s="36">
        <v>5</v>
      </c>
      <c r="CB157" s="36">
        <v>3</v>
      </c>
      <c r="CC157" s="36">
        <v>5</v>
      </c>
      <c r="CD157" s="36">
        <v>3</v>
      </c>
      <c r="CE157" s="36">
        <v>2</v>
      </c>
      <c r="CF157" s="36">
        <v>5</v>
      </c>
      <c r="CG157" s="36">
        <v>5</v>
      </c>
      <c r="CH157" s="36" t="s">
        <v>688</v>
      </c>
      <c r="CI157"/>
      <c r="CJ157"/>
      <c r="CK157" s="36" t="s">
        <v>232</v>
      </c>
      <c r="CL157" t="s">
        <v>236</v>
      </c>
      <c r="CM157" t="s">
        <v>239</v>
      </c>
      <c r="CN157" s="36" t="s">
        <v>242</v>
      </c>
      <c r="CO157" s="36" t="s">
        <v>134</v>
      </c>
      <c r="CP157" s="36">
        <v>2</v>
      </c>
      <c r="CQ157" s="36">
        <v>4</v>
      </c>
      <c r="CR157" s="36" t="s">
        <v>249</v>
      </c>
      <c r="CS157" s="36">
        <v>3</v>
      </c>
      <c r="CT157" s="36">
        <v>3</v>
      </c>
      <c r="CU157" s="36">
        <v>3</v>
      </c>
      <c r="CV157" s="36">
        <v>1</v>
      </c>
      <c r="CW157" s="36">
        <v>5</v>
      </c>
      <c r="CX157" s="36">
        <v>4</v>
      </c>
      <c r="CY157" s="36">
        <v>5</v>
      </c>
      <c r="CZ157" s="36">
        <v>4</v>
      </c>
      <c r="DA157" s="36">
        <v>3</v>
      </c>
      <c r="DB157" s="36">
        <v>3</v>
      </c>
      <c r="DC157" s="36">
        <v>5</v>
      </c>
      <c r="DD157" s="36">
        <v>3</v>
      </c>
      <c r="DE157" s="36">
        <v>4</v>
      </c>
      <c r="DF157" s="36">
        <v>4</v>
      </c>
      <c r="DG157" s="36">
        <v>4</v>
      </c>
      <c r="DH157" s="36">
        <v>3</v>
      </c>
      <c r="DI157" s="36" t="s">
        <v>133</v>
      </c>
      <c r="DJ157" s="36" t="s">
        <v>133</v>
      </c>
      <c r="DK157" s="36" t="s">
        <v>254</v>
      </c>
      <c r="DL157" t="s">
        <v>255</v>
      </c>
      <c r="DM157"/>
      <c r="DN157"/>
      <c r="DO157" t="s">
        <v>257</v>
      </c>
      <c r="DP157"/>
      <c r="DQ157" s="36">
        <v>4</v>
      </c>
      <c r="DR157" s="36" t="s">
        <v>134</v>
      </c>
      <c r="DT157"/>
      <c r="DU157"/>
      <c r="DV157"/>
      <c r="DW157"/>
      <c r="DX157"/>
      <c r="DZ157" s="36" t="s">
        <v>133</v>
      </c>
      <c r="EA157" s="36">
        <v>5</v>
      </c>
      <c r="EB157" s="36" t="s">
        <v>263</v>
      </c>
      <c r="EC157" s="36" t="s">
        <v>267</v>
      </c>
      <c r="ED157" s="36">
        <v>27</v>
      </c>
      <c r="EE157" s="36" t="s">
        <v>291</v>
      </c>
      <c r="EF157" s="36" t="str">
        <f>Tabulacao!MC157</f>
        <v>Lagarto</v>
      </c>
      <c r="EG157" s="36" t="s">
        <v>466</v>
      </c>
      <c r="EH157" s="36" t="str">
        <f>Tabulacao!MG157</f>
        <v>Lagarto</v>
      </c>
      <c r="EI157" s="36" t="s">
        <v>689</v>
      </c>
      <c r="EJ157" s="36" t="str">
        <f>Tabulacao!MK157</f>
        <v>Blumenau - SC</v>
      </c>
      <c r="EK157" s="36" t="s">
        <v>271</v>
      </c>
      <c r="EL157" s="36" t="s">
        <v>134</v>
      </c>
      <c r="EM157" s="36" t="s">
        <v>271</v>
      </c>
      <c r="EN157" s="36" t="s">
        <v>134</v>
      </c>
      <c r="EO157" s="36" t="s">
        <v>134</v>
      </c>
      <c r="EP157" s="36" t="s">
        <v>134</v>
      </c>
      <c r="EQ157" s="36" t="s">
        <v>273</v>
      </c>
      <c r="ER157" s="36" t="str">
        <f>IF(OR(EQ157=CaractAmostra!$BD$9,EQ157=CaractAmostra!$BD$10,EQ157=CaractAmostra!$BD$11,EQ157=CaractAmostra!$BD$12,EQ157=CaractAmostra!$BD$13),Respostas_Formatadas!EQ157,"Outros")</f>
        <v>Dividia residência com outras pessoas</v>
      </c>
      <c r="ES157" s="36" t="s">
        <v>277</v>
      </c>
      <c r="ET157" s="36" t="str">
        <f>IF(OR(ES157=CaractAmostra!$BH$9,ES157=CaractAmostra!$BH$10,ES157=CaractAmostra!$BH$11,ES157=CaractAmostra!$BH$12),Respostas_Formatadas!ES157,"Outros")</f>
        <v>Sozinho</v>
      </c>
      <c r="EU157" s="36" t="s">
        <v>134</v>
      </c>
      <c r="EV157" s="36" t="s">
        <v>283</v>
      </c>
      <c r="EW157" s="36" t="s">
        <v>283</v>
      </c>
      <c r="FE157" s="47">
        <v>2017</v>
      </c>
      <c r="FF157" s="97">
        <v>7.4166999999999996</v>
      </c>
      <c r="FG157" s="47">
        <v>2017</v>
      </c>
      <c r="FH157" s="47">
        <f t="shared" si="6"/>
        <v>0</v>
      </c>
      <c r="FI157" s="47" t="str">
        <f t="shared" si="4"/>
        <v>Lagarto</v>
      </c>
      <c r="FJ157" s="47" t="str">
        <f t="shared" si="5"/>
        <v>Bacharelado</v>
      </c>
    </row>
    <row r="158" spans="1:166" s="36" customFormat="1" ht="15.75" customHeight="1" x14ac:dyDescent="0.2">
      <c r="A158" s="38">
        <v>43418.747385960647</v>
      </c>
      <c r="C158" s="36" t="s">
        <v>121</v>
      </c>
      <c r="D158" s="47" t="s">
        <v>133</v>
      </c>
      <c r="E158" s="36" t="s">
        <v>135</v>
      </c>
      <c r="H158" s="36" t="s">
        <v>144</v>
      </c>
      <c r="M158" s="36" t="s">
        <v>146</v>
      </c>
      <c r="N158" s="36" t="s">
        <v>134</v>
      </c>
      <c r="O158" s="36" t="s">
        <v>133</v>
      </c>
      <c r="P158" s="36" t="s">
        <v>134</v>
      </c>
      <c r="Q158" s="36" t="s">
        <v>134</v>
      </c>
      <c r="R158" s="36" t="s">
        <v>151</v>
      </c>
      <c r="Y158" s="36" t="s">
        <v>134</v>
      </c>
      <c r="AI158" s="40"/>
      <c r="AQ158" s="40"/>
      <c r="BT158" s="36">
        <v>3</v>
      </c>
      <c r="BU158" s="36">
        <v>3</v>
      </c>
      <c r="BV158" s="36">
        <v>3</v>
      </c>
      <c r="BW158" s="36">
        <v>5</v>
      </c>
      <c r="BX158" s="36">
        <v>4</v>
      </c>
      <c r="BY158" s="36">
        <v>5</v>
      </c>
      <c r="BZ158" s="36">
        <v>3</v>
      </c>
      <c r="CA158" s="36">
        <v>4</v>
      </c>
      <c r="CB158" s="36">
        <v>4</v>
      </c>
      <c r="CC158" s="36">
        <v>4</v>
      </c>
      <c r="CD158" s="36">
        <v>3</v>
      </c>
      <c r="CE158" s="36">
        <v>3</v>
      </c>
      <c r="CF158" s="36">
        <v>1</v>
      </c>
      <c r="CG158" s="36">
        <v>1</v>
      </c>
      <c r="CH158" s="36" t="s">
        <v>226</v>
      </c>
      <c r="CI158"/>
      <c r="CJ158"/>
      <c r="CK158" s="36" t="s">
        <v>235</v>
      </c>
      <c r="CL158"/>
      <c r="CM158"/>
      <c r="CN158" s="36" t="s">
        <v>242</v>
      </c>
      <c r="CO158" s="36" t="s">
        <v>133</v>
      </c>
      <c r="CP158" s="36">
        <v>4</v>
      </c>
      <c r="CQ158" s="36">
        <v>4</v>
      </c>
      <c r="CR158" s="36" t="s">
        <v>248</v>
      </c>
      <c r="CS158" s="36">
        <v>3</v>
      </c>
      <c r="CT158" s="36">
        <v>3</v>
      </c>
      <c r="CU158" s="36">
        <v>3</v>
      </c>
      <c r="CV158" s="36">
        <v>3</v>
      </c>
      <c r="CW158" s="36">
        <v>3</v>
      </c>
      <c r="CX158" s="36">
        <v>3</v>
      </c>
      <c r="CY158" s="36">
        <v>3</v>
      </c>
      <c r="CZ158" s="36">
        <v>4</v>
      </c>
      <c r="DA158" s="36">
        <v>3</v>
      </c>
      <c r="DB158" s="36">
        <v>2</v>
      </c>
      <c r="DC158" s="36">
        <v>3</v>
      </c>
      <c r="DD158" s="36">
        <v>2</v>
      </c>
      <c r="DE158" s="36">
        <v>4</v>
      </c>
      <c r="DF158" s="36">
        <v>4</v>
      </c>
      <c r="DG158" s="36">
        <v>4</v>
      </c>
      <c r="DH158" s="36">
        <v>3</v>
      </c>
      <c r="DI158" s="36" t="s">
        <v>133</v>
      </c>
      <c r="DJ158" s="36" t="s">
        <v>133</v>
      </c>
      <c r="DK158" s="36" t="s">
        <v>255</v>
      </c>
      <c r="DL158"/>
      <c r="DM158"/>
      <c r="DN158"/>
      <c r="DO158"/>
      <c r="DP158"/>
      <c r="DQ158" s="36">
        <v>5</v>
      </c>
      <c r="DR158" s="36" t="s">
        <v>134</v>
      </c>
      <c r="DT158"/>
      <c r="DU158"/>
      <c r="DV158"/>
      <c r="DW158"/>
      <c r="DX158"/>
      <c r="DZ158" s="36" t="s">
        <v>133</v>
      </c>
      <c r="EA158" s="36">
        <v>5</v>
      </c>
      <c r="EB158" s="36" t="s">
        <v>263</v>
      </c>
      <c r="EC158" s="36" t="s">
        <v>267</v>
      </c>
      <c r="ED158" s="36">
        <v>26</v>
      </c>
      <c r="EE158" s="36" t="s">
        <v>690</v>
      </c>
      <c r="EF158" s="36" t="str">
        <f>Tabulacao!MC158</f>
        <v>Nossa Senhora da Glória</v>
      </c>
      <c r="EG158" s="36" t="s">
        <v>292</v>
      </c>
      <c r="EH158" s="36" t="str">
        <f>Tabulacao!MG158</f>
        <v>Aracaju</v>
      </c>
      <c r="EI158" s="36" t="s">
        <v>690</v>
      </c>
      <c r="EJ158" s="36" t="str">
        <f>Tabulacao!MK158</f>
        <v>Nossa Senhora da Glória</v>
      </c>
      <c r="EK158" s="36" t="s">
        <v>134</v>
      </c>
      <c r="EL158" s="36" t="s">
        <v>134</v>
      </c>
      <c r="EM158" s="36" t="s">
        <v>134</v>
      </c>
      <c r="EN158" s="36" t="s">
        <v>134</v>
      </c>
      <c r="EO158" s="36" t="s">
        <v>134</v>
      </c>
      <c r="EP158" s="36" t="s">
        <v>134</v>
      </c>
      <c r="EQ158" s="36" t="s">
        <v>273</v>
      </c>
      <c r="ER158" s="36" t="str">
        <f>IF(OR(EQ158=CaractAmostra!$BD$9,EQ158=CaractAmostra!$BD$10,EQ158=CaractAmostra!$BD$11,EQ158=CaractAmostra!$BD$12,EQ158=CaractAmostra!$BD$13),Respostas_Formatadas!EQ158,"Outros")</f>
        <v>Dividia residência com outras pessoas</v>
      </c>
      <c r="ES158" s="36" t="s">
        <v>275</v>
      </c>
      <c r="ET158" s="36" t="str">
        <f>IF(OR(ES158=CaractAmostra!$BH$9,ES158=CaractAmostra!$BH$10,ES158=CaractAmostra!$BH$11,ES158=CaractAmostra!$BH$12),Respostas_Formatadas!ES158,"Outros")</f>
        <v>Com os pais</v>
      </c>
      <c r="EU158" s="36" t="s">
        <v>134</v>
      </c>
      <c r="EV158" s="36" t="s">
        <v>282</v>
      </c>
      <c r="EW158" s="36" t="s">
        <v>282</v>
      </c>
      <c r="FE158" s="47">
        <v>2018</v>
      </c>
      <c r="FF158" s="97">
        <v>7.0787000000000004</v>
      </c>
      <c r="FG158" s="47">
        <v>2017</v>
      </c>
      <c r="FH158" s="47">
        <f t="shared" si="6"/>
        <v>-1</v>
      </c>
      <c r="FI158" s="47" t="str">
        <f t="shared" si="4"/>
        <v>Aracaju</v>
      </c>
      <c r="FJ158" s="47" t="str">
        <f t="shared" si="5"/>
        <v>Licenciatura</v>
      </c>
    </row>
    <row r="159" spans="1:166" s="36" customFormat="1" ht="15.75" customHeight="1" x14ac:dyDescent="0.2">
      <c r="A159" s="38">
        <v>43418.748683530095</v>
      </c>
      <c r="C159" s="36" t="s">
        <v>121</v>
      </c>
      <c r="D159" s="47" t="s">
        <v>133</v>
      </c>
      <c r="E159" s="36" t="s">
        <v>135</v>
      </c>
      <c r="H159" s="36" t="s">
        <v>144</v>
      </c>
      <c r="M159" s="36" t="s">
        <v>146</v>
      </c>
      <c r="N159" s="36" t="s">
        <v>134</v>
      </c>
      <c r="O159" s="36" t="s">
        <v>133</v>
      </c>
      <c r="P159" s="36" t="s">
        <v>134</v>
      </c>
      <c r="Q159" s="36" t="s">
        <v>134</v>
      </c>
      <c r="R159" s="36" t="s">
        <v>153</v>
      </c>
      <c r="S159" s="36" t="s">
        <v>691</v>
      </c>
      <c r="T159" s="36" t="s">
        <v>155</v>
      </c>
      <c r="U159" s="36" t="s">
        <v>159</v>
      </c>
      <c r="V159" s="36">
        <v>4</v>
      </c>
      <c r="W159" s="36">
        <v>1</v>
      </c>
      <c r="X159" s="36">
        <v>5</v>
      </c>
      <c r="Y159" s="36" t="s">
        <v>165</v>
      </c>
      <c r="Z159" s="36" t="s">
        <v>168</v>
      </c>
      <c r="AA159" s="36" t="s">
        <v>172</v>
      </c>
      <c r="AB159" s="36" t="s">
        <v>181</v>
      </c>
      <c r="AD159" s="36" t="s">
        <v>509</v>
      </c>
      <c r="AE159" s="36">
        <v>1</v>
      </c>
      <c r="AF159" s="36" t="s">
        <v>634</v>
      </c>
      <c r="AG159" s="36" t="s">
        <v>189</v>
      </c>
      <c r="AH159" s="36" t="s">
        <v>134</v>
      </c>
      <c r="AI159" s="40">
        <v>422</v>
      </c>
      <c r="AJ159" s="36">
        <v>1</v>
      </c>
      <c r="AK159" s="36">
        <v>4</v>
      </c>
      <c r="AL159" s="36" t="s">
        <v>133</v>
      </c>
      <c r="AP159" s="36" t="s">
        <v>509</v>
      </c>
      <c r="AQ159" s="40">
        <v>954</v>
      </c>
      <c r="AR159" s="36">
        <v>1</v>
      </c>
      <c r="AS159" s="36">
        <v>5</v>
      </c>
      <c r="AT159" s="36">
        <v>5</v>
      </c>
      <c r="AU159" s="36">
        <v>3</v>
      </c>
      <c r="AV159" s="36">
        <v>5</v>
      </c>
      <c r="AW159" s="36" t="s">
        <v>193</v>
      </c>
      <c r="AX159" s="36" t="s">
        <v>203</v>
      </c>
      <c r="AY159" s="36" t="s">
        <v>208</v>
      </c>
      <c r="AZ159" s="36" t="s">
        <v>134</v>
      </c>
      <c r="BA159" s="36" t="s">
        <v>213</v>
      </c>
      <c r="BB159" s="36" t="s">
        <v>458</v>
      </c>
      <c r="BC159" s="36" t="s">
        <v>292</v>
      </c>
      <c r="BD159" s="36" t="s">
        <v>189</v>
      </c>
      <c r="BF159" s="36" t="s">
        <v>219</v>
      </c>
      <c r="BG159" s="36">
        <v>5</v>
      </c>
      <c r="BH159" s="36">
        <v>5</v>
      </c>
      <c r="BI159" s="36">
        <v>4</v>
      </c>
      <c r="BJ159" s="36">
        <v>5</v>
      </c>
      <c r="BK159" s="36">
        <v>5</v>
      </c>
      <c r="BL159" s="36">
        <v>5</v>
      </c>
      <c r="BM159" s="36">
        <v>5</v>
      </c>
      <c r="BN159" s="36">
        <v>5</v>
      </c>
      <c r="BO159" s="36">
        <v>5</v>
      </c>
      <c r="BP159" s="36">
        <v>5</v>
      </c>
      <c r="BQ159" s="36">
        <v>5</v>
      </c>
      <c r="BR159" s="36">
        <v>5</v>
      </c>
      <c r="BS159" s="36">
        <v>3</v>
      </c>
      <c r="BT159" s="36">
        <v>5</v>
      </c>
      <c r="BU159" s="36">
        <v>5</v>
      </c>
      <c r="BV159" s="36">
        <v>5</v>
      </c>
      <c r="BW159" s="36">
        <v>5</v>
      </c>
      <c r="BX159" s="36">
        <v>5</v>
      </c>
      <c r="BY159" s="36">
        <v>5</v>
      </c>
      <c r="BZ159" s="36">
        <v>5</v>
      </c>
      <c r="CA159" s="36">
        <v>5</v>
      </c>
      <c r="CB159" s="36">
        <v>5</v>
      </c>
      <c r="CC159" s="36">
        <v>5</v>
      </c>
      <c r="CD159" s="36">
        <v>5</v>
      </c>
      <c r="CE159" s="36">
        <v>5</v>
      </c>
      <c r="CF159" s="36">
        <v>5</v>
      </c>
      <c r="CG159" s="36">
        <v>3</v>
      </c>
      <c r="CH159" s="36" t="s">
        <v>229</v>
      </c>
      <c r="CI159"/>
      <c r="CJ159"/>
      <c r="CK159" s="36" t="s">
        <v>239</v>
      </c>
      <c r="CL159"/>
      <c r="CM159"/>
      <c r="CN159" s="36" t="s">
        <v>242</v>
      </c>
      <c r="CO159" s="36" t="s">
        <v>134</v>
      </c>
      <c r="CP159" s="36">
        <v>5</v>
      </c>
      <c r="CQ159" s="36">
        <v>5</v>
      </c>
      <c r="CR159" s="36" t="s">
        <v>248</v>
      </c>
      <c r="CS159" s="36">
        <v>4</v>
      </c>
      <c r="CT159" s="36">
        <v>4</v>
      </c>
      <c r="CU159" s="36">
        <v>4</v>
      </c>
      <c r="CV159" s="36">
        <v>4</v>
      </c>
      <c r="CW159" s="36">
        <v>4</v>
      </c>
      <c r="CX159" s="36">
        <v>4</v>
      </c>
      <c r="CY159" s="36">
        <v>4</v>
      </c>
      <c r="CZ159" s="36">
        <v>5</v>
      </c>
      <c r="DA159" s="36">
        <v>4</v>
      </c>
      <c r="DB159" s="36">
        <v>4</v>
      </c>
      <c r="DC159" s="36">
        <v>4</v>
      </c>
      <c r="DD159" s="36">
        <v>5</v>
      </c>
      <c r="DE159" s="36">
        <v>4</v>
      </c>
      <c r="DF159" s="36">
        <v>5</v>
      </c>
      <c r="DG159" s="36">
        <v>5</v>
      </c>
      <c r="DH159" s="36">
        <v>5</v>
      </c>
      <c r="DI159" s="36" t="s">
        <v>250</v>
      </c>
      <c r="DJ159" s="36" t="s">
        <v>133</v>
      </c>
      <c r="DK159" s="36" t="s">
        <v>255</v>
      </c>
      <c r="DL159"/>
      <c r="DM159"/>
      <c r="DN159"/>
      <c r="DO159"/>
      <c r="DP159"/>
      <c r="DQ159" s="36">
        <v>5</v>
      </c>
      <c r="DR159" s="36" t="s">
        <v>133</v>
      </c>
      <c r="DS159" s="36" t="s">
        <v>259</v>
      </c>
      <c r="DT159"/>
      <c r="DU159"/>
      <c r="DV159"/>
      <c r="DW159"/>
      <c r="DX159"/>
      <c r="DY159" s="36">
        <v>5</v>
      </c>
      <c r="DZ159" s="36" t="s">
        <v>133</v>
      </c>
      <c r="EA159" s="36">
        <v>5</v>
      </c>
      <c r="EB159" s="36" t="s">
        <v>263</v>
      </c>
      <c r="EC159" s="36" t="s">
        <v>267</v>
      </c>
      <c r="ED159" s="36">
        <v>26</v>
      </c>
      <c r="EE159" s="36" t="s">
        <v>292</v>
      </c>
      <c r="EF159" s="36" t="str">
        <f>Tabulacao!MC159</f>
        <v>Aracaju</v>
      </c>
      <c r="EG159" s="36" t="s">
        <v>292</v>
      </c>
      <c r="EH159" s="36" t="str">
        <f>Tabulacao!MG159</f>
        <v>Aracaju</v>
      </c>
      <c r="EI159" s="36" t="s">
        <v>292</v>
      </c>
      <c r="EJ159" s="36" t="str">
        <f>Tabulacao!MK159</f>
        <v>Aracaju</v>
      </c>
      <c r="EK159" s="36" t="s">
        <v>134</v>
      </c>
      <c r="EL159" s="36" t="s">
        <v>134</v>
      </c>
      <c r="EM159" s="36" t="s">
        <v>134</v>
      </c>
      <c r="EN159" s="36" t="s">
        <v>134</v>
      </c>
      <c r="EO159" s="36" t="s">
        <v>134</v>
      </c>
      <c r="EP159" s="36" t="s">
        <v>134</v>
      </c>
      <c r="EQ159" s="36" t="s">
        <v>274</v>
      </c>
      <c r="ER159" s="36" t="str">
        <f>IF(OR(EQ159=CaractAmostra!$BD$9,EQ159=CaractAmostra!$BD$10,EQ159=CaractAmostra!$BD$11,EQ159=CaractAmostra!$BD$12,EQ159=CaractAmostra!$BD$13),Respostas_Formatadas!EQ159,"Outros")</f>
        <v>Com um(a) parceiro(a)</v>
      </c>
      <c r="ES159" s="36" t="s">
        <v>274</v>
      </c>
      <c r="ET159" s="36" t="str">
        <f>IF(OR(ES159=CaractAmostra!$BH$9,ES159=CaractAmostra!$BH$10,ES159=CaractAmostra!$BH$11,ES159=CaractAmostra!$BH$12),Respostas_Formatadas!ES159,"Outros")</f>
        <v>Com um(a) parceiro(a)</v>
      </c>
      <c r="EU159" s="36" t="s">
        <v>134</v>
      </c>
      <c r="EV159" s="36" t="s">
        <v>283</v>
      </c>
      <c r="EW159" s="36" t="s">
        <v>283</v>
      </c>
      <c r="FE159" s="47">
        <v>2016</v>
      </c>
      <c r="FF159" s="97">
        <v>7.0175999999999998</v>
      </c>
      <c r="FG159" s="47">
        <v>2016</v>
      </c>
      <c r="FH159" s="47">
        <f t="shared" si="6"/>
        <v>0</v>
      </c>
      <c r="FI159" s="47" t="str">
        <f t="shared" si="4"/>
        <v>Aracaju</v>
      </c>
      <c r="FJ159" s="47" t="str">
        <f t="shared" si="5"/>
        <v>Licenciatura</v>
      </c>
    </row>
    <row r="160" spans="1:166" s="36" customFormat="1" ht="15.75" customHeight="1" x14ac:dyDescent="0.2">
      <c r="A160" s="38">
        <v>43418.829864432875</v>
      </c>
      <c r="C160" s="36" t="s">
        <v>119</v>
      </c>
      <c r="D160" s="47" t="s">
        <v>134</v>
      </c>
      <c r="M160" s="36" t="s">
        <v>149</v>
      </c>
      <c r="N160" s="36" t="s">
        <v>133</v>
      </c>
      <c r="O160" s="36" t="s">
        <v>133</v>
      </c>
      <c r="P160" s="36" t="s">
        <v>134</v>
      </c>
      <c r="Q160" s="36" t="s">
        <v>134</v>
      </c>
      <c r="R160" s="36" t="s">
        <v>151</v>
      </c>
      <c r="Y160" s="36" t="s">
        <v>165</v>
      </c>
      <c r="Z160" s="36" t="s">
        <v>167</v>
      </c>
      <c r="AA160" s="36" t="s">
        <v>174</v>
      </c>
      <c r="AB160" s="36" t="s">
        <v>179</v>
      </c>
      <c r="AD160" s="36" t="s">
        <v>584</v>
      </c>
      <c r="AE160" s="36">
        <v>5</v>
      </c>
      <c r="AF160" s="36" t="s">
        <v>190</v>
      </c>
      <c r="AG160" s="36" t="s">
        <v>190</v>
      </c>
      <c r="AH160" s="36" t="s">
        <v>134</v>
      </c>
      <c r="AI160" s="40">
        <v>3500</v>
      </c>
      <c r="AJ160" s="36">
        <v>3</v>
      </c>
      <c r="AK160" s="36">
        <v>3</v>
      </c>
      <c r="AL160" s="36" t="s">
        <v>133</v>
      </c>
      <c r="AP160" s="36" t="s">
        <v>584</v>
      </c>
      <c r="AQ160" s="40">
        <v>3500</v>
      </c>
      <c r="AR160" s="36">
        <v>3</v>
      </c>
      <c r="AS160" s="36">
        <v>3</v>
      </c>
      <c r="AT160" s="36">
        <v>3</v>
      </c>
      <c r="AU160" s="36">
        <v>2</v>
      </c>
      <c r="AV160" s="36">
        <v>3</v>
      </c>
      <c r="AW160" s="36" t="s">
        <v>192</v>
      </c>
      <c r="AX160" s="36" t="s">
        <v>207</v>
      </c>
      <c r="AY160" s="36" t="s">
        <v>692</v>
      </c>
      <c r="AZ160" s="36" t="s">
        <v>133</v>
      </c>
      <c r="BA160" s="36" t="s">
        <v>167</v>
      </c>
      <c r="BB160" s="36" t="s">
        <v>693</v>
      </c>
      <c r="BC160" s="36" t="s">
        <v>1306</v>
      </c>
      <c r="BD160" s="36" t="s">
        <v>190</v>
      </c>
      <c r="BG160" s="36">
        <v>5</v>
      </c>
      <c r="BH160" s="36">
        <v>3</v>
      </c>
      <c r="BI160" s="36">
        <v>5</v>
      </c>
      <c r="BJ160" s="36">
        <v>3</v>
      </c>
      <c r="BK160" s="36">
        <v>3</v>
      </c>
      <c r="BL160" s="36">
        <v>3</v>
      </c>
      <c r="BM160" s="36">
        <v>3</v>
      </c>
      <c r="BN160" s="36">
        <v>5</v>
      </c>
      <c r="BO160" s="36">
        <v>4</v>
      </c>
      <c r="BP160" s="36">
        <v>3</v>
      </c>
      <c r="BQ160" s="36">
        <v>3</v>
      </c>
      <c r="BR160" s="36">
        <v>3</v>
      </c>
      <c r="BS160" s="36">
        <v>1</v>
      </c>
      <c r="BT160" s="36">
        <v>3</v>
      </c>
      <c r="BU160" s="36">
        <v>3</v>
      </c>
      <c r="BV160" s="36">
        <v>3</v>
      </c>
      <c r="BW160" s="36">
        <v>3</v>
      </c>
      <c r="BX160" s="36">
        <v>2</v>
      </c>
      <c r="BY160" s="36">
        <v>2</v>
      </c>
      <c r="BZ160" s="36">
        <v>3</v>
      </c>
      <c r="CA160" s="36">
        <v>3</v>
      </c>
      <c r="CB160" s="36">
        <v>3</v>
      </c>
      <c r="CC160" s="36">
        <v>3</v>
      </c>
      <c r="CD160" s="36">
        <v>2</v>
      </c>
      <c r="CE160" s="36">
        <v>3</v>
      </c>
      <c r="CF160" s="36">
        <v>1</v>
      </c>
      <c r="CG160" s="36">
        <v>3</v>
      </c>
      <c r="CH160" s="36" t="s">
        <v>222</v>
      </c>
      <c r="CI160" t="s">
        <v>225</v>
      </c>
      <c r="CJ160" t="s">
        <v>229</v>
      </c>
      <c r="CK160" s="36" t="s">
        <v>235</v>
      </c>
      <c r="CL160" t="s">
        <v>239</v>
      </c>
      <c r="CM160" t="s">
        <v>240</v>
      </c>
      <c r="CN160" s="36" t="s">
        <v>241</v>
      </c>
      <c r="CO160" s="36" t="s">
        <v>133</v>
      </c>
      <c r="CP160" s="36">
        <v>3</v>
      </c>
      <c r="CQ160" s="36">
        <v>4</v>
      </c>
      <c r="CR160" s="36" t="s">
        <v>248</v>
      </c>
      <c r="CS160" s="36">
        <v>3</v>
      </c>
      <c r="CT160" s="36">
        <v>2</v>
      </c>
      <c r="CU160" s="36">
        <v>2</v>
      </c>
      <c r="CV160" s="36">
        <v>2</v>
      </c>
      <c r="CW160" s="36">
        <v>3</v>
      </c>
      <c r="CX160" s="36">
        <v>3</v>
      </c>
      <c r="CY160" s="36">
        <v>3</v>
      </c>
      <c r="CZ160" s="36">
        <v>4</v>
      </c>
      <c r="DA160" s="36">
        <v>3</v>
      </c>
      <c r="DB160" s="36">
        <v>3</v>
      </c>
      <c r="DC160" s="36">
        <v>3</v>
      </c>
      <c r="DD160" s="36">
        <v>3</v>
      </c>
      <c r="DE160" s="36">
        <v>4</v>
      </c>
      <c r="DF160" s="36">
        <v>4</v>
      </c>
      <c r="DG160" s="36">
        <v>4</v>
      </c>
      <c r="DH160" s="36">
        <v>2</v>
      </c>
      <c r="DI160" s="36" t="s">
        <v>251</v>
      </c>
      <c r="DJ160" s="36" t="s">
        <v>134</v>
      </c>
      <c r="DL160"/>
      <c r="DM160"/>
      <c r="DN160"/>
      <c r="DO160"/>
      <c r="DP160"/>
      <c r="DR160" s="36" t="s">
        <v>134</v>
      </c>
      <c r="DT160"/>
      <c r="DU160"/>
      <c r="DV160"/>
      <c r="DW160"/>
      <c r="DX160"/>
      <c r="DZ160" s="36" t="s">
        <v>133</v>
      </c>
      <c r="EA160" s="36">
        <v>5</v>
      </c>
      <c r="EB160" s="36" t="s">
        <v>262</v>
      </c>
      <c r="EC160" s="36" t="s">
        <v>267</v>
      </c>
      <c r="ED160" s="36">
        <v>27</v>
      </c>
      <c r="EE160" s="36" t="s">
        <v>399</v>
      </c>
      <c r="EF160" s="36" t="str">
        <f>Tabulacao!MC160</f>
        <v>São Cristóvão</v>
      </c>
      <c r="EG160" s="36" t="s">
        <v>399</v>
      </c>
      <c r="EH160" s="36" t="str">
        <f>Tabulacao!MG160</f>
        <v>São Cristóvão</v>
      </c>
      <c r="EI160" s="36" t="s">
        <v>694</v>
      </c>
      <c r="EJ160" s="36" t="str">
        <f>Tabulacao!MK160</f>
        <v>Macapá - AP</v>
      </c>
      <c r="EK160" s="36" t="s">
        <v>134</v>
      </c>
      <c r="EL160" s="36" t="s">
        <v>134</v>
      </c>
      <c r="EM160" s="36" t="s">
        <v>134</v>
      </c>
      <c r="EN160" s="36" t="s">
        <v>134</v>
      </c>
      <c r="EO160" s="36" t="s">
        <v>134</v>
      </c>
      <c r="EP160" s="36" t="s">
        <v>134</v>
      </c>
      <c r="EQ160" s="36" t="s">
        <v>275</v>
      </c>
      <c r="ER160" s="36" t="str">
        <f>IF(OR(EQ160=CaractAmostra!$BD$9,EQ160=CaractAmostra!$BD$10,EQ160=CaractAmostra!$BD$11,EQ160=CaractAmostra!$BD$12,EQ160=CaractAmostra!$BD$13),Respostas_Formatadas!EQ160,"Outros")</f>
        <v>Com os pais</v>
      </c>
      <c r="ES160" s="36" t="s">
        <v>278</v>
      </c>
      <c r="ET160" s="36" t="str">
        <f>IF(OR(ES160=CaractAmostra!$BH$9,ES160=CaractAmostra!$BH$10,ES160=CaractAmostra!$BH$11,ES160=CaractAmostra!$BH$12),Respostas_Formatadas!ES160,"Outros")</f>
        <v>Divido residência com outras pessoas</v>
      </c>
      <c r="EU160" s="36" t="s">
        <v>134</v>
      </c>
      <c r="EV160" s="36" t="s">
        <v>285</v>
      </c>
      <c r="EW160" s="36" t="s">
        <v>284</v>
      </c>
      <c r="FE160" s="47">
        <v>2018</v>
      </c>
      <c r="FF160" s="97">
        <v>7.3362999999999996</v>
      </c>
      <c r="FG160" s="47">
        <v>2017</v>
      </c>
      <c r="FH160" s="47">
        <f t="shared" si="6"/>
        <v>-1</v>
      </c>
      <c r="FI160" s="47" t="str">
        <f t="shared" si="4"/>
        <v>Aracaju</v>
      </c>
      <c r="FJ160" s="47" t="str">
        <f t="shared" si="5"/>
        <v>Bacharelado</v>
      </c>
    </row>
    <row r="161" spans="1:166" s="36" customFormat="1" ht="15.75" customHeight="1" x14ac:dyDescent="0.2">
      <c r="A161" s="38">
        <v>43418.834812094909</v>
      </c>
      <c r="C161" s="36" t="s">
        <v>122</v>
      </c>
      <c r="D161" s="47" t="s">
        <v>134</v>
      </c>
      <c r="M161" s="36" t="s">
        <v>146</v>
      </c>
      <c r="N161" s="36" t="s">
        <v>134</v>
      </c>
      <c r="O161" s="36" t="s">
        <v>133</v>
      </c>
      <c r="P161" s="36" t="s">
        <v>133</v>
      </c>
      <c r="Q161" s="36" t="s">
        <v>133</v>
      </c>
      <c r="R161" s="36" t="s">
        <v>153</v>
      </c>
      <c r="S161" s="36" t="s">
        <v>725</v>
      </c>
      <c r="T161" s="36" t="s">
        <v>154</v>
      </c>
      <c r="U161" s="36" t="s">
        <v>156</v>
      </c>
      <c r="V161" s="36">
        <v>1</v>
      </c>
      <c r="W161" s="36">
        <v>2</v>
      </c>
      <c r="X161" s="36">
        <v>3</v>
      </c>
      <c r="Y161" s="36" t="s">
        <v>165</v>
      </c>
      <c r="Z161" s="36" t="s">
        <v>169</v>
      </c>
      <c r="AA161" s="36" t="s">
        <v>173</v>
      </c>
      <c r="AB161" s="36" t="s">
        <v>184</v>
      </c>
      <c r="AD161" s="36" t="s">
        <v>388</v>
      </c>
      <c r="AE161" s="36">
        <v>5</v>
      </c>
      <c r="AF161" s="36" t="s">
        <v>190</v>
      </c>
      <c r="AG161" s="36" t="s">
        <v>190</v>
      </c>
      <c r="AH161" s="36" t="s">
        <v>134</v>
      </c>
      <c r="AI161" s="40">
        <v>1600</v>
      </c>
      <c r="AJ161" s="36">
        <v>5</v>
      </c>
      <c r="AK161" s="36">
        <v>5</v>
      </c>
      <c r="AL161" s="36" t="s">
        <v>133</v>
      </c>
      <c r="AP161" s="36" t="s">
        <v>388</v>
      </c>
      <c r="AQ161" s="40">
        <v>1600</v>
      </c>
      <c r="AR161" s="36">
        <v>3</v>
      </c>
      <c r="AS161" s="36">
        <v>5</v>
      </c>
      <c r="AT161" s="36">
        <v>1</v>
      </c>
      <c r="AU161" s="36">
        <v>3</v>
      </c>
      <c r="AV161" s="36">
        <v>4</v>
      </c>
      <c r="AW161" s="36" t="s">
        <v>192</v>
      </c>
      <c r="AX161" s="36" t="s">
        <v>205</v>
      </c>
      <c r="AY161" s="36" t="s">
        <v>209</v>
      </c>
      <c r="AZ161" s="36" t="s">
        <v>134</v>
      </c>
      <c r="BA161" s="36" t="s">
        <v>167</v>
      </c>
      <c r="BB161" s="36" t="s">
        <v>695</v>
      </c>
      <c r="BC161" s="36" t="s">
        <v>325</v>
      </c>
      <c r="BD161" s="36" t="s">
        <v>190</v>
      </c>
      <c r="BG161" s="36">
        <v>5</v>
      </c>
      <c r="BH161" s="36">
        <v>3</v>
      </c>
      <c r="BI161" s="36">
        <v>5</v>
      </c>
      <c r="BJ161" s="36">
        <v>3</v>
      </c>
      <c r="BK161" s="36">
        <v>5</v>
      </c>
      <c r="BL161" s="36">
        <v>5</v>
      </c>
      <c r="BM161" s="36">
        <v>5</v>
      </c>
      <c r="BN161" s="36">
        <v>4</v>
      </c>
      <c r="BO161" s="36">
        <v>5</v>
      </c>
      <c r="BP161" s="36">
        <v>5</v>
      </c>
      <c r="BQ161" s="36">
        <v>3</v>
      </c>
      <c r="BR161" s="36">
        <v>2</v>
      </c>
      <c r="BS161" s="36">
        <v>1</v>
      </c>
      <c r="BT161" s="36">
        <v>4</v>
      </c>
      <c r="BU161" s="36">
        <v>3</v>
      </c>
      <c r="BV161" s="36">
        <v>3</v>
      </c>
      <c r="BW161" s="36">
        <v>3</v>
      </c>
      <c r="BX161" s="36">
        <v>4</v>
      </c>
      <c r="BY161" s="36">
        <v>4</v>
      </c>
      <c r="BZ161" s="36">
        <v>4</v>
      </c>
      <c r="CA161" s="36">
        <v>4</v>
      </c>
      <c r="CB161" s="36">
        <v>3</v>
      </c>
      <c r="CC161" s="36">
        <v>3</v>
      </c>
      <c r="CD161" s="36">
        <v>2</v>
      </c>
      <c r="CE161" s="36">
        <v>4</v>
      </c>
      <c r="CF161" s="36">
        <v>1</v>
      </c>
      <c r="CG161" s="36">
        <v>5</v>
      </c>
      <c r="CH161" s="36" t="s">
        <v>224</v>
      </c>
      <c r="CI161"/>
      <c r="CJ161"/>
      <c r="CK161" s="36" t="s">
        <v>232</v>
      </c>
      <c r="CL161"/>
      <c r="CM161"/>
      <c r="CN161" s="36" t="s">
        <v>242</v>
      </c>
      <c r="CO161" s="36" t="s">
        <v>134</v>
      </c>
      <c r="CP161" s="36">
        <v>1</v>
      </c>
      <c r="CQ161" s="36">
        <v>3</v>
      </c>
      <c r="CR161" s="36" t="s">
        <v>248</v>
      </c>
      <c r="CS161" s="36">
        <v>4</v>
      </c>
      <c r="CT161" s="36">
        <v>4</v>
      </c>
      <c r="CU161" s="36">
        <v>4</v>
      </c>
      <c r="CV161" s="36">
        <v>3</v>
      </c>
      <c r="CW161" s="36">
        <v>4</v>
      </c>
      <c r="CX161" s="36">
        <v>5</v>
      </c>
      <c r="CY161" s="36">
        <v>3</v>
      </c>
      <c r="CZ161" s="36">
        <v>4</v>
      </c>
      <c r="DA161" s="36">
        <v>4</v>
      </c>
      <c r="DB161" s="36">
        <v>4</v>
      </c>
      <c r="DC161" s="36">
        <v>2</v>
      </c>
      <c r="DD161" s="36">
        <v>4</v>
      </c>
      <c r="DE161" s="36">
        <v>4</v>
      </c>
      <c r="DF161" s="36">
        <v>4</v>
      </c>
      <c r="DG161" s="36">
        <v>3</v>
      </c>
      <c r="DH161" s="36">
        <v>3</v>
      </c>
      <c r="DI161" s="36" t="s">
        <v>133</v>
      </c>
      <c r="DJ161" s="36" t="s">
        <v>134</v>
      </c>
      <c r="DL161"/>
      <c r="DM161"/>
      <c r="DN161"/>
      <c r="DO161"/>
      <c r="DP161"/>
      <c r="DR161" s="36" t="s">
        <v>134</v>
      </c>
      <c r="DT161"/>
      <c r="DU161"/>
      <c r="DV161"/>
      <c r="DW161"/>
      <c r="DX161"/>
      <c r="DZ161" s="36" t="s">
        <v>134</v>
      </c>
      <c r="EB161" s="36" t="s">
        <v>263</v>
      </c>
      <c r="EC161" s="36" t="s">
        <v>264</v>
      </c>
      <c r="ED161" s="36">
        <v>33</v>
      </c>
      <c r="EE161" s="36" t="s">
        <v>458</v>
      </c>
      <c r="EF161" s="36" t="str">
        <f>Tabulacao!MC161</f>
        <v>Aracaju</v>
      </c>
      <c r="EG161" s="36" t="s">
        <v>292</v>
      </c>
      <c r="EH161" s="36" t="str">
        <f>Tabulacao!MG161</f>
        <v>Aracaju</v>
      </c>
      <c r="EI161" s="36" t="s">
        <v>696</v>
      </c>
      <c r="EJ161" s="36" t="str">
        <f>Tabulacao!MK161</f>
        <v>Estância</v>
      </c>
      <c r="EK161" s="36" t="s">
        <v>134</v>
      </c>
      <c r="EL161" s="36" t="s">
        <v>134</v>
      </c>
      <c r="EM161" s="36" t="s">
        <v>134</v>
      </c>
      <c r="EN161" s="36" t="s">
        <v>134</v>
      </c>
      <c r="EO161" s="36" t="s">
        <v>134</v>
      </c>
      <c r="EP161" s="36" t="s">
        <v>134</v>
      </c>
      <c r="EQ161" s="36" t="s">
        <v>275</v>
      </c>
      <c r="ER161" s="36" t="str">
        <f>IF(OR(EQ161=CaractAmostra!$BD$9,EQ161=CaractAmostra!$BD$10,EQ161=CaractAmostra!$BD$11,EQ161=CaractAmostra!$BD$12,EQ161=CaractAmostra!$BD$13),Respostas_Formatadas!EQ161,"Outros")</f>
        <v>Com os pais</v>
      </c>
      <c r="ES161" s="36" t="s">
        <v>274</v>
      </c>
      <c r="ET161" s="36" t="str">
        <f>IF(OR(ES161=CaractAmostra!$BH$9,ES161=CaractAmostra!$BH$10,ES161=CaractAmostra!$BH$11,ES161=CaractAmostra!$BH$12),Respostas_Formatadas!ES161,"Outros")</f>
        <v>Com um(a) parceiro(a)</v>
      </c>
      <c r="EU161" s="36" t="s">
        <v>134</v>
      </c>
      <c r="EV161" s="36" t="s">
        <v>282</v>
      </c>
      <c r="EW161" s="36" t="s">
        <v>282</v>
      </c>
      <c r="FE161" s="47">
        <v>2016</v>
      </c>
      <c r="FF161" s="97">
        <v>7.3581000000000003</v>
      </c>
      <c r="FG161" s="47">
        <v>2016</v>
      </c>
      <c r="FH161" s="47">
        <f t="shared" si="6"/>
        <v>0</v>
      </c>
      <c r="FI161" s="47" t="str">
        <f t="shared" si="4"/>
        <v>Aracaju</v>
      </c>
      <c r="FJ161" s="47" t="str">
        <f t="shared" si="5"/>
        <v>Licenciatura</v>
      </c>
    </row>
    <row r="162" spans="1:166" s="36" customFormat="1" ht="15.75" customHeight="1" x14ac:dyDescent="0.2">
      <c r="A162" s="38">
        <v>43418.90161134259</v>
      </c>
      <c r="C162" s="36" t="s">
        <v>126</v>
      </c>
      <c r="D162" s="47" t="s">
        <v>134</v>
      </c>
      <c r="M162" s="36" t="s">
        <v>146</v>
      </c>
      <c r="N162" s="36" t="s">
        <v>133</v>
      </c>
      <c r="O162" s="36" t="s">
        <v>133</v>
      </c>
      <c r="P162" s="36" t="s">
        <v>133</v>
      </c>
      <c r="Q162" s="36" t="s">
        <v>134</v>
      </c>
      <c r="R162" s="36" t="s">
        <v>152</v>
      </c>
      <c r="S162" s="36" t="s">
        <v>697</v>
      </c>
      <c r="T162" s="36" t="s">
        <v>154</v>
      </c>
      <c r="U162" s="36" t="s">
        <v>159</v>
      </c>
      <c r="V162" s="36">
        <v>1</v>
      </c>
      <c r="W162" s="36">
        <v>5</v>
      </c>
      <c r="X162" s="36">
        <v>5</v>
      </c>
      <c r="Y162" s="36" t="s">
        <v>165</v>
      </c>
      <c r="Z162" s="36" t="s">
        <v>167</v>
      </c>
      <c r="AA162" s="36" t="s">
        <v>171</v>
      </c>
      <c r="AB162" s="36" t="s">
        <v>181</v>
      </c>
      <c r="AD162" s="36" t="s">
        <v>698</v>
      </c>
      <c r="AE162" s="36">
        <v>3</v>
      </c>
      <c r="AF162" s="36" t="s">
        <v>189</v>
      </c>
      <c r="AG162" s="36" t="s">
        <v>189</v>
      </c>
      <c r="AH162" s="36" t="s">
        <v>134</v>
      </c>
      <c r="AI162" s="40">
        <v>1500</v>
      </c>
      <c r="AJ162" s="36">
        <v>3</v>
      </c>
      <c r="AK162" s="36">
        <v>5</v>
      </c>
      <c r="AL162" s="36" t="s">
        <v>134</v>
      </c>
      <c r="AM162" s="36" t="s">
        <v>170</v>
      </c>
      <c r="AN162" s="36">
        <v>1</v>
      </c>
      <c r="AO162" s="36" t="s">
        <v>133</v>
      </c>
      <c r="AP162" s="36" t="s">
        <v>699</v>
      </c>
      <c r="AQ162" s="40">
        <v>1500</v>
      </c>
      <c r="AR162" s="36">
        <v>3</v>
      </c>
      <c r="AS162" s="36">
        <v>3</v>
      </c>
      <c r="AT162" s="36">
        <v>5</v>
      </c>
      <c r="AU162" s="36">
        <v>3</v>
      </c>
      <c r="AV162" s="36">
        <v>2</v>
      </c>
      <c r="AW162" s="36" t="s">
        <v>700</v>
      </c>
      <c r="AX162" s="36" t="s">
        <v>207</v>
      </c>
      <c r="AY162" s="36" t="s">
        <v>210</v>
      </c>
      <c r="AZ162" s="36" t="s">
        <v>133</v>
      </c>
      <c r="BA162" s="36" t="s">
        <v>213</v>
      </c>
      <c r="BB162" s="36" t="s">
        <v>701</v>
      </c>
      <c r="BC162" s="36" t="s">
        <v>292</v>
      </c>
      <c r="BD162" s="36" t="s">
        <v>189</v>
      </c>
      <c r="BF162" s="36" t="s">
        <v>221</v>
      </c>
      <c r="BG162" s="36">
        <v>4</v>
      </c>
      <c r="BH162" s="36">
        <v>5</v>
      </c>
      <c r="BI162" s="36">
        <v>5</v>
      </c>
      <c r="BJ162" s="36">
        <v>1</v>
      </c>
      <c r="BK162" s="36">
        <v>2</v>
      </c>
      <c r="BL162" s="36">
        <v>3</v>
      </c>
      <c r="BM162" s="36">
        <v>3</v>
      </c>
      <c r="BN162" s="36">
        <v>3</v>
      </c>
      <c r="BO162" s="36">
        <v>4</v>
      </c>
      <c r="BP162" s="36">
        <v>2</v>
      </c>
      <c r="BQ162" s="36">
        <v>1</v>
      </c>
      <c r="BR162" s="36">
        <v>1</v>
      </c>
      <c r="BS162" s="36">
        <v>1</v>
      </c>
      <c r="BT162" s="36">
        <v>4</v>
      </c>
      <c r="BU162" s="36">
        <v>4</v>
      </c>
      <c r="BV162" s="36">
        <v>5</v>
      </c>
      <c r="BW162" s="36">
        <v>4</v>
      </c>
      <c r="BX162" s="36">
        <v>4</v>
      </c>
      <c r="BY162" s="36">
        <v>5</v>
      </c>
      <c r="BZ162" s="36">
        <v>5</v>
      </c>
      <c r="CA162" s="36">
        <v>4</v>
      </c>
      <c r="CB162" s="36">
        <v>5</v>
      </c>
      <c r="CC162" s="36">
        <v>4</v>
      </c>
      <c r="CD162" s="36">
        <v>3</v>
      </c>
      <c r="CE162" s="36">
        <v>4</v>
      </c>
      <c r="CF162" s="36">
        <v>1</v>
      </c>
      <c r="CG162" s="36">
        <v>2</v>
      </c>
      <c r="CH162" s="36" t="s">
        <v>222</v>
      </c>
      <c r="CI162" t="s">
        <v>225</v>
      </c>
      <c r="CJ162"/>
      <c r="CK162" s="36" t="s">
        <v>233</v>
      </c>
      <c r="CL162" t="s">
        <v>239</v>
      </c>
      <c r="CM162" t="s">
        <v>240</v>
      </c>
      <c r="CN162" s="36" t="s">
        <v>241</v>
      </c>
      <c r="CO162" s="36" t="s">
        <v>134</v>
      </c>
      <c r="CP162" s="36">
        <v>2</v>
      </c>
      <c r="CQ162" s="36">
        <v>4</v>
      </c>
      <c r="CR162" s="36" t="s">
        <v>249</v>
      </c>
      <c r="CS162" s="36">
        <v>4</v>
      </c>
      <c r="CT162" s="36">
        <v>1</v>
      </c>
      <c r="CU162" s="36">
        <v>1</v>
      </c>
      <c r="CV162" s="36">
        <v>1</v>
      </c>
      <c r="CW162" s="36">
        <v>5</v>
      </c>
      <c r="CX162" s="36">
        <v>5</v>
      </c>
      <c r="CY162" s="36">
        <v>4</v>
      </c>
      <c r="CZ162" s="36">
        <v>5</v>
      </c>
      <c r="DA162" s="36">
        <v>2</v>
      </c>
      <c r="DB162" s="36">
        <v>2</v>
      </c>
      <c r="DC162" s="36">
        <v>5</v>
      </c>
      <c r="DD162" s="36">
        <v>1</v>
      </c>
      <c r="DE162" s="36">
        <v>3</v>
      </c>
      <c r="DF162" s="36">
        <v>2</v>
      </c>
      <c r="DG162" s="36">
        <v>5</v>
      </c>
      <c r="DH162" s="36">
        <v>5</v>
      </c>
      <c r="DI162" s="36" t="s">
        <v>250</v>
      </c>
      <c r="DJ162" s="36" t="s">
        <v>134</v>
      </c>
      <c r="DL162"/>
      <c r="DM162"/>
      <c r="DN162"/>
      <c r="DO162"/>
      <c r="DP162"/>
      <c r="DR162" s="36" t="s">
        <v>134</v>
      </c>
      <c r="DT162"/>
      <c r="DU162"/>
      <c r="DV162"/>
      <c r="DW162"/>
      <c r="DX162"/>
      <c r="DZ162" s="36" t="s">
        <v>134</v>
      </c>
      <c r="EB162" s="36" t="s">
        <v>262</v>
      </c>
      <c r="EC162" s="36" t="s">
        <v>267</v>
      </c>
      <c r="ED162" s="36">
        <v>27</v>
      </c>
      <c r="EE162" s="36" t="s">
        <v>702</v>
      </c>
      <c r="EF162" s="36" t="str">
        <f>Tabulacao!MC162</f>
        <v>Alagoinhas - BA</v>
      </c>
      <c r="EG162" s="36" t="s">
        <v>291</v>
      </c>
      <c r="EH162" s="36" t="str">
        <f>Tabulacao!MG162</f>
        <v>Lagarto</v>
      </c>
      <c r="EI162" s="36" t="s">
        <v>292</v>
      </c>
      <c r="EJ162" s="36" t="str">
        <f>Tabulacao!MK162</f>
        <v>Aracaju</v>
      </c>
      <c r="EK162" s="36" t="s">
        <v>134</v>
      </c>
      <c r="EL162" s="36" t="s">
        <v>134</v>
      </c>
      <c r="EM162" s="36" t="s">
        <v>134</v>
      </c>
      <c r="EN162" s="36" t="s">
        <v>134</v>
      </c>
      <c r="EO162" s="36" t="s">
        <v>134</v>
      </c>
      <c r="EP162" s="36" t="s">
        <v>134</v>
      </c>
      <c r="EQ162" s="36" t="s">
        <v>273</v>
      </c>
      <c r="ER162" s="36" t="str">
        <f>IF(OR(EQ162=CaractAmostra!$BD$9,EQ162=CaractAmostra!$BD$10,EQ162=CaractAmostra!$BD$11,EQ162=CaractAmostra!$BD$12,EQ162=CaractAmostra!$BD$13),Respostas_Formatadas!EQ162,"Outros")</f>
        <v>Dividia residência com outras pessoas</v>
      </c>
      <c r="ES162" s="36" t="s">
        <v>278</v>
      </c>
      <c r="ET162" s="36" t="str">
        <f>IF(OR(ES162=CaractAmostra!$BH$9,ES162=CaractAmostra!$BH$10,ES162=CaractAmostra!$BH$11,ES162=CaractAmostra!$BH$12),Respostas_Formatadas!ES162,"Outros")</f>
        <v>Divido residência com outras pessoas</v>
      </c>
      <c r="EU162" s="36" t="s">
        <v>134</v>
      </c>
      <c r="EV162" s="36" t="s">
        <v>285</v>
      </c>
      <c r="EW162" s="36" t="s">
        <v>283</v>
      </c>
      <c r="FD162" s="36" t="s">
        <v>703</v>
      </c>
      <c r="FE162" s="47">
        <v>2018</v>
      </c>
      <c r="FF162" s="97">
        <v>7.1992000000000003</v>
      </c>
      <c r="FG162" s="47">
        <v>2017</v>
      </c>
      <c r="FH162" s="47">
        <f t="shared" si="6"/>
        <v>-1</v>
      </c>
      <c r="FI162" s="47" t="str">
        <f t="shared" si="4"/>
        <v>Lagarto</v>
      </c>
      <c r="FJ162" s="47" t="str">
        <f t="shared" si="5"/>
        <v>Tecnologia</v>
      </c>
    </row>
    <row r="163" spans="1:166" s="36" customFormat="1" ht="15.75" customHeight="1" x14ac:dyDescent="0.2">
      <c r="A163" s="38">
        <v>43419.417561180555</v>
      </c>
      <c r="C163" s="36" t="s">
        <v>121</v>
      </c>
      <c r="D163" s="47" t="s">
        <v>133</v>
      </c>
      <c r="E163" s="36" t="s">
        <v>138</v>
      </c>
      <c r="H163" s="36" t="s">
        <v>144</v>
      </c>
      <c r="M163" s="36" t="s">
        <v>146</v>
      </c>
      <c r="N163" s="36" t="s">
        <v>134</v>
      </c>
      <c r="O163" s="36" t="s">
        <v>134</v>
      </c>
      <c r="P163" s="36" t="s">
        <v>134</v>
      </c>
      <c r="Q163" s="36" t="s">
        <v>134</v>
      </c>
      <c r="R163" s="36" t="s">
        <v>151</v>
      </c>
      <c r="Y163" s="36" t="s">
        <v>134</v>
      </c>
      <c r="AI163" s="40"/>
      <c r="AQ163" s="40"/>
      <c r="BT163" s="36">
        <v>3</v>
      </c>
      <c r="BU163" s="36">
        <v>2</v>
      </c>
      <c r="BV163" s="36">
        <v>4</v>
      </c>
      <c r="BW163" s="36">
        <v>4</v>
      </c>
      <c r="BX163" s="36">
        <v>4</v>
      </c>
      <c r="BY163" s="36">
        <v>5</v>
      </c>
      <c r="BZ163" s="36">
        <v>3</v>
      </c>
      <c r="CA163" s="36">
        <v>4</v>
      </c>
      <c r="CB163" s="36">
        <v>4</v>
      </c>
      <c r="CC163" s="36">
        <v>3</v>
      </c>
      <c r="CD163" s="36">
        <v>3</v>
      </c>
      <c r="CE163" s="36">
        <v>2</v>
      </c>
      <c r="CF163" s="36">
        <v>1</v>
      </c>
      <c r="CG163" s="36">
        <v>2</v>
      </c>
      <c r="CH163" s="36" t="s">
        <v>222</v>
      </c>
      <c r="CI163"/>
      <c r="CJ163"/>
      <c r="CK163" s="36" t="s">
        <v>240</v>
      </c>
      <c r="CL163"/>
      <c r="CM163"/>
      <c r="CN163" s="36" t="s">
        <v>242</v>
      </c>
      <c r="CO163" s="36" t="s">
        <v>134</v>
      </c>
      <c r="CP163" s="36">
        <v>4</v>
      </c>
      <c r="CQ163" s="36">
        <v>4</v>
      </c>
      <c r="CR163" s="36" t="s">
        <v>248</v>
      </c>
      <c r="CS163" s="36">
        <v>3</v>
      </c>
      <c r="CT163" s="36">
        <v>2</v>
      </c>
      <c r="CU163" s="36">
        <v>4</v>
      </c>
      <c r="CV163" s="36">
        <v>1</v>
      </c>
      <c r="CW163" s="36">
        <v>2</v>
      </c>
      <c r="CX163" s="36">
        <v>4</v>
      </c>
      <c r="CY163" s="36">
        <v>3</v>
      </c>
      <c r="CZ163" s="36">
        <v>3</v>
      </c>
      <c r="DA163" s="36">
        <v>1</v>
      </c>
      <c r="DB163" s="36">
        <v>3</v>
      </c>
      <c r="DC163" s="36">
        <v>3</v>
      </c>
      <c r="DD163" s="36">
        <v>4</v>
      </c>
      <c r="DE163" s="36">
        <v>3</v>
      </c>
      <c r="DF163" s="36">
        <v>3</v>
      </c>
      <c r="DG163" s="36">
        <v>4</v>
      </c>
      <c r="DH163" s="36">
        <v>2</v>
      </c>
      <c r="DI163" s="36" t="s">
        <v>133</v>
      </c>
      <c r="DJ163" s="36" t="s">
        <v>133</v>
      </c>
      <c r="DK163" s="36" t="s">
        <v>255</v>
      </c>
      <c r="DL163"/>
      <c r="DM163"/>
      <c r="DN163"/>
      <c r="DO163"/>
      <c r="DP163"/>
      <c r="DQ163" s="36">
        <v>5</v>
      </c>
      <c r="DR163" s="36" t="s">
        <v>133</v>
      </c>
      <c r="DS163" s="36" t="s">
        <v>259</v>
      </c>
      <c r="DT163"/>
      <c r="DU163"/>
      <c r="DV163"/>
      <c r="DW163"/>
      <c r="DX163"/>
      <c r="DY163" s="36">
        <v>2</v>
      </c>
      <c r="DZ163" s="36" t="s">
        <v>133</v>
      </c>
      <c r="EA163" s="36">
        <v>5</v>
      </c>
      <c r="EB163" s="36" t="s">
        <v>262</v>
      </c>
      <c r="EC163" s="36" t="s">
        <v>265</v>
      </c>
      <c r="ED163" s="36">
        <v>30</v>
      </c>
      <c r="EE163" s="36" t="s">
        <v>292</v>
      </c>
      <c r="EF163" s="36" t="str">
        <f>Tabulacao!MC163</f>
        <v>Aracaju</v>
      </c>
      <c r="EG163" s="36" t="s">
        <v>292</v>
      </c>
      <c r="EH163" s="36" t="str">
        <f>Tabulacao!MG163</f>
        <v>Aracaju</v>
      </c>
      <c r="EI163" s="36" t="s">
        <v>292</v>
      </c>
      <c r="EJ163" s="36" t="str">
        <f>Tabulacao!MK163</f>
        <v>Aracaju</v>
      </c>
      <c r="EK163" s="36" t="s">
        <v>134</v>
      </c>
      <c r="EL163" s="36" t="s">
        <v>134</v>
      </c>
      <c r="EM163" s="36" t="s">
        <v>134</v>
      </c>
      <c r="EN163" s="36" t="s">
        <v>270</v>
      </c>
      <c r="EO163" s="36" t="s">
        <v>134</v>
      </c>
      <c r="EP163" s="36" t="s">
        <v>134</v>
      </c>
      <c r="EQ163" s="36" t="s">
        <v>275</v>
      </c>
      <c r="ER163" s="36" t="str">
        <f>IF(OR(EQ163=CaractAmostra!$BD$9,EQ163=CaractAmostra!$BD$10,EQ163=CaractAmostra!$BD$11,EQ163=CaractAmostra!$BD$12,EQ163=CaractAmostra!$BD$13),Respostas_Formatadas!EQ163,"Outros")</f>
        <v>Com os pais</v>
      </c>
      <c r="ES163" s="36" t="s">
        <v>274</v>
      </c>
      <c r="ET163" s="36" t="str">
        <f>IF(OR(ES163=CaractAmostra!$BH$9,ES163=CaractAmostra!$BH$10,ES163=CaractAmostra!$BH$11,ES163=CaractAmostra!$BH$12),Respostas_Formatadas!ES163,"Outros")</f>
        <v>Com um(a) parceiro(a)</v>
      </c>
      <c r="EU163" s="36" t="s">
        <v>134</v>
      </c>
      <c r="EV163" s="36" t="s">
        <v>282</v>
      </c>
      <c r="EW163" s="36" t="s">
        <v>284</v>
      </c>
      <c r="FD163" s="36" t="s">
        <v>704</v>
      </c>
      <c r="FE163" s="47">
        <v>2013</v>
      </c>
      <c r="FF163" s="97">
        <v>7.4812000000000003</v>
      </c>
      <c r="FG163" s="47">
        <v>2013</v>
      </c>
      <c r="FH163" s="47">
        <f t="shared" si="6"/>
        <v>0</v>
      </c>
      <c r="FI163" s="47" t="str">
        <f t="shared" si="4"/>
        <v>Aracaju</v>
      </c>
      <c r="FJ163" s="47" t="str">
        <f t="shared" si="5"/>
        <v>Licenciatura</v>
      </c>
    </row>
    <row r="164" spans="1:166" s="36" customFormat="1" ht="15.75" customHeight="1" x14ac:dyDescent="0.2">
      <c r="A164" s="38">
        <v>43419.453081226849</v>
      </c>
      <c r="C164" s="36" t="s">
        <v>119</v>
      </c>
      <c r="D164" s="47" t="s">
        <v>134</v>
      </c>
      <c r="M164" s="36" t="s">
        <v>148</v>
      </c>
      <c r="N164" s="36" t="s">
        <v>134</v>
      </c>
      <c r="O164" s="36" t="s">
        <v>133</v>
      </c>
      <c r="P164" s="36" t="s">
        <v>134</v>
      </c>
      <c r="Q164" s="36" t="s">
        <v>133</v>
      </c>
      <c r="R164" s="36" t="s">
        <v>151</v>
      </c>
      <c r="Y164" s="36" t="s">
        <v>134</v>
      </c>
      <c r="AI164" s="40"/>
      <c r="AQ164" s="40"/>
      <c r="BT164" s="36">
        <v>3</v>
      </c>
      <c r="BU164" s="36">
        <v>4</v>
      </c>
      <c r="BV164" s="36">
        <v>5</v>
      </c>
      <c r="BW164" s="36">
        <v>4</v>
      </c>
      <c r="BX164" s="36">
        <v>4</v>
      </c>
      <c r="BY164" s="36">
        <v>4</v>
      </c>
      <c r="BZ164" s="36">
        <v>4</v>
      </c>
      <c r="CA164" s="36">
        <v>4</v>
      </c>
      <c r="CB164" s="36">
        <v>5</v>
      </c>
      <c r="CC164" s="36">
        <v>4</v>
      </c>
      <c r="CD164" s="36">
        <v>4</v>
      </c>
      <c r="CE164" s="36">
        <v>1</v>
      </c>
      <c r="CF164" s="36">
        <v>5</v>
      </c>
      <c r="CG164" s="36">
        <v>4</v>
      </c>
      <c r="CH164" s="36" t="s">
        <v>223</v>
      </c>
      <c r="CI164" t="s">
        <v>226</v>
      </c>
      <c r="CJ164" t="s">
        <v>229</v>
      </c>
      <c r="CK164" s="36" t="s">
        <v>232</v>
      </c>
      <c r="CL164" t="s">
        <v>236</v>
      </c>
      <c r="CM164" t="s">
        <v>238</v>
      </c>
      <c r="CN164" s="36" t="s">
        <v>241</v>
      </c>
      <c r="CO164" s="36" t="s">
        <v>134</v>
      </c>
      <c r="CP164" s="36">
        <v>4</v>
      </c>
      <c r="CQ164" s="36">
        <v>1</v>
      </c>
      <c r="CR164" s="36" t="s">
        <v>248</v>
      </c>
      <c r="CS164" s="36">
        <v>1</v>
      </c>
      <c r="CT164" s="36">
        <v>5</v>
      </c>
      <c r="CU164" s="36">
        <v>1</v>
      </c>
      <c r="CV164" s="36">
        <v>2</v>
      </c>
      <c r="CW164" s="36">
        <v>2</v>
      </c>
      <c r="CX164" s="36">
        <v>2</v>
      </c>
      <c r="CY164" s="36">
        <v>2</v>
      </c>
      <c r="CZ164" s="36">
        <v>2</v>
      </c>
      <c r="DA164" s="36">
        <v>2</v>
      </c>
      <c r="DB164" s="36">
        <v>1</v>
      </c>
      <c r="DC164" s="36">
        <v>2</v>
      </c>
      <c r="DD164" s="36">
        <v>5</v>
      </c>
      <c r="DE164" s="36">
        <v>4</v>
      </c>
      <c r="DF164" s="36">
        <v>4</v>
      </c>
      <c r="DG164" s="36">
        <v>4</v>
      </c>
      <c r="DH164" s="36">
        <v>5</v>
      </c>
      <c r="DI164" s="36" t="s">
        <v>252</v>
      </c>
      <c r="DJ164" s="36" t="s">
        <v>133</v>
      </c>
      <c r="DK164" s="36" t="s">
        <v>255</v>
      </c>
      <c r="DL164"/>
      <c r="DM164"/>
      <c r="DN164"/>
      <c r="DO164"/>
      <c r="DP164"/>
      <c r="DQ164" s="36">
        <v>2</v>
      </c>
      <c r="DR164" s="36" t="s">
        <v>133</v>
      </c>
      <c r="DS164" s="36" t="s">
        <v>259</v>
      </c>
      <c r="DT164"/>
      <c r="DU164"/>
      <c r="DV164" t="s">
        <v>260</v>
      </c>
      <c r="DW164"/>
      <c r="DX164"/>
      <c r="DY164" s="36">
        <v>4</v>
      </c>
      <c r="DZ164" s="36" t="s">
        <v>133</v>
      </c>
      <c r="EA164" s="36">
        <v>5</v>
      </c>
      <c r="EB164" s="36" t="s">
        <v>262</v>
      </c>
      <c r="EC164" s="36" t="s">
        <v>267</v>
      </c>
      <c r="ED164" s="36">
        <v>28</v>
      </c>
      <c r="EE164" s="36" t="s">
        <v>705</v>
      </c>
      <c r="EF164" s="36" t="str">
        <f>Tabulacao!MC164</f>
        <v>Itaberaba - BA</v>
      </c>
      <c r="EG164" s="36" t="s">
        <v>292</v>
      </c>
      <c r="EH164" s="36" t="str">
        <f>Tabulacao!MG164</f>
        <v>Aracaju</v>
      </c>
      <c r="EI164" s="36" t="s">
        <v>292</v>
      </c>
      <c r="EJ164" s="36" t="str">
        <f>Tabulacao!MK164</f>
        <v>Aracaju</v>
      </c>
      <c r="EK164" s="36" t="s">
        <v>271</v>
      </c>
      <c r="EL164" s="36" t="s">
        <v>134</v>
      </c>
      <c r="EM164" s="36" t="s">
        <v>134</v>
      </c>
      <c r="EN164" s="36" t="s">
        <v>134</v>
      </c>
      <c r="EO164" s="36" t="s">
        <v>134</v>
      </c>
      <c r="EP164" s="36" t="s">
        <v>134</v>
      </c>
      <c r="EQ164" s="36" t="s">
        <v>273</v>
      </c>
      <c r="ER164" s="36" t="str">
        <f>IF(OR(EQ164=CaractAmostra!$BD$9,EQ164=CaractAmostra!$BD$10,EQ164=CaractAmostra!$BD$11,EQ164=CaractAmostra!$BD$12,EQ164=CaractAmostra!$BD$13),Respostas_Formatadas!EQ164,"Outros")</f>
        <v>Dividia residência com outras pessoas</v>
      </c>
      <c r="ES164" s="36" t="s">
        <v>278</v>
      </c>
      <c r="ET164" s="36" t="str">
        <f>IF(OR(ES164=CaractAmostra!$BH$9,ES164=CaractAmostra!$BH$10,ES164=CaractAmostra!$BH$11,ES164=CaractAmostra!$BH$12),Respostas_Formatadas!ES164,"Outros")</f>
        <v>Divido residência com outras pessoas</v>
      </c>
      <c r="EU164" s="36" t="s">
        <v>134</v>
      </c>
      <c r="EV164" s="36" t="s">
        <v>288</v>
      </c>
      <c r="EW164" s="36" t="s">
        <v>287</v>
      </c>
      <c r="FE164" s="47">
        <v>2018</v>
      </c>
      <c r="FF164" s="97">
        <v>6.7670000000000003</v>
      </c>
      <c r="FG164" s="47" t="s">
        <v>933</v>
      </c>
      <c r="FH164" s="47" t="e">
        <f t="shared" si="6"/>
        <v>#VALUE!</v>
      </c>
      <c r="FI164" s="47" t="str">
        <f t="shared" si="4"/>
        <v>Aracaju</v>
      </c>
      <c r="FJ164" s="47" t="str">
        <f t="shared" si="5"/>
        <v>Bacharelado</v>
      </c>
    </row>
    <row r="165" spans="1:166" s="36" customFormat="1" ht="15.75" customHeight="1" x14ac:dyDescent="0.2">
      <c r="A165" s="38">
        <v>43419.477385057871</v>
      </c>
      <c r="C165" s="36" t="s">
        <v>124</v>
      </c>
      <c r="D165" s="47" t="s">
        <v>133</v>
      </c>
      <c r="E165" s="36" t="s">
        <v>138</v>
      </c>
      <c r="F165" s="36" t="s">
        <v>139</v>
      </c>
      <c r="H165" s="36" t="s">
        <v>141</v>
      </c>
      <c r="I165" s="36" t="s">
        <v>142</v>
      </c>
      <c r="J165" s="36" t="s">
        <v>144</v>
      </c>
      <c r="M165" s="36" t="s">
        <v>146</v>
      </c>
      <c r="N165" s="36" t="s">
        <v>134</v>
      </c>
      <c r="O165" s="36" t="s">
        <v>133</v>
      </c>
      <c r="P165" s="36" t="s">
        <v>134</v>
      </c>
      <c r="Q165" s="36" t="s">
        <v>134</v>
      </c>
      <c r="R165" s="36" t="s">
        <v>153</v>
      </c>
      <c r="S165" s="36" t="s">
        <v>422</v>
      </c>
      <c r="T165" s="36" t="s">
        <v>154</v>
      </c>
      <c r="U165" s="36" t="s">
        <v>157</v>
      </c>
      <c r="V165" s="36">
        <v>2</v>
      </c>
      <c r="W165" s="36">
        <v>1</v>
      </c>
      <c r="X165" s="36">
        <v>5</v>
      </c>
      <c r="Y165" s="36" t="s">
        <v>165</v>
      </c>
      <c r="Z165" s="36" t="s">
        <v>167</v>
      </c>
      <c r="AA165" s="36" t="s">
        <v>171</v>
      </c>
      <c r="AB165" s="36" t="s">
        <v>181</v>
      </c>
      <c r="AD165" s="36" t="s">
        <v>706</v>
      </c>
      <c r="AE165" s="36">
        <v>4</v>
      </c>
      <c r="AF165" s="36" t="s">
        <v>190</v>
      </c>
      <c r="AG165" s="36" t="s">
        <v>190</v>
      </c>
      <c r="AH165" s="36" t="s">
        <v>133</v>
      </c>
      <c r="AI165" s="40">
        <v>1500</v>
      </c>
      <c r="AJ165" s="36">
        <v>3</v>
      </c>
      <c r="AK165" s="36">
        <v>5</v>
      </c>
      <c r="AL165" s="36" t="s">
        <v>134</v>
      </c>
      <c r="AM165" s="36" t="s">
        <v>168</v>
      </c>
      <c r="AN165" s="36">
        <v>2</v>
      </c>
      <c r="AO165" s="36" t="s">
        <v>134</v>
      </c>
      <c r="AQ165" s="40"/>
      <c r="BT165" s="36">
        <v>3</v>
      </c>
      <c r="BU165" s="36">
        <v>5</v>
      </c>
      <c r="BV165" s="36">
        <v>5</v>
      </c>
      <c r="BW165" s="36">
        <v>4</v>
      </c>
      <c r="BX165" s="36">
        <v>5</v>
      </c>
      <c r="BY165" s="36">
        <v>5</v>
      </c>
      <c r="BZ165" s="36">
        <v>4</v>
      </c>
      <c r="CA165" s="36">
        <v>5</v>
      </c>
      <c r="CB165" s="36">
        <v>5</v>
      </c>
      <c r="CC165" s="36">
        <v>5</v>
      </c>
      <c r="CD165" s="36">
        <v>5</v>
      </c>
      <c r="CE165" s="36">
        <v>5</v>
      </c>
      <c r="CF165" s="36">
        <v>4</v>
      </c>
      <c r="CG165" s="36">
        <v>3</v>
      </c>
      <c r="CH165" s="36" t="s">
        <v>222</v>
      </c>
      <c r="CI165"/>
      <c r="CJ165"/>
      <c r="CK165" s="36" t="s">
        <v>235</v>
      </c>
      <c r="CL165"/>
      <c r="CM165"/>
      <c r="CN165" s="36" t="s">
        <v>242</v>
      </c>
      <c r="CO165" s="36" t="s">
        <v>134</v>
      </c>
      <c r="CP165" s="36">
        <v>2</v>
      </c>
      <c r="CQ165" s="36">
        <v>4</v>
      </c>
      <c r="CR165" s="36" t="s">
        <v>249</v>
      </c>
      <c r="CS165" s="36">
        <v>2</v>
      </c>
      <c r="CT165" s="36">
        <v>1</v>
      </c>
      <c r="CU165" s="36">
        <v>1</v>
      </c>
      <c r="CV165" s="36">
        <v>2</v>
      </c>
      <c r="CW165" s="36">
        <v>2</v>
      </c>
      <c r="CX165" s="36">
        <v>5</v>
      </c>
      <c r="CY165" s="36">
        <v>4</v>
      </c>
      <c r="CZ165" s="36">
        <v>5</v>
      </c>
      <c r="DA165" s="36">
        <v>1</v>
      </c>
      <c r="DB165" s="36">
        <v>1</v>
      </c>
      <c r="DC165" s="36">
        <v>5</v>
      </c>
      <c r="DD165" s="36">
        <v>3</v>
      </c>
      <c r="DE165" s="36">
        <v>3</v>
      </c>
      <c r="DF165" s="36">
        <v>3</v>
      </c>
      <c r="DG165" s="36">
        <v>4</v>
      </c>
      <c r="DH165" s="36">
        <v>1</v>
      </c>
      <c r="DI165" s="36" t="s">
        <v>252</v>
      </c>
      <c r="DJ165" s="36" t="s">
        <v>133</v>
      </c>
      <c r="DK165" s="36" t="s">
        <v>255</v>
      </c>
      <c r="DL165"/>
      <c r="DM165"/>
      <c r="DN165"/>
      <c r="DO165"/>
      <c r="DP165"/>
      <c r="DQ165" s="36">
        <v>2</v>
      </c>
      <c r="DR165" s="36" t="s">
        <v>134</v>
      </c>
      <c r="DT165"/>
      <c r="DU165"/>
      <c r="DV165"/>
      <c r="DW165"/>
      <c r="DX165"/>
      <c r="DZ165" s="36" t="s">
        <v>134</v>
      </c>
      <c r="EB165" s="36" t="s">
        <v>262</v>
      </c>
      <c r="EC165" s="36" t="s">
        <v>267</v>
      </c>
      <c r="ED165" s="36">
        <v>27</v>
      </c>
      <c r="EE165" s="36" t="s">
        <v>707</v>
      </c>
      <c r="EF165" s="36" t="str">
        <f>Tabulacao!MC165</f>
        <v>Entre Rios - BA</v>
      </c>
      <c r="EG165" s="36" t="s">
        <v>332</v>
      </c>
      <c r="EH165" s="36" t="str">
        <f>Tabulacao!MG165</f>
        <v>Aracaju</v>
      </c>
      <c r="EI165" s="36" t="s">
        <v>708</v>
      </c>
      <c r="EJ165" s="36" t="str">
        <f>Tabulacao!MK165</f>
        <v>Niterói - RJ</v>
      </c>
      <c r="EK165" s="36" t="s">
        <v>134</v>
      </c>
      <c r="EL165" s="36" t="s">
        <v>134</v>
      </c>
      <c r="EM165" s="36" t="s">
        <v>134</v>
      </c>
      <c r="EN165" s="36" t="s">
        <v>134</v>
      </c>
      <c r="EO165" s="36" t="s">
        <v>134</v>
      </c>
      <c r="EP165" s="36" t="s">
        <v>134</v>
      </c>
      <c r="EQ165" s="36" t="s">
        <v>273</v>
      </c>
      <c r="ER165" s="36" t="str">
        <f>IF(OR(EQ165=CaractAmostra!$BD$9,EQ165=CaractAmostra!$BD$10,EQ165=CaractAmostra!$BD$11,EQ165=CaractAmostra!$BD$12,EQ165=CaractAmostra!$BD$13),Respostas_Formatadas!EQ165,"Outros")</f>
        <v>Dividia residência com outras pessoas</v>
      </c>
      <c r="ES165" s="36" t="s">
        <v>278</v>
      </c>
      <c r="ET165" s="36" t="str">
        <f>IF(OR(ES165=CaractAmostra!$BH$9,ES165=CaractAmostra!$BH$10,ES165=CaractAmostra!$BH$11,ES165=CaractAmostra!$BH$12),Respostas_Formatadas!ES165,"Outros")</f>
        <v>Divido residência com outras pessoas</v>
      </c>
      <c r="EU165" s="36" t="s">
        <v>134</v>
      </c>
      <c r="EV165" s="36" t="s">
        <v>282</v>
      </c>
      <c r="EW165" s="36" t="s">
        <v>287</v>
      </c>
      <c r="FE165" s="47">
        <v>2015</v>
      </c>
      <c r="FF165" s="97">
        <v>7.1974</v>
      </c>
      <c r="FG165" s="47">
        <v>2015</v>
      </c>
      <c r="FH165" s="47">
        <f t="shared" si="6"/>
        <v>0</v>
      </c>
      <c r="FI165" s="47" t="str">
        <f t="shared" si="4"/>
        <v>Aracaju</v>
      </c>
      <c r="FJ165" s="47" t="str">
        <f t="shared" si="5"/>
        <v>Tecnologia</v>
      </c>
    </row>
    <row r="166" spans="1:166" s="36" customFormat="1" ht="15.75" customHeight="1" x14ac:dyDescent="0.2">
      <c r="A166" s="38">
        <v>43419.647917187496</v>
      </c>
      <c r="C166" s="36" t="s">
        <v>124</v>
      </c>
      <c r="D166" s="47" t="s">
        <v>133</v>
      </c>
      <c r="E166" s="36" t="s">
        <v>138</v>
      </c>
      <c r="H166" s="36" t="s">
        <v>142</v>
      </c>
      <c r="M166" s="36" t="s">
        <v>146</v>
      </c>
      <c r="N166" s="36" t="s">
        <v>134</v>
      </c>
      <c r="O166" s="36" t="s">
        <v>133</v>
      </c>
      <c r="P166" s="36" t="s">
        <v>133</v>
      </c>
      <c r="Q166" s="36" t="s">
        <v>133</v>
      </c>
      <c r="R166" s="36" t="s">
        <v>151</v>
      </c>
      <c r="Y166" s="36" t="s">
        <v>166</v>
      </c>
      <c r="AC166" s="36" t="s">
        <v>181</v>
      </c>
      <c r="AD166" s="36" t="s">
        <v>709</v>
      </c>
      <c r="AE166" s="36">
        <v>5</v>
      </c>
      <c r="AF166" s="36" t="s">
        <v>189</v>
      </c>
      <c r="AG166" s="36" t="s">
        <v>189</v>
      </c>
      <c r="AH166" s="36" t="s">
        <v>134</v>
      </c>
      <c r="AI166" s="40">
        <v>1100</v>
      </c>
      <c r="AJ166" s="36">
        <v>5</v>
      </c>
      <c r="AK166" s="36">
        <v>1</v>
      </c>
      <c r="AL166" s="36" t="s">
        <v>134</v>
      </c>
      <c r="AM166" s="36" t="s">
        <v>168</v>
      </c>
      <c r="AN166" s="36" t="s">
        <v>710</v>
      </c>
      <c r="AO166" s="36" t="s">
        <v>133</v>
      </c>
      <c r="AP166" s="36" t="s">
        <v>711</v>
      </c>
      <c r="AQ166" s="40">
        <v>10000</v>
      </c>
      <c r="AR166" s="36">
        <v>5</v>
      </c>
      <c r="AS166" s="36">
        <v>3</v>
      </c>
      <c r="AT166" s="36">
        <v>4</v>
      </c>
      <c r="AU166" s="36">
        <v>5</v>
      </c>
      <c r="AV166" s="36">
        <v>5</v>
      </c>
      <c r="AW166" s="36" t="s">
        <v>192</v>
      </c>
      <c r="AX166" s="36" t="s">
        <v>207</v>
      </c>
      <c r="AY166" s="36" t="s">
        <v>208</v>
      </c>
      <c r="AZ166" s="36" t="s">
        <v>134</v>
      </c>
      <c r="BA166" s="36" t="s">
        <v>170</v>
      </c>
      <c r="BB166" s="36" t="s">
        <v>712</v>
      </c>
      <c r="BC166" s="36" t="s">
        <v>1308</v>
      </c>
      <c r="BD166" s="36" t="s">
        <v>190</v>
      </c>
      <c r="BG166" s="36">
        <v>5</v>
      </c>
      <c r="BH166" s="36">
        <v>5</v>
      </c>
      <c r="BI166" s="36">
        <v>5</v>
      </c>
      <c r="BJ166" s="36">
        <v>5</v>
      </c>
      <c r="BK166" s="36">
        <v>5</v>
      </c>
      <c r="BL166" s="36">
        <v>5</v>
      </c>
      <c r="BM166" s="36">
        <v>5</v>
      </c>
      <c r="BN166" s="36">
        <v>5</v>
      </c>
      <c r="BO166" s="36">
        <v>5</v>
      </c>
      <c r="BP166" s="36">
        <v>5</v>
      </c>
      <c r="BQ166" s="36">
        <v>5</v>
      </c>
      <c r="BR166" s="36">
        <v>5</v>
      </c>
      <c r="BS166" s="36">
        <v>3</v>
      </c>
      <c r="BT166" s="36">
        <v>3</v>
      </c>
      <c r="BU166" s="36">
        <v>4</v>
      </c>
      <c r="BV166" s="36">
        <v>4</v>
      </c>
      <c r="BW166" s="36">
        <v>5</v>
      </c>
      <c r="BX166" s="36">
        <v>5</v>
      </c>
      <c r="BY166" s="36">
        <v>5</v>
      </c>
      <c r="BZ166" s="36">
        <v>5</v>
      </c>
      <c r="CA166" s="36">
        <v>4</v>
      </c>
      <c r="CB166" s="36">
        <v>5</v>
      </c>
      <c r="CC166" s="36">
        <v>5</v>
      </c>
      <c r="CD166" s="36">
        <v>5</v>
      </c>
      <c r="CE166" s="36">
        <v>5</v>
      </c>
      <c r="CF166" s="36">
        <v>2</v>
      </c>
      <c r="CG166" s="36">
        <v>5</v>
      </c>
      <c r="CH166" s="36" t="s">
        <v>229</v>
      </c>
      <c r="CI166"/>
      <c r="CJ166"/>
      <c r="CK166" s="36" t="s">
        <v>232</v>
      </c>
      <c r="CL166"/>
      <c r="CM166"/>
      <c r="CN166" s="36" t="s">
        <v>242</v>
      </c>
      <c r="CO166" s="36" t="s">
        <v>134</v>
      </c>
      <c r="CP166" s="36">
        <v>4</v>
      </c>
      <c r="CQ166" s="36">
        <v>4</v>
      </c>
      <c r="CR166" s="36" t="s">
        <v>249</v>
      </c>
      <c r="CS166" s="36">
        <v>1</v>
      </c>
      <c r="CT166" s="36">
        <v>1</v>
      </c>
      <c r="CU166" s="36">
        <v>1</v>
      </c>
      <c r="CV166" s="36">
        <v>1</v>
      </c>
      <c r="CW166" s="36">
        <v>2</v>
      </c>
      <c r="CX166" s="36">
        <v>5</v>
      </c>
      <c r="CY166" s="36">
        <v>5</v>
      </c>
      <c r="CZ166" s="36">
        <v>5</v>
      </c>
      <c r="DA166" s="36">
        <v>1</v>
      </c>
      <c r="DB166" s="36">
        <v>1</v>
      </c>
      <c r="DC166" s="36">
        <v>5</v>
      </c>
      <c r="DD166" s="36">
        <v>4</v>
      </c>
      <c r="DE166" s="36">
        <v>3</v>
      </c>
      <c r="DF166" s="36">
        <v>3</v>
      </c>
      <c r="DG166" s="36">
        <v>5</v>
      </c>
      <c r="DH166" s="36">
        <v>2</v>
      </c>
      <c r="DI166" s="36" t="s">
        <v>133</v>
      </c>
      <c r="DJ166" s="36" t="s">
        <v>134</v>
      </c>
      <c r="DL166"/>
      <c r="DM166"/>
      <c r="DN166"/>
      <c r="DO166"/>
      <c r="DP166"/>
      <c r="DR166" s="36" t="s">
        <v>134</v>
      </c>
      <c r="DT166"/>
      <c r="DU166"/>
      <c r="DV166"/>
      <c r="DW166"/>
      <c r="DX166"/>
      <c r="DZ166" s="36" t="s">
        <v>134</v>
      </c>
      <c r="EB166" s="36" t="s">
        <v>262</v>
      </c>
      <c r="EC166" s="36" t="s">
        <v>265</v>
      </c>
      <c r="ED166" s="36">
        <v>32</v>
      </c>
      <c r="EE166" s="36" t="s">
        <v>292</v>
      </c>
      <c r="EF166" s="36" t="str">
        <f>Tabulacao!MC166</f>
        <v>Aracaju</v>
      </c>
      <c r="EG166" s="36" t="s">
        <v>292</v>
      </c>
      <c r="EH166" s="36" t="str">
        <f>Tabulacao!MG166</f>
        <v>Aracaju</v>
      </c>
      <c r="EI166" s="36" t="s">
        <v>712</v>
      </c>
      <c r="EJ166" s="36" t="str">
        <f>Tabulacao!MK166</f>
        <v>Palmas - TO</v>
      </c>
      <c r="EK166" s="36" t="s">
        <v>134</v>
      </c>
      <c r="EL166" s="36" t="s">
        <v>134</v>
      </c>
      <c r="EM166" s="36" t="s">
        <v>134</v>
      </c>
      <c r="EN166" s="36" t="s">
        <v>134</v>
      </c>
      <c r="EO166" s="36" t="s">
        <v>134</v>
      </c>
      <c r="EP166" s="36" t="s">
        <v>134</v>
      </c>
      <c r="EQ166" s="36" t="s">
        <v>275</v>
      </c>
      <c r="ER166" s="36" t="str">
        <f>IF(OR(EQ166=CaractAmostra!$BD$9,EQ166=CaractAmostra!$BD$10,EQ166=CaractAmostra!$BD$11,EQ166=CaractAmostra!$BD$12,EQ166=CaractAmostra!$BD$13),Respostas_Formatadas!EQ166,"Outros")</f>
        <v>Com os pais</v>
      </c>
      <c r="ES166" s="36" t="s">
        <v>277</v>
      </c>
      <c r="ET166" s="36" t="str">
        <f>IF(OR(ES166=CaractAmostra!$BH$9,ES166=CaractAmostra!$BH$10,ES166=CaractAmostra!$BH$11,ES166=CaractAmostra!$BH$12),Respostas_Formatadas!ES166,"Outros")</f>
        <v>Sozinho</v>
      </c>
      <c r="EU166" s="36" t="s">
        <v>134</v>
      </c>
      <c r="EV166" s="36" t="s">
        <v>284</v>
      </c>
      <c r="EW166" s="36" t="s">
        <v>282</v>
      </c>
      <c r="FE166" s="47">
        <v>2010</v>
      </c>
      <c r="FF166" s="97" t="s">
        <v>933</v>
      </c>
      <c r="FG166" s="47" t="s">
        <v>933</v>
      </c>
      <c r="FH166" s="47" t="e">
        <f t="shared" si="6"/>
        <v>#VALUE!</v>
      </c>
      <c r="FI166" s="47" t="str">
        <f t="shared" si="4"/>
        <v>Aracaju</v>
      </c>
      <c r="FJ166" s="47" t="str">
        <f t="shared" si="5"/>
        <v>Tecnologia</v>
      </c>
    </row>
    <row r="167" spans="1:166" s="36" customFormat="1" ht="15.75" customHeight="1" x14ac:dyDescent="0.2">
      <c r="A167" s="38">
        <v>43419.876277731484</v>
      </c>
      <c r="C167" s="36" t="s">
        <v>130</v>
      </c>
      <c r="D167" s="47" t="s">
        <v>133</v>
      </c>
      <c r="E167" s="36" t="s">
        <v>135</v>
      </c>
      <c r="H167" s="36" t="s">
        <v>142</v>
      </c>
      <c r="I167" s="36" t="s">
        <v>144</v>
      </c>
      <c r="M167" s="36" t="s">
        <v>146</v>
      </c>
      <c r="N167" s="36" t="s">
        <v>134</v>
      </c>
      <c r="O167" s="36" t="s">
        <v>133</v>
      </c>
      <c r="P167" s="36" t="s">
        <v>134</v>
      </c>
      <c r="Q167" s="36" t="s">
        <v>133</v>
      </c>
      <c r="R167" s="36" t="s">
        <v>151</v>
      </c>
      <c r="Y167" s="36" t="s">
        <v>134</v>
      </c>
      <c r="AI167" s="40"/>
      <c r="AQ167" s="40"/>
      <c r="BT167" s="36">
        <v>3</v>
      </c>
      <c r="BU167" s="36">
        <v>3</v>
      </c>
      <c r="BV167" s="36">
        <v>3</v>
      </c>
      <c r="BW167" s="36">
        <v>4</v>
      </c>
      <c r="BX167" s="36">
        <v>4</v>
      </c>
      <c r="BY167" s="36">
        <v>5</v>
      </c>
      <c r="BZ167" s="36">
        <v>5</v>
      </c>
      <c r="CA167" s="36">
        <v>4</v>
      </c>
      <c r="CB167" s="36">
        <v>4</v>
      </c>
      <c r="CC167" s="36">
        <v>5</v>
      </c>
      <c r="CD167" s="36">
        <v>3</v>
      </c>
      <c r="CE167" s="36">
        <v>3</v>
      </c>
      <c r="CF167" s="36">
        <v>1</v>
      </c>
      <c r="CG167" s="36">
        <v>1</v>
      </c>
      <c r="CH167" s="36" t="s">
        <v>222</v>
      </c>
      <c r="CI167" t="s">
        <v>229</v>
      </c>
      <c r="CJ167" t="s">
        <v>230</v>
      </c>
      <c r="CK167" s="36" t="s">
        <v>713</v>
      </c>
      <c r="CL167"/>
      <c r="CM167"/>
      <c r="CN167" s="36" t="s">
        <v>241</v>
      </c>
      <c r="CO167" s="36" t="s">
        <v>134</v>
      </c>
      <c r="CP167" s="36">
        <v>2</v>
      </c>
      <c r="CQ167" s="36">
        <v>4</v>
      </c>
      <c r="CR167" s="36" t="s">
        <v>248</v>
      </c>
      <c r="CS167" s="36">
        <v>2</v>
      </c>
      <c r="CT167" s="36">
        <v>1</v>
      </c>
      <c r="CU167" s="36">
        <v>1</v>
      </c>
      <c r="CV167" s="36">
        <v>1</v>
      </c>
      <c r="CW167" s="36">
        <v>1</v>
      </c>
      <c r="CX167" s="36">
        <v>3</v>
      </c>
      <c r="CY167" s="36">
        <v>3</v>
      </c>
      <c r="CZ167" s="36">
        <v>5</v>
      </c>
      <c r="DA167" s="36">
        <v>1</v>
      </c>
      <c r="DB167" s="36">
        <v>3</v>
      </c>
      <c r="DC167" s="36">
        <v>1</v>
      </c>
      <c r="DD167" s="36">
        <v>2</v>
      </c>
      <c r="DE167" s="36">
        <v>1</v>
      </c>
      <c r="DF167" s="36">
        <v>1</v>
      </c>
      <c r="DG167" s="36">
        <v>1</v>
      </c>
      <c r="DH167" s="36">
        <v>1</v>
      </c>
      <c r="DI167" s="36" t="s">
        <v>250</v>
      </c>
      <c r="DJ167" s="36" t="s">
        <v>133</v>
      </c>
      <c r="DK167" s="36" t="s">
        <v>255</v>
      </c>
      <c r="DL167"/>
      <c r="DM167"/>
      <c r="DN167" t="s">
        <v>256</v>
      </c>
      <c r="DO167" t="s">
        <v>257</v>
      </c>
      <c r="DP167"/>
      <c r="DQ167" s="36">
        <v>1</v>
      </c>
      <c r="DR167" s="36" t="s">
        <v>133</v>
      </c>
      <c r="DS167" s="36" t="s">
        <v>259</v>
      </c>
      <c r="DT167"/>
      <c r="DU167"/>
      <c r="DV167" t="s">
        <v>260</v>
      </c>
      <c r="DW167"/>
      <c r="DX167"/>
      <c r="DY167" s="36">
        <v>1</v>
      </c>
      <c r="DZ167" s="36" t="s">
        <v>133</v>
      </c>
      <c r="EA167" s="36">
        <v>5</v>
      </c>
      <c r="EB167" s="36" t="s">
        <v>263</v>
      </c>
      <c r="EC167" s="36" t="s">
        <v>267</v>
      </c>
      <c r="ED167" s="36">
        <v>57</v>
      </c>
      <c r="EE167" s="36" t="s">
        <v>468</v>
      </c>
      <c r="EF167" s="36" t="str">
        <f>Tabulacao!MC167</f>
        <v>Belém - PA</v>
      </c>
      <c r="EG167" s="36" t="s">
        <v>714</v>
      </c>
      <c r="EH167" s="36" t="str">
        <f>Tabulacao!MG167</f>
        <v>Aracaju</v>
      </c>
      <c r="EI167" s="36" t="s">
        <v>468</v>
      </c>
      <c r="EJ167" s="36" t="str">
        <f>Tabulacao!MK167</f>
        <v>Belém - PA</v>
      </c>
      <c r="EK167" s="36" t="s">
        <v>134</v>
      </c>
      <c r="EL167" s="36" t="s">
        <v>134</v>
      </c>
      <c r="EM167" s="36" t="s">
        <v>134</v>
      </c>
      <c r="EN167" s="36" t="s">
        <v>134</v>
      </c>
      <c r="EO167" s="36" t="s">
        <v>134</v>
      </c>
      <c r="EP167" s="36" t="s">
        <v>134</v>
      </c>
      <c r="EQ167" s="36" t="s">
        <v>273</v>
      </c>
      <c r="ER167" s="36" t="str">
        <f>IF(OR(EQ167=CaractAmostra!$BD$9,EQ167=CaractAmostra!$BD$10,EQ167=CaractAmostra!$BD$11,EQ167=CaractAmostra!$BD$12,EQ167=CaractAmostra!$BD$13),Respostas_Formatadas!EQ167,"Outros")</f>
        <v>Dividia residência com outras pessoas</v>
      </c>
      <c r="ES167" s="36" t="s">
        <v>277</v>
      </c>
      <c r="ET167" s="36" t="str">
        <f>IF(OR(ES167=CaractAmostra!$BH$9,ES167=CaractAmostra!$BH$10,ES167=CaractAmostra!$BH$11,ES167=CaractAmostra!$BH$12),Respostas_Formatadas!ES167,"Outros")</f>
        <v>Sozinho</v>
      </c>
      <c r="EU167" s="36" t="s">
        <v>134</v>
      </c>
      <c r="EV167" s="36" t="s">
        <v>192</v>
      </c>
      <c r="EW167" s="36" t="s">
        <v>192</v>
      </c>
      <c r="FE167" s="47">
        <v>2013</v>
      </c>
      <c r="FF167" s="97">
        <v>7.2018000000000004</v>
      </c>
      <c r="FG167" s="47">
        <v>2014</v>
      </c>
      <c r="FH167" s="47">
        <f t="shared" si="6"/>
        <v>1</v>
      </c>
      <c r="FI167" s="47" t="str">
        <f t="shared" si="4"/>
        <v>São Cristóvão</v>
      </c>
      <c r="FJ167" s="47" t="str">
        <f t="shared" si="5"/>
        <v>Tecnologia</v>
      </c>
    </row>
    <row r="168" spans="1:166" s="36" customFormat="1" ht="15.75" customHeight="1" x14ac:dyDescent="0.2">
      <c r="A168" s="38">
        <v>43419.925479247686</v>
      </c>
      <c r="C168" s="36" t="s">
        <v>121</v>
      </c>
      <c r="D168" s="47" t="s">
        <v>134</v>
      </c>
      <c r="M168" s="36" t="s">
        <v>147</v>
      </c>
      <c r="N168" s="36" t="s">
        <v>134</v>
      </c>
      <c r="O168" s="36" t="s">
        <v>133</v>
      </c>
      <c r="P168" s="36" t="s">
        <v>133</v>
      </c>
      <c r="Q168" s="36" t="s">
        <v>134</v>
      </c>
      <c r="R168" s="36" t="s">
        <v>151</v>
      </c>
      <c r="Y168" s="36" t="s">
        <v>166</v>
      </c>
      <c r="AC168" s="36" t="s">
        <v>185</v>
      </c>
      <c r="AD168" s="36" t="s">
        <v>715</v>
      </c>
      <c r="AE168" s="36">
        <v>4</v>
      </c>
      <c r="AF168" s="36" t="s">
        <v>190</v>
      </c>
      <c r="AG168" s="36" t="s">
        <v>190</v>
      </c>
      <c r="AH168" s="36" t="s">
        <v>134</v>
      </c>
      <c r="AI168" s="40">
        <v>1800</v>
      </c>
      <c r="AJ168" s="36">
        <v>4</v>
      </c>
      <c r="AK168" s="36">
        <v>3</v>
      </c>
      <c r="AL168" s="36" t="s">
        <v>133</v>
      </c>
      <c r="AP168" s="36" t="s">
        <v>715</v>
      </c>
      <c r="AQ168" s="40">
        <v>1800</v>
      </c>
      <c r="AR168" s="36">
        <v>4</v>
      </c>
      <c r="AS168" s="36">
        <v>4</v>
      </c>
      <c r="AT168" s="36">
        <v>3</v>
      </c>
      <c r="AU168" s="36">
        <v>4</v>
      </c>
      <c r="AV168" s="36">
        <v>4</v>
      </c>
      <c r="AW168" s="36" t="s">
        <v>192</v>
      </c>
      <c r="AX168" s="36" t="s">
        <v>205</v>
      </c>
      <c r="AY168" s="36" t="s">
        <v>716</v>
      </c>
      <c r="AZ168" s="36" t="s">
        <v>133</v>
      </c>
      <c r="BA168" s="36" t="s">
        <v>170</v>
      </c>
      <c r="BB168" s="36" t="s">
        <v>292</v>
      </c>
      <c r="BC168" s="36" t="s">
        <v>292</v>
      </c>
      <c r="BD168" s="36" t="s">
        <v>190</v>
      </c>
      <c r="BG168" s="36">
        <v>4</v>
      </c>
      <c r="BH168" s="36">
        <v>3</v>
      </c>
      <c r="BI168" s="36">
        <v>5</v>
      </c>
      <c r="BJ168" s="36">
        <v>1</v>
      </c>
      <c r="BK168" s="36">
        <v>5</v>
      </c>
      <c r="BL168" s="36">
        <v>3</v>
      </c>
      <c r="BM168" s="36">
        <v>4</v>
      </c>
      <c r="BN168" s="36">
        <v>4</v>
      </c>
      <c r="BO168" s="36">
        <v>4</v>
      </c>
      <c r="BP168" s="36">
        <v>3</v>
      </c>
      <c r="BQ168" s="36">
        <v>2</v>
      </c>
      <c r="BR168" s="36">
        <v>2</v>
      </c>
      <c r="BS168" s="36">
        <v>2</v>
      </c>
      <c r="BT168" s="36">
        <v>4</v>
      </c>
      <c r="BU168" s="36">
        <v>3</v>
      </c>
      <c r="BV168" s="36">
        <v>4</v>
      </c>
      <c r="BW168" s="36">
        <v>2</v>
      </c>
      <c r="BX168" s="36">
        <v>4</v>
      </c>
      <c r="BY168" s="36">
        <v>4</v>
      </c>
      <c r="BZ168" s="36">
        <v>4</v>
      </c>
      <c r="CA168" s="36">
        <v>4</v>
      </c>
      <c r="CB168" s="36">
        <v>4</v>
      </c>
      <c r="CC168" s="36">
        <v>4</v>
      </c>
      <c r="CD168" s="36">
        <v>3</v>
      </c>
      <c r="CE168" s="36">
        <v>2</v>
      </c>
      <c r="CF168" s="36">
        <v>1</v>
      </c>
      <c r="CG168" s="36">
        <v>5</v>
      </c>
      <c r="CH168" s="36" t="s">
        <v>717</v>
      </c>
      <c r="CI168"/>
      <c r="CJ168"/>
      <c r="CK168" s="36" t="s">
        <v>233</v>
      </c>
      <c r="CL168" t="s">
        <v>235</v>
      </c>
      <c r="CM168"/>
      <c r="CN168" s="36" t="s">
        <v>242</v>
      </c>
      <c r="CO168" s="36" t="s">
        <v>134</v>
      </c>
      <c r="CP168" s="36">
        <v>3</v>
      </c>
      <c r="CQ168" s="36">
        <v>4</v>
      </c>
      <c r="CR168" s="36" t="s">
        <v>249</v>
      </c>
      <c r="CS168" s="36">
        <v>3</v>
      </c>
      <c r="CT168" s="36">
        <v>3</v>
      </c>
      <c r="CU168" s="36">
        <v>3</v>
      </c>
      <c r="CV168" s="36">
        <v>2</v>
      </c>
      <c r="CW168" s="36">
        <v>4</v>
      </c>
      <c r="CX168" s="36">
        <v>4</v>
      </c>
      <c r="CY168" s="36">
        <v>4</v>
      </c>
      <c r="CZ168" s="36">
        <v>3</v>
      </c>
      <c r="DA168" s="36">
        <v>2</v>
      </c>
      <c r="DB168" s="36">
        <v>2</v>
      </c>
      <c r="DC168" s="36">
        <v>3</v>
      </c>
      <c r="DD168" s="36">
        <v>4</v>
      </c>
      <c r="DE168" s="36">
        <v>4</v>
      </c>
      <c r="DF168" s="36">
        <v>5</v>
      </c>
      <c r="DG168" s="36">
        <v>5</v>
      </c>
      <c r="DH168" s="36">
        <v>3</v>
      </c>
      <c r="DI168" s="36" t="s">
        <v>133</v>
      </c>
      <c r="DJ168" s="36" t="s">
        <v>133</v>
      </c>
      <c r="DK168" s="36" t="s">
        <v>255</v>
      </c>
      <c r="DL168"/>
      <c r="DM168"/>
      <c r="DN168"/>
      <c r="DO168"/>
      <c r="DP168"/>
      <c r="DQ168" s="36">
        <v>2</v>
      </c>
      <c r="DR168" s="36" t="s">
        <v>134</v>
      </c>
      <c r="DT168"/>
      <c r="DU168"/>
      <c r="DV168"/>
      <c r="DW168"/>
      <c r="DX168"/>
      <c r="DZ168" s="36" t="s">
        <v>134</v>
      </c>
      <c r="EB168" s="36" t="s">
        <v>263</v>
      </c>
      <c r="EC168" s="36" t="s">
        <v>267</v>
      </c>
      <c r="ED168" s="36">
        <v>27</v>
      </c>
      <c r="EE168" s="36" t="s">
        <v>292</v>
      </c>
      <c r="EF168" s="36" t="str">
        <f>Tabulacao!MC168</f>
        <v>Aracaju</v>
      </c>
      <c r="EG168" s="36" t="s">
        <v>292</v>
      </c>
      <c r="EH168" s="36" t="str">
        <f>Tabulacao!MG168</f>
        <v>Aracaju</v>
      </c>
      <c r="EI168" s="36" t="s">
        <v>292</v>
      </c>
      <c r="EJ168" s="36" t="str">
        <f>Tabulacao!MK168</f>
        <v>Aracaju</v>
      </c>
      <c r="EK168" s="36" t="s">
        <v>134</v>
      </c>
      <c r="EL168" s="36" t="s">
        <v>134</v>
      </c>
      <c r="EM168" s="36" t="s">
        <v>134</v>
      </c>
      <c r="EN168" s="36" t="s">
        <v>134</v>
      </c>
      <c r="EO168" s="36" t="s">
        <v>134</v>
      </c>
      <c r="EP168" s="36" t="s">
        <v>134</v>
      </c>
      <c r="EQ168" s="36" t="s">
        <v>275</v>
      </c>
      <c r="ER168" s="36" t="str">
        <f>IF(OR(EQ168=CaractAmostra!$BD$9,EQ168=CaractAmostra!$BD$10,EQ168=CaractAmostra!$BD$11,EQ168=CaractAmostra!$BD$12,EQ168=CaractAmostra!$BD$13),Respostas_Formatadas!EQ168,"Outros")</f>
        <v>Com os pais</v>
      </c>
      <c r="ES168" s="36" t="s">
        <v>274</v>
      </c>
      <c r="ET168" s="36" t="str">
        <f>IF(OR(ES168=CaractAmostra!$BH$9,ES168=CaractAmostra!$BH$10,ES168=CaractAmostra!$BH$11,ES168=CaractAmostra!$BH$12),Respostas_Formatadas!ES168,"Outros")</f>
        <v>Com um(a) parceiro(a)</v>
      </c>
      <c r="EU168" s="36" t="s">
        <v>134</v>
      </c>
      <c r="EV168" s="36" t="s">
        <v>285</v>
      </c>
      <c r="EW168" s="36" t="s">
        <v>288</v>
      </c>
      <c r="FD168" s="36" t="s">
        <v>718</v>
      </c>
      <c r="FE168" s="47">
        <v>2016</v>
      </c>
      <c r="FF168" s="97">
        <v>7.9749999999999996</v>
      </c>
      <c r="FG168" s="47">
        <v>2016</v>
      </c>
      <c r="FH168" s="47">
        <f t="shared" si="6"/>
        <v>0</v>
      </c>
      <c r="FI168" s="47" t="str">
        <f t="shared" si="4"/>
        <v>Aracaju</v>
      </c>
      <c r="FJ168" s="47" t="str">
        <f t="shared" si="5"/>
        <v>Licenciatura</v>
      </c>
    </row>
    <row r="169" spans="1:166" s="36" customFormat="1" ht="15.75" customHeight="1" x14ac:dyDescent="0.2">
      <c r="A169" s="38">
        <v>43419.975226712966</v>
      </c>
      <c r="C169" s="36" t="s">
        <v>121</v>
      </c>
      <c r="D169" s="47" t="s">
        <v>134</v>
      </c>
      <c r="M169" s="36" t="s">
        <v>148</v>
      </c>
      <c r="N169" s="36" t="s">
        <v>134</v>
      </c>
      <c r="O169" s="36" t="s">
        <v>134</v>
      </c>
      <c r="P169" s="36" t="s">
        <v>133</v>
      </c>
      <c r="Q169" s="36" t="s">
        <v>134</v>
      </c>
      <c r="R169" s="36" t="s">
        <v>153</v>
      </c>
      <c r="S169" s="36" t="s">
        <v>422</v>
      </c>
      <c r="T169" s="36" t="s">
        <v>154</v>
      </c>
      <c r="U169" s="36" t="s">
        <v>157</v>
      </c>
      <c r="V169" s="36">
        <v>1</v>
      </c>
      <c r="W169" s="36">
        <v>1</v>
      </c>
      <c r="X169" s="36">
        <v>5</v>
      </c>
      <c r="Y169" s="36" t="s">
        <v>165</v>
      </c>
      <c r="Z169" s="36" t="s">
        <v>168</v>
      </c>
      <c r="AA169" s="36" t="s">
        <v>173</v>
      </c>
      <c r="AB169" s="36" t="s">
        <v>181</v>
      </c>
      <c r="AD169" s="36" t="s">
        <v>719</v>
      </c>
      <c r="AE169" s="36">
        <v>1</v>
      </c>
      <c r="AF169" s="36" t="s">
        <v>720</v>
      </c>
      <c r="AG169" s="36" t="s">
        <v>189</v>
      </c>
      <c r="AH169" s="36" t="s">
        <v>134</v>
      </c>
      <c r="AI169" s="40">
        <v>1300</v>
      </c>
      <c r="AJ169" s="36">
        <v>3</v>
      </c>
      <c r="AK169" s="36">
        <v>5</v>
      </c>
      <c r="AL169" s="36" t="s">
        <v>134</v>
      </c>
      <c r="AM169" s="36" t="s">
        <v>169</v>
      </c>
      <c r="AN169" s="36">
        <v>2</v>
      </c>
      <c r="AO169" s="36" t="s">
        <v>133</v>
      </c>
      <c r="AP169" s="36" t="s">
        <v>721</v>
      </c>
      <c r="AQ169" s="40">
        <v>1000</v>
      </c>
      <c r="AR169" s="36">
        <v>5</v>
      </c>
      <c r="AS169" s="36">
        <v>1</v>
      </c>
      <c r="AT169" s="36">
        <v>5</v>
      </c>
      <c r="AU169" s="36">
        <v>5</v>
      </c>
      <c r="AV169" s="36">
        <v>5</v>
      </c>
      <c r="AW169" s="36" t="s">
        <v>200</v>
      </c>
      <c r="AX169" s="36" t="s">
        <v>204</v>
      </c>
      <c r="AY169" s="36" t="s">
        <v>209</v>
      </c>
      <c r="AZ169" s="36" t="s">
        <v>133</v>
      </c>
      <c r="BA169" s="36" t="s">
        <v>167</v>
      </c>
      <c r="BB169" s="36" t="s">
        <v>399</v>
      </c>
      <c r="BC169" s="36" t="s">
        <v>399</v>
      </c>
      <c r="BD169" s="36" t="s">
        <v>190</v>
      </c>
      <c r="BG169" s="36">
        <v>1</v>
      </c>
      <c r="BH169" s="36">
        <v>1</v>
      </c>
      <c r="BI169" s="36">
        <v>5</v>
      </c>
      <c r="BJ169" s="36">
        <v>5</v>
      </c>
      <c r="BK169" s="36">
        <v>5</v>
      </c>
      <c r="BL169" s="36">
        <v>5</v>
      </c>
      <c r="BM169" s="36">
        <v>5</v>
      </c>
      <c r="BN169" s="36">
        <v>3</v>
      </c>
      <c r="BO169" s="36">
        <v>1</v>
      </c>
      <c r="BP169" s="36">
        <v>5</v>
      </c>
      <c r="BQ169" s="36">
        <v>5</v>
      </c>
      <c r="BR169" s="36">
        <v>3</v>
      </c>
      <c r="BS169" s="36">
        <v>1</v>
      </c>
      <c r="BT169" s="36">
        <v>1</v>
      </c>
      <c r="BU169" s="36">
        <v>1</v>
      </c>
      <c r="BV169" s="36">
        <v>5</v>
      </c>
      <c r="BW169" s="36">
        <v>5</v>
      </c>
      <c r="BX169" s="36">
        <v>5</v>
      </c>
      <c r="BY169" s="36">
        <v>5</v>
      </c>
      <c r="BZ169" s="36">
        <v>5</v>
      </c>
      <c r="CA169" s="36">
        <v>3</v>
      </c>
      <c r="CB169" s="36">
        <v>5</v>
      </c>
      <c r="CC169" s="36">
        <v>5</v>
      </c>
      <c r="CD169" s="36">
        <v>5</v>
      </c>
      <c r="CE169" s="36">
        <v>3</v>
      </c>
      <c r="CF169" s="36">
        <v>1</v>
      </c>
      <c r="CG169" s="36">
        <v>5</v>
      </c>
      <c r="CH169" s="36" t="s">
        <v>222</v>
      </c>
      <c r="CI169"/>
      <c r="CJ169"/>
      <c r="CK169" s="36" t="s">
        <v>234</v>
      </c>
      <c r="CL169"/>
      <c r="CM169"/>
      <c r="CN169" s="36" t="s">
        <v>241</v>
      </c>
      <c r="CO169" s="36" t="s">
        <v>133</v>
      </c>
      <c r="CP169" s="36">
        <v>5</v>
      </c>
      <c r="CQ169" s="36">
        <v>5</v>
      </c>
      <c r="CR169" s="36" t="s">
        <v>248</v>
      </c>
      <c r="CS169" s="36">
        <v>4</v>
      </c>
      <c r="CT169" s="36">
        <v>5</v>
      </c>
      <c r="CU169" s="36">
        <v>5</v>
      </c>
      <c r="CV169" s="36">
        <v>5</v>
      </c>
      <c r="CW169" s="36">
        <v>5</v>
      </c>
      <c r="CX169" s="36">
        <v>5</v>
      </c>
      <c r="CY169" s="36">
        <v>5</v>
      </c>
      <c r="CZ169" s="36">
        <v>5</v>
      </c>
      <c r="DA169" s="36">
        <v>5</v>
      </c>
      <c r="DB169" s="36">
        <v>5</v>
      </c>
      <c r="DC169" s="36">
        <v>5</v>
      </c>
      <c r="DD169" s="36">
        <v>5</v>
      </c>
      <c r="DE169" s="36">
        <v>5</v>
      </c>
      <c r="DF169" s="36">
        <v>5</v>
      </c>
      <c r="DG169" s="36">
        <v>5</v>
      </c>
      <c r="DH169" s="36">
        <v>5</v>
      </c>
      <c r="DI169" s="36" t="s">
        <v>133</v>
      </c>
      <c r="DJ169" s="36" t="s">
        <v>133</v>
      </c>
      <c r="DK169" s="36" t="s">
        <v>254</v>
      </c>
      <c r="DL169" t="s">
        <v>255</v>
      </c>
      <c r="DM169"/>
      <c r="DN169"/>
      <c r="DO169" t="s">
        <v>257</v>
      </c>
      <c r="DP169"/>
      <c r="DQ169" s="36">
        <v>1</v>
      </c>
      <c r="DR169" s="36" t="s">
        <v>133</v>
      </c>
      <c r="DS169" s="36" t="s">
        <v>259</v>
      </c>
      <c r="DT169"/>
      <c r="DU169"/>
      <c r="DV169"/>
      <c r="DW169"/>
      <c r="DX169"/>
      <c r="DY169" s="36">
        <v>1</v>
      </c>
      <c r="DZ169" s="36" t="s">
        <v>133</v>
      </c>
      <c r="EA169" s="36">
        <v>5</v>
      </c>
      <c r="EB169" s="36" t="s">
        <v>263</v>
      </c>
      <c r="EC169" s="36" t="s">
        <v>267</v>
      </c>
      <c r="ED169" s="36">
        <v>41</v>
      </c>
      <c r="EE169" s="36" t="s">
        <v>399</v>
      </c>
      <c r="EF169" s="36" t="str">
        <f>Tabulacao!MC169</f>
        <v>São Cristóvão</v>
      </c>
      <c r="EG169" s="36" t="s">
        <v>399</v>
      </c>
      <c r="EH169" s="36" t="str">
        <f>Tabulacao!MG169</f>
        <v>São Cristóvão</v>
      </c>
      <c r="EI169" s="36" t="s">
        <v>399</v>
      </c>
      <c r="EJ169" s="36" t="str">
        <f>Tabulacao!MK169</f>
        <v>São Cristóvão</v>
      </c>
      <c r="EK169" s="36" t="s">
        <v>134</v>
      </c>
      <c r="EL169" s="36" t="s">
        <v>134</v>
      </c>
      <c r="EM169" s="36" t="s">
        <v>134</v>
      </c>
      <c r="EN169" s="36" t="s">
        <v>134</v>
      </c>
      <c r="EO169" s="36" t="s">
        <v>134</v>
      </c>
      <c r="EP169" s="36" t="s">
        <v>134</v>
      </c>
      <c r="EQ169" s="36" t="s">
        <v>722</v>
      </c>
      <c r="ER169" s="36" t="str">
        <f>IF(OR(EQ169=CaractAmostra!$BD$9,EQ169=CaractAmostra!$BD$10,EQ169=CaractAmostra!$BD$11,EQ169=CaractAmostra!$BD$12,EQ169=CaractAmostra!$BD$13),Respostas_Formatadas!EQ169,"Outros")</f>
        <v>Outros</v>
      </c>
      <c r="ES169" s="36" t="s">
        <v>723</v>
      </c>
      <c r="ET169" s="36" t="str">
        <f>IF(OR(ES169=CaractAmostra!$BH$9,ES169=CaractAmostra!$BH$10,ES169=CaractAmostra!$BH$11,ES169=CaractAmostra!$BH$12),Respostas_Formatadas!ES169,"Outros")</f>
        <v>Outros</v>
      </c>
      <c r="EU169" s="36" t="s">
        <v>280</v>
      </c>
      <c r="EV169" s="36" t="s">
        <v>283</v>
      </c>
      <c r="EW169" s="36" t="s">
        <v>282</v>
      </c>
      <c r="FE169" s="47">
        <v>2015</v>
      </c>
      <c r="FF169" s="97">
        <v>7.3917999999999999</v>
      </c>
      <c r="FG169" s="47">
        <v>2015</v>
      </c>
      <c r="FH169" s="47">
        <f t="shared" si="6"/>
        <v>0</v>
      </c>
      <c r="FI169" s="47" t="str">
        <f t="shared" si="4"/>
        <v>Aracaju</v>
      </c>
      <c r="FJ169" s="47" t="str">
        <f t="shared" si="5"/>
        <v>Licenciatura</v>
      </c>
    </row>
    <row r="170" spans="1:166" s="36" customFormat="1" ht="15.75" customHeight="1" x14ac:dyDescent="0.2">
      <c r="A170" s="38">
        <v>43420.448594872687</v>
      </c>
      <c r="C170" s="36" t="s">
        <v>119</v>
      </c>
      <c r="D170" s="47" t="s">
        <v>133</v>
      </c>
      <c r="E170" s="36" t="s">
        <v>135</v>
      </c>
      <c r="H170" s="36" t="s">
        <v>144</v>
      </c>
      <c r="M170" s="36" t="s">
        <v>146</v>
      </c>
      <c r="N170" s="36" t="s">
        <v>134</v>
      </c>
      <c r="O170" s="36" t="s">
        <v>133</v>
      </c>
      <c r="P170" s="36" t="s">
        <v>134</v>
      </c>
      <c r="Q170" s="36" t="s">
        <v>134</v>
      </c>
      <c r="R170" s="36" t="s">
        <v>151</v>
      </c>
      <c r="Y170" s="36" t="s">
        <v>166</v>
      </c>
      <c r="AC170" s="36" t="s">
        <v>181</v>
      </c>
      <c r="AD170" s="36" t="s">
        <v>584</v>
      </c>
      <c r="AE170" s="36">
        <v>5</v>
      </c>
      <c r="AF170" s="36" t="s">
        <v>190</v>
      </c>
      <c r="AG170" s="36" t="s">
        <v>190</v>
      </c>
      <c r="AH170" s="36" t="s">
        <v>134</v>
      </c>
      <c r="AI170" s="40">
        <v>3200</v>
      </c>
      <c r="AJ170" s="36">
        <v>5</v>
      </c>
      <c r="AK170" s="36">
        <v>5</v>
      </c>
      <c r="AL170" s="36" t="s">
        <v>133</v>
      </c>
      <c r="AP170" s="36" t="s">
        <v>584</v>
      </c>
      <c r="AQ170" s="40">
        <v>3200</v>
      </c>
      <c r="AR170" s="36">
        <v>3</v>
      </c>
      <c r="AS170" s="36">
        <v>5</v>
      </c>
      <c r="AT170" s="36">
        <v>5</v>
      </c>
      <c r="AU170" s="36">
        <v>3</v>
      </c>
      <c r="AV170" s="36">
        <v>4</v>
      </c>
      <c r="AW170" s="36" t="s">
        <v>192</v>
      </c>
      <c r="AX170" s="36" t="s">
        <v>204</v>
      </c>
      <c r="AY170" s="36" t="s">
        <v>209</v>
      </c>
      <c r="AZ170" s="36" t="s">
        <v>133</v>
      </c>
      <c r="BA170" s="36" t="s">
        <v>213</v>
      </c>
      <c r="BB170" s="36" t="s">
        <v>724</v>
      </c>
      <c r="BC170" s="36" t="s">
        <v>292</v>
      </c>
      <c r="BD170" s="36" t="s">
        <v>190</v>
      </c>
      <c r="BG170" s="36">
        <v>4</v>
      </c>
      <c r="BH170" s="36">
        <v>4</v>
      </c>
      <c r="BI170" s="36">
        <v>4</v>
      </c>
      <c r="BJ170" s="36">
        <v>4</v>
      </c>
      <c r="BK170" s="36">
        <v>5</v>
      </c>
      <c r="BL170" s="36">
        <v>4</v>
      </c>
      <c r="BM170" s="36">
        <v>5</v>
      </c>
      <c r="BN170" s="36">
        <v>5</v>
      </c>
      <c r="BO170" s="36">
        <v>4</v>
      </c>
      <c r="BP170" s="36">
        <v>5</v>
      </c>
      <c r="BQ170" s="36">
        <v>4</v>
      </c>
      <c r="BR170" s="36">
        <v>4</v>
      </c>
      <c r="BS170" s="36">
        <v>3</v>
      </c>
      <c r="BT170" s="36">
        <v>4</v>
      </c>
      <c r="BU170" s="36">
        <v>5</v>
      </c>
      <c r="BV170" s="36">
        <v>5</v>
      </c>
      <c r="BW170" s="36">
        <v>5</v>
      </c>
      <c r="BX170" s="36">
        <v>5</v>
      </c>
      <c r="BY170" s="36">
        <v>4</v>
      </c>
      <c r="BZ170" s="36">
        <v>5</v>
      </c>
      <c r="CA170" s="36">
        <v>5</v>
      </c>
      <c r="CB170" s="36">
        <v>5</v>
      </c>
      <c r="CC170" s="36">
        <v>5</v>
      </c>
      <c r="CD170" s="36">
        <v>4</v>
      </c>
      <c r="CE170" s="36">
        <v>4</v>
      </c>
      <c r="CF170" s="36">
        <v>3</v>
      </c>
      <c r="CG170" s="36">
        <v>4</v>
      </c>
      <c r="CH170" s="36" t="s">
        <v>222</v>
      </c>
      <c r="CI170" t="s">
        <v>225</v>
      </c>
      <c r="CJ170"/>
      <c r="CK170" s="36" t="s">
        <v>233</v>
      </c>
      <c r="CL170" t="s">
        <v>235</v>
      </c>
      <c r="CM170" t="s">
        <v>239</v>
      </c>
      <c r="CN170" s="36" t="s">
        <v>242</v>
      </c>
      <c r="CO170" s="36" t="s">
        <v>134</v>
      </c>
      <c r="CP170" s="36">
        <v>4</v>
      </c>
      <c r="CQ170" s="36">
        <v>5</v>
      </c>
      <c r="CR170" s="36" t="s">
        <v>248</v>
      </c>
      <c r="CS170" s="36">
        <v>2</v>
      </c>
      <c r="CT170" s="36">
        <v>2</v>
      </c>
      <c r="CU170" s="36">
        <v>1</v>
      </c>
      <c r="CV170" s="36">
        <v>1</v>
      </c>
      <c r="CW170" s="36">
        <v>3</v>
      </c>
      <c r="CX170" s="36">
        <v>4</v>
      </c>
      <c r="CY170" s="36">
        <v>4</v>
      </c>
      <c r="CZ170" s="36">
        <v>5</v>
      </c>
      <c r="DA170" s="36">
        <v>4</v>
      </c>
      <c r="DB170" s="36">
        <v>1</v>
      </c>
      <c r="DC170" s="36">
        <v>3</v>
      </c>
      <c r="DD170" s="36">
        <v>4</v>
      </c>
      <c r="DE170" s="36">
        <v>5</v>
      </c>
      <c r="DF170" s="36">
        <v>4</v>
      </c>
      <c r="DG170" s="36">
        <v>4</v>
      </c>
      <c r="DH170" s="36">
        <v>3</v>
      </c>
      <c r="DI170" s="36" t="s">
        <v>133</v>
      </c>
      <c r="DJ170" s="36" t="s">
        <v>134</v>
      </c>
      <c r="DL170"/>
      <c r="DM170"/>
      <c r="DN170"/>
      <c r="DO170"/>
      <c r="DP170"/>
      <c r="DR170" s="36" t="s">
        <v>134</v>
      </c>
      <c r="DT170"/>
      <c r="DU170"/>
      <c r="DV170"/>
      <c r="DW170"/>
      <c r="DX170"/>
      <c r="DZ170" s="36" t="s">
        <v>134</v>
      </c>
      <c r="EB170" s="36" t="s">
        <v>263</v>
      </c>
      <c r="EC170" s="36" t="s">
        <v>264</v>
      </c>
      <c r="ED170" s="36">
        <v>25</v>
      </c>
      <c r="EE170" s="36" t="s">
        <v>292</v>
      </c>
      <c r="EF170" s="36" t="str">
        <f>Tabulacao!MC170</f>
        <v>Aracaju</v>
      </c>
      <c r="EG170" s="36" t="s">
        <v>292</v>
      </c>
      <c r="EH170" s="36" t="str">
        <f>Tabulacao!MG170</f>
        <v>Aracaju</v>
      </c>
      <c r="EI170" s="36" t="s">
        <v>292</v>
      </c>
      <c r="EJ170" s="36" t="str">
        <f>Tabulacao!MK170</f>
        <v>Aracaju</v>
      </c>
      <c r="EK170" s="36" t="s">
        <v>134</v>
      </c>
      <c r="EL170" s="36" t="s">
        <v>134</v>
      </c>
      <c r="EM170" s="36" t="s">
        <v>134</v>
      </c>
      <c r="EN170" s="36" t="s">
        <v>134</v>
      </c>
      <c r="EO170" s="36" t="s">
        <v>134</v>
      </c>
      <c r="EP170" s="36" t="s">
        <v>134</v>
      </c>
      <c r="EQ170" s="36" t="s">
        <v>275</v>
      </c>
      <c r="ER170" s="36" t="str">
        <f>IF(OR(EQ170=CaractAmostra!$BD$9,EQ170=CaractAmostra!$BD$10,EQ170=CaractAmostra!$BD$11,EQ170=CaractAmostra!$BD$12,EQ170=CaractAmostra!$BD$13),Respostas_Formatadas!EQ170,"Outros")</f>
        <v>Com os pais</v>
      </c>
      <c r="ES170" s="36" t="s">
        <v>275</v>
      </c>
      <c r="ET170" s="36" t="str">
        <f>IF(OR(ES170=CaractAmostra!$BH$9,ES170=CaractAmostra!$BH$10,ES170=CaractAmostra!$BH$11,ES170=CaractAmostra!$BH$12),Respostas_Formatadas!ES170,"Outros")</f>
        <v>Com os pais</v>
      </c>
      <c r="EU170" s="36" t="s">
        <v>134</v>
      </c>
      <c r="EV170" s="36" t="s">
        <v>283</v>
      </c>
      <c r="EW170" s="36" t="s">
        <v>283</v>
      </c>
      <c r="FE170" s="47">
        <v>2017</v>
      </c>
      <c r="FF170" s="97">
        <v>8.2597000000000005</v>
      </c>
      <c r="FG170" s="47">
        <v>2017</v>
      </c>
      <c r="FH170" s="47">
        <f t="shared" si="6"/>
        <v>0</v>
      </c>
      <c r="FI170" s="47" t="str">
        <f t="shared" si="4"/>
        <v>Aracaju</v>
      </c>
      <c r="FJ170" s="47" t="str">
        <f t="shared" si="5"/>
        <v>Bacharelado</v>
      </c>
    </row>
    <row r="171" spans="1:166" s="36" customFormat="1" ht="15.75" customHeight="1" x14ac:dyDescent="0.2">
      <c r="A171" s="38">
        <v>43420.45030837963</v>
      </c>
      <c r="B171" s="41"/>
      <c r="C171" s="36" t="s">
        <v>122</v>
      </c>
      <c r="D171" s="47" t="s">
        <v>134</v>
      </c>
      <c r="M171" s="36" t="s">
        <v>146</v>
      </c>
      <c r="N171" s="36" t="s">
        <v>134</v>
      </c>
      <c r="O171" s="36" t="s">
        <v>133</v>
      </c>
      <c r="P171" s="36" t="s">
        <v>134</v>
      </c>
      <c r="Q171" s="36" t="s">
        <v>134</v>
      </c>
      <c r="R171" s="36" t="s">
        <v>152</v>
      </c>
      <c r="S171" s="36" t="s">
        <v>725</v>
      </c>
      <c r="T171" s="36" t="s">
        <v>154</v>
      </c>
      <c r="U171" s="36" t="s">
        <v>159</v>
      </c>
      <c r="V171" s="36">
        <v>3</v>
      </c>
      <c r="W171" s="36">
        <v>3</v>
      </c>
      <c r="X171" s="36">
        <v>3</v>
      </c>
      <c r="Y171" s="36" t="s">
        <v>134</v>
      </c>
      <c r="AI171" s="40"/>
      <c r="AQ171" s="40"/>
      <c r="BT171" s="36">
        <v>3</v>
      </c>
      <c r="BU171" s="36">
        <v>4</v>
      </c>
      <c r="BV171" s="36">
        <v>4</v>
      </c>
      <c r="BW171" s="36">
        <v>2</v>
      </c>
      <c r="BX171" s="36">
        <v>3</v>
      </c>
      <c r="BY171" s="36">
        <v>4</v>
      </c>
      <c r="BZ171" s="36">
        <v>4</v>
      </c>
      <c r="CA171" s="36">
        <v>4</v>
      </c>
      <c r="CB171" s="36">
        <v>4</v>
      </c>
      <c r="CC171" s="36">
        <v>4</v>
      </c>
      <c r="CD171" s="36">
        <v>4</v>
      </c>
      <c r="CE171" s="36">
        <v>3</v>
      </c>
      <c r="CF171" s="36">
        <v>3</v>
      </c>
      <c r="CG171" s="36">
        <v>3</v>
      </c>
      <c r="CH171" s="36" t="s">
        <v>230</v>
      </c>
      <c r="CI171"/>
      <c r="CJ171"/>
      <c r="CK171" s="36" t="s">
        <v>234</v>
      </c>
      <c r="CL171" t="s">
        <v>235</v>
      </c>
      <c r="CM171"/>
      <c r="CN171" s="36" t="s">
        <v>241</v>
      </c>
      <c r="CO171" s="36" t="s">
        <v>134</v>
      </c>
      <c r="CP171" s="36">
        <v>4</v>
      </c>
      <c r="CQ171" s="36">
        <v>3</v>
      </c>
      <c r="CR171" s="36" t="s">
        <v>248</v>
      </c>
      <c r="CS171" s="36">
        <v>5</v>
      </c>
      <c r="CT171" s="36">
        <v>4</v>
      </c>
      <c r="CU171" s="36">
        <v>4</v>
      </c>
      <c r="CV171" s="36">
        <v>5</v>
      </c>
      <c r="CW171" s="36">
        <v>5</v>
      </c>
      <c r="CX171" s="36">
        <v>5</v>
      </c>
      <c r="CY171" s="36">
        <v>5</v>
      </c>
      <c r="CZ171" s="36">
        <v>4</v>
      </c>
      <c r="DA171" s="36">
        <v>3</v>
      </c>
      <c r="DB171" s="36">
        <v>3</v>
      </c>
      <c r="DC171" s="36">
        <v>3</v>
      </c>
      <c r="DD171" s="36">
        <v>5</v>
      </c>
      <c r="DE171" s="36">
        <v>4</v>
      </c>
      <c r="DF171" s="36">
        <v>5</v>
      </c>
      <c r="DG171" s="36">
        <v>5</v>
      </c>
      <c r="DH171" s="36">
        <v>3</v>
      </c>
      <c r="DI171" s="36" t="s">
        <v>250</v>
      </c>
      <c r="DJ171" s="36" t="s">
        <v>134</v>
      </c>
      <c r="DL171"/>
      <c r="DM171"/>
      <c r="DN171"/>
      <c r="DO171"/>
      <c r="DP171"/>
      <c r="DR171" s="36" t="s">
        <v>133</v>
      </c>
      <c r="DS171" s="36" t="s">
        <v>261</v>
      </c>
      <c r="DT171"/>
      <c r="DU171"/>
      <c r="DV171"/>
      <c r="DW171"/>
      <c r="DX171"/>
      <c r="DY171" s="36">
        <v>5</v>
      </c>
      <c r="DZ171" s="36" t="s">
        <v>134</v>
      </c>
      <c r="EB171" s="36" t="s">
        <v>262</v>
      </c>
      <c r="EC171" s="36" t="s">
        <v>267</v>
      </c>
      <c r="ED171" s="36">
        <v>26</v>
      </c>
      <c r="EE171" s="36" t="s">
        <v>726</v>
      </c>
      <c r="EF171" s="36" t="str">
        <f>Tabulacao!MC171</f>
        <v>Nossa Senhora das Dores</v>
      </c>
      <c r="EG171" s="36" t="s">
        <v>726</v>
      </c>
      <c r="EH171" s="36" t="str">
        <f>Tabulacao!MG171</f>
        <v>Nossa Senhora das Dores</v>
      </c>
      <c r="EI171" s="36" t="s">
        <v>726</v>
      </c>
      <c r="EJ171" s="36" t="str">
        <f>Tabulacao!MK171</f>
        <v>Nossa Senhora das Dores</v>
      </c>
      <c r="EK171" s="36" t="s">
        <v>134</v>
      </c>
      <c r="EL171" s="36" t="s">
        <v>134</v>
      </c>
      <c r="EM171" s="36" t="s">
        <v>134</v>
      </c>
      <c r="EN171" s="36" t="s">
        <v>134</v>
      </c>
      <c r="EO171" s="36" t="s">
        <v>134</v>
      </c>
      <c r="EP171" s="36" t="s">
        <v>134</v>
      </c>
      <c r="EQ171" s="36" t="s">
        <v>275</v>
      </c>
      <c r="ER171" s="36" t="str">
        <f>IF(OR(EQ171=CaractAmostra!$BD$9,EQ171=CaractAmostra!$BD$10,EQ171=CaractAmostra!$BD$11,EQ171=CaractAmostra!$BD$12,EQ171=CaractAmostra!$BD$13),Respostas_Formatadas!EQ171,"Outros")</f>
        <v>Com os pais</v>
      </c>
      <c r="ES171" s="36" t="s">
        <v>275</v>
      </c>
      <c r="ET171" s="36" t="str">
        <f>IF(OR(ES171=CaractAmostra!$BH$9,ES171=CaractAmostra!$BH$10,ES171=CaractAmostra!$BH$11,ES171=CaractAmostra!$BH$12),Respostas_Formatadas!ES171,"Outros")</f>
        <v>Com os pais</v>
      </c>
      <c r="EU171" s="36" t="s">
        <v>134</v>
      </c>
      <c r="EV171" s="36" t="s">
        <v>285</v>
      </c>
      <c r="EW171" s="36" t="s">
        <v>287</v>
      </c>
      <c r="FE171" s="98">
        <v>2014</v>
      </c>
      <c r="FF171" s="97">
        <v>7.7956000000000003</v>
      </c>
      <c r="FG171" s="47">
        <v>2014</v>
      </c>
      <c r="FH171" s="47">
        <f t="shared" si="6"/>
        <v>0</v>
      </c>
      <c r="FI171" s="47" t="str">
        <f t="shared" si="4"/>
        <v>Aracaju</v>
      </c>
      <c r="FJ171" s="47" t="str">
        <f t="shared" si="5"/>
        <v>Licenciatura</v>
      </c>
    </row>
    <row r="172" spans="1:166" s="36" customFormat="1" ht="15.75" customHeight="1" x14ac:dyDescent="0.2">
      <c r="A172" s="38">
        <v>43420.461672835649</v>
      </c>
      <c r="B172" s="41"/>
      <c r="C172" s="36" t="s">
        <v>121</v>
      </c>
      <c r="D172" s="47" t="s">
        <v>133</v>
      </c>
      <c r="E172" s="36" t="s">
        <v>138</v>
      </c>
      <c r="H172" s="36" t="s">
        <v>141</v>
      </c>
      <c r="I172" s="36" t="s">
        <v>142</v>
      </c>
      <c r="J172" s="36" t="s">
        <v>144</v>
      </c>
      <c r="M172" s="36" t="s">
        <v>146</v>
      </c>
      <c r="N172" s="36" t="s">
        <v>133</v>
      </c>
      <c r="O172" s="36" t="s">
        <v>133</v>
      </c>
      <c r="P172" s="36" t="s">
        <v>133</v>
      </c>
      <c r="Q172" s="36" t="s">
        <v>134</v>
      </c>
      <c r="R172" s="36" t="s">
        <v>151</v>
      </c>
      <c r="Y172" s="36" t="s">
        <v>166</v>
      </c>
      <c r="AC172" s="36" t="s">
        <v>186</v>
      </c>
      <c r="AD172" s="36" t="s">
        <v>727</v>
      </c>
      <c r="AE172" s="36">
        <v>4</v>
      </c>
      <c r="AF172" s="36" t="s">
        <v>190</v>
      </c>
      <c r="AG172" s="36" t="s">
        <v>190</v>
      </c>
      <c r="AH172" s="36" t="s">
        <v>134</v>
      </c>
      <c r="AI172" s="40">
        <v>2000</v>
      </c>
      <c r="AJ172" s="36">
        <v>4</v>
      </c>
      <c r="AK172" s="36">
        <v>4</v>
      </c>
      <c r="AL172" s="36" t="s">
        <v>133</v>
      </c>
      <c r="AP172" s="36" t="s">
        <v>728</v>
      </c>
      <c r="AQ172" s="40">
        <v>3200</v>
      </c>
      <c r="AR172" s="36">
        <v>3</v>
      </c>
      <c r="AS172" s="36">
        <v>4</v>
      </c>
      <c r="AT172" s="36">
        <v>1</v>
      </c>
      <c r="AU172" s="36">
        <v>3</v>
      </c>
      <c r="AV172" s="36">
        <v>5</v>
      </c>
      <c r="AW172" s="36" t="s">
        <v>192</v>
      </c>
      <c r="AX172" s="36" t="s">
        <v>206</v>
      </c>
      <c r="AY172" s="36" t="s">
        <v>208</v>
      </c>
      <c r="AZ172" s="36" t="s">
        <v>133</v>
      </c>
      <c r="BA172" s="36" t="s">
        <v>170</v>
      </c>
      <c r="BB172" s="36" t="s">
        <v>292</v>
      </c>
      <c r="BC172" s="36" t="s">
        <v>292</v>
      </c>
      <c r="BD172" s="36" t="s">
        <v>190</v>
      </c>
      <c r="BG172" s="36">
        <v>5</v>
      </c>
      <c r="BH172" s="36">
        <v>4</v>
      </c>
      <c r="BI172" s="36">
        <v>4</v>
      </c>
      <c r="BJ172" s="36">
        <v>4</v>
      </c>
      <c r="BK172" s="36">
        <v>5</v>
      </c>
      <c r="BL172" s="36">
        <v>4</v>
      </c>
      <c r="BM172" s="36">
        <v>5</v>
      </c>
      <c r="BN172" s="36">
        <v>5</v>
      </c>
      <c r="BO172" s="36">
        <v>4</v>
      </c>
      <c r="BP172" s="36">
        <v>4</v>
      </c>
      <c r="BQ172" s="36">
        <v>5</v>
      </c>
      <c r="BR172" s="36">
        <v>5</v>
      </c>
      <c r="BS172" s="36">
        <v>4</v>
      </c>
      <c r="BT172" s="36">
        <v>5</v>
      </c>
      <c r="BU172" s="36">
        <v>4</v>
      </c>
      <c r="BV172" s="36">
        <v>4</v>
      </c>
      <c r="BW172" s="36">
        <v>4</v>
      </c>
      <c r="BX172" s="36">
        <v>5</v>
      </c>
      <c r="BY172" s="36">
        <v>4</v>
      </c>
      <c r="BZ172" s="36">
        <v>5</v>
      </c>
      <c r="CA172" s="36">
        <v>5</v>
      </c>
      <c r="CB172" s="36">
        <v>5</v>
      </c>
      <c r="CC172" s="36">
        <v>5</v>
      </c>
      <c r="CD172" s="36">
        <v>5</v>
      </c>
      <c r="CE172" s="36">
        <v>5</v>
      </c>
      <c r="CF172" s="36">
        <v>5</v>
      </c>
      <c r="CG172" s="36">
        <v>5</v>
      </c>
      <c r="CH172" s="36" t="s">
        <v>225</v>
      </c>
      <c r="CI172"/>
      <c r="CJ172"/>
      <c r="CK172" s="36" t="s">
        <v>232</v>
      </c>
      <c r="CL172"/>
      <c r="CM172"/>
      <c r="CN172" s="36" t="s">
        <v>242</v>
      </c>
      <c r="CO172" s="36" t="s">
        <v>134</v>
      </c>
      <c r="CP172" s="36">
        <v>3</v>
      </c>
      <c r="CQ172" s="36">
        <v>5</v>
      </c>
      <c r="CR172" s="36" t="s">
        <v>248</v>
      </c>
      <c r="CS172" s="36">
        <v>3</v>
      </c>
      <c r="CT172" s="36">
        <v>3</v>
      </c>
      <c r="CU172" s="36">
        <v>4</v>
      </c>
      <c r="CV172" s="36">
        <v>4</v>
      </c>
      <c r="CW172" s="36">
        <v>4</v>
      </c>
      <c r="CX172" s="36">
        <v>3</v>
      </c>
      <c r="CY172" s="36">
        <v>4</v>
      </c>
      <c r="CZ172" s="36">
        <v>4</v>
      </c>
      <c r="DA172" s="36">
        <v>2</v>
      </c>
      <c r="DB172" s="36">
        <v>3</v>
      </c>
      <c r="DC172" s="36">
        <v>3</v>
      </c>
      <c r="DD172" s="36">
        <v>5</v>
      </c>
      <c r="DE172" s="36">
        <v>5</v>
      </c>
      <c r="DF172" s="36">
        <v>5</v>
      </c>
      <c r="DG172" s="36">
        <v>5</v>
      </c>
      <c r="DH172" s="36">
        <v>3</v>
      </c>
      <c r="DI172" s="36" t="s">
        <v>133</v>
      </c>
      <c r="DJ172" s="36" t="s">
        <v>133</v>
      </c>
      <c r="DK172" s="36" t="s">
        <v>254</v>
      </c>
      <c r="DL172" t="s">
        <v>255</v>
      </c>
      <c r="DM172"/>
      <c r="DN172"/>
      <c r="DO172" t="s">
        <v>256</v>
      </c>
      <c r="DP172" t="s">
        <v>257</v>
      </c>
      <c r="DQ172" s="36">
        <v>5</v>
      </c>
      <c r="DR172" s="36" t="s">
        <v>133</v>
      </c>
      <c r="DS172" s="36" t="s">
        <v>258</v>
      </c>
      <c r="DT172" t="s">
        <v>259</v>
      </c>
      <c r="DU172"/>
      <c r="DV172"/>
      <c r="DW172" t="s">
        <v>260</v>
      </c>
      <c r="DX172" t="s">
        <v>261</v>
      </c>
      <c r="DY172" s="36">
        <v>5</v>
      </c>
      <c r="DZ172" s="36" t="s">
        <v>134</v>
      </c>
      <c r="EB172" s="36" t="s">
        <v>262</v>
      </c>
      <c r="EC172" s="36" t="s">
        <v>267</v>
      </c>
      <c r="ED172" s="36">
        <v>26</v>
      </c>
      <c r="EE172" s="36" t="s">
        <v>729</v>
      </c>
      <c r="EF172" s="36" t="str">
        <f>Tabulacao!MC172</f>
        <v>Nossa Senhora do Socorro</v>
      </c>
      <c r="EG172" s="36" t="s">
        <v>729</v>
      </c>
      <c r="EH172" s="36" t="str">
        <f>Tabulacao!MG172</f>
        <v>Nossa Senhora do Socorro</v>
      </c>
      <c r="EI172" s="36" t="s">
        <v>729</v>
      </c>
      <c r="EJ172" s="36" t="str">
        <f>Tabulacao!MK172</f>
        <v>Nossa Senhora do Socorro</v>
      </c>
      <c r="EK172" s="36" t="s">
        <v>134</v>
      </c>
      <c r="EL172" s="36" t="s">
        <v>134</v>
      </c>
      <c r="EM172" s="36" t="s">
        <v>134</v>
      </c>
      <c r="EN172" s="36" t="s">
        <v>134</v>
      </c>
      <c r="EO172" s="36" t="s">
        <v>134</v>
      </c>
      <c r="EP172" s="36" t="s">
        <v>134</v>
      </c>
      <c r="EQ172" s="36" t="s">
        <v>274</v>
      </c>
      <c r="ER172" s="36" t="str">
        <f>IF(OR(EQ172=CaractAmostra!$BD$9,EQ172=CaractAmostra!$BD$10,EQ172=CaractAmostra!$BD$11,EQ172=CaractAmostra!$BD$12,EQ172=CaractAmostra!$BD$13),Respostas_Formatadas!EQ172,"Outros")</f>
        <v>Com um(a) parceiro(a)</v>
      </c>
      <c r="ES172" s="36" t="s">
        <v>274</v>
      </c>
      <c r="ET172" s="36" t="str">
        <f>IF(OR(ES172=CaractAmostra!$BH$9,ES172=CaractAmostra!$BH$10,ES172=CaractAmostra!$BH$11,ES172=CaractAmostra!$BH$12),Respostas_Formatadas!ES172,"Outros")</f>
        <v>Com um(a) parceiro(a)</v>
      </c>
      <c r="EU172" s="36" t="s">
        <v>134</v>
      </c>
      <c r="EV172" s="36" t="s">
        <v>284</v>
      </c>
      <c r="EW172" s="36" t="s">
        <v>285</v>
      </c>
      <c r="FE172" s="47">
        <v>2016</v>
      </c>
      <c r="FF172" s="97">
        <v>7.6292</v>
      </c>
      <c r="FG172" s="47">
        <v>2016</v>
      </c>
      <c r="FH172" s="47">
        <f t="shared" si="6"/>
        <v>0</v>
      </c>
      <c r="FI172" s="47" t="str">
        <f t="shared" si="4"/>
        <v>Aracaju</v>
      </c>
      <c r="FJ172" s="47" t="str">
        <f t="shared" si="5"/>
        <v>Licenciatura</v>
      </c>
    </row>
    <row r="173" spans="1:166" s="36" customFormat="1" ht="15.75" customHeight="1" x14ac:dyDescent="0.2">
      <c r="A173" s="38">
        <v>43420.462497395834</v>
      </c>
      <c r="B173" s="41"/>
      <c r="C173" s="36" t="s">
        <v>122</v>
      </c>
      <c r="D173" s="47" t="s">
        <v>134</v>
      </c>
      <c r="M173" s="36" t="s">
        <v>147</v>
      </c>
      <c r="N173" s="36" t="s">
        <v>134</v>
      </c>
      <c r="O173" s="36" t="s">
        <v>133</v>
      </c>
      <c r="P173" s="36" t="s">
        <v>133</v>
      </c>
      <c r="Q173" s="36" t="s">
        <v>134</v>
      </c>
      <c r="R173" s="36" t="s">
        <v>151</v>
      </c>
      <c r="Y173" s="36" t="s">
        <v>165</v>
      </c>
      <c r="Z173" s="36" t="s">
        <v>167</v>
      </c>
      <c r="AA173" s="36" t="s">
        <v>171</v>
      </c>
      <c r="AB173" s="36" t="s">
        <v>178</v>
      </c>
      <c r="AD173" s="36" t="s">
        <v>730</v>
      </c>
      <c r="AE173" s="36">
        <v>3</v>
      </c>
      <c r="AF173" s="36" t="s">
        <v>731</v>
      </c>
      <c r="AG173" s="36" t="s">
        <v>189</v>
      </c>
      <c r="AH173" s="36" t="s">
        <v>134</v>
      </c>
      <c r="AI173" s="40">
        <v>1300</v>
      </c>
      <c r="AJ173" s="36">
        <v>3</v>
      </c>
      <c r="AK173" s="36">
        <v>3</v>
      </c>
      <c r="AL173" s="36" t="s">
        <v>134</v>
      </c>
      <c r="AM173" s="36" t="s">
        <v>168</v>
      </c>
      <c r="AN173" s="36">
        <v>3</v>
      </c>
      <c r="AO173" s="36" t="s">
        <v>191</v>
      </c>
      <c r="AP173" s="36" t="s">
        <v>732</v>
      </c>
      <c r="AQ173" s="40">
        <v>2300</v>
      </c>
      <c r="AR173" s="36">
        <v>2</v>
      </c>
      <c r="AS173" s="36">
        <v>3</v>
      </c>
      <c r="AT173" s="36">
        <v>3</v>
      </c>
      <c r="AU173" s="36">
        <v>4</v>
      </c>
      <c r="AV173" s="36">
        <v>4</v>
      </c>
      <c r="AW173" s="36" t="s">
        <v>192</v>
      </c>
      <c r="AX173" s="36" t="s">
        <v>205</v>
      </c>
      <c r="AY173" s="36" t="s">
        <v>210</v>
      </c>
      <c r="AZ173" s="36" t="s">
        <v>134</v>
      </c>
      <c r="BA173" s="36" t="s">
        <v>212</v>
      </c>
      <c r="BB173" s="36" t="s">
        <v>292</v>
      </c>
      <c r="BC173" s="36" t="s">
        <v>292</v>
      </c>
      <c r="BD173" s="36" t="s">
        <v>189</v>
      </c>
      <c r="BF173" s="36" t="s">
        <v>221</v>
      </c>
      <c r="BG173" s="36">
        <v>5</v>
      </c>
      <c r="BH173" s="36">
        <v>5</v>
      </c>
      <c r="BI173" s="36">
        <v>5</v>
      </c>
      <c r="BJ173" s="36">
        <v>4</v>
      </c>
      <c r="BK173" s="36">
        <v>5</v>
      </c>
      <c r="BL173" s="36">
        <v>4</v>
      </c>
      <c r="BM173" s="36">
        <v>5</v>
      </c>
      <c r="BN173" s="36">
        <v>4</v>
      </c>
      <c r="BO173" s="36">
        <v>4</v>
      </c>
      <c r="BP173" s="36">
        <v>5</v>
      </c>
      <c r="BQ173" s="36">
        <v>3</v>
      </c>
      <c r="BR173" s="36">
        <v>2</v>
      </c>
      <c r="BS173" s="36">
        <v>1</v>
      </c>
      <c r="BT173" s="36">
        <v>4</v>
      </c>
      <c r="BU173" s="36">
        <v>4</v>
      </c>
      <c r="BV173" s="36">
        <v>4</v>
      </c>
      <c r="BW173" s="36">
        <v>3</v>
      </c>
      <c r="BX173" s="36">
        <v>4</v>
      </c>
      <c r="BY173" s="36">
        <v>4</v>
      </c>
      <c r="BZ173" s="36">
        <v>5</v>
      </c>
      <c r="CA173" s="36">
        <v>5</v>
      </c>
      <c r="CB173" s="36">
        <v>4</v>
      </c>
      <c r="CC173" s="36">
        <v>4</v>
      </c>
      <c r="CD173" s="36">
        <v>4</v>
      </c>
      <c r="CE173" s="36">
        <v>5</v>
      </c>
      <c r="CF173" s="36">
        <v>3</v>
      </c>
      <c r="CG173" s="36">
        <v>5</v>
      </c>
      <c r="CH173" s="36" t="s">
        <v>222</v>
      </c>
      <c r="CI173"/>
      <c r="CJ173"/>
      <c r="CK173" s="36" t="s">
        <v>233</v>
      </c>
      <c r="CL173" t="s">
        <v>235</v>
      </c>
      <c r="CM173" t="s">
        <v>239</v>
      </c>
      <c r="CN173" s="36" t="s">
        <v>241</v>
      </c>
      <c r="CO173" s="36" t="s">
        <v>133</v>
      </c>
      <c r="CP173" s="36">
        <v>5</v>
      </c>
      <c r="CQ173" s="36">
        <v>5</v>
      </c>
      <c r="CR173" s="36" t="s">
        <v>248</v>
      </c>
      <c r="CS173" s="36">
        <v>5</v>
      </c>
      <c r="CT173" s="36">
        <v>4</v>
      </c>
      <c r="CU173" s="36">
        <v>4</v>
      </c>
      <c r="CV173" s="36">
        <v>4</v>
      </c>
      <c r="CW173" s="36">
        <v>4</v>
      </c>
      <c r="CX173" s="36">
        <v>4</v>
      </c>
      <c r="CY173" s="36">
        <v>3</v>
      </c>
      <c r="CZ173" s="36">
        <v>4</v>
      </c>
      <c r="DA173" s="36">
        <v>4</v>
      </c>
      <c r="DB173" s="36">
        <v>4</v>
      </c>
      <c r="DC173" s="36">
        <v>1</v>
      </c>
      <c r="DD173" s="36">
        <v>5</v>
      </c>
      <c r="DE173" s="36">
        <v>5</v>
      </c>
      <c r="DF173" s="36">
        <v>5</v>
      </c>
      <c r="DG173" s="36">
        <v>5</v>
      </c>
      <c r="DH173" s="36">
        <v>5</v>
      </c>
      <c r="DI173" s="36" t="s">
        <v>250</v>
      </c>
      <c r="DJ173" s="36" t="s">
        <v>133</v>
      </c>
      <c r="DK173" s="36" t="s">
        <v>254</v>
      </c>
      <c r="DL173"/>
      <c r="DM173"/>
      <c r="DN173"/>
      <c r="DO173"/>
      <c r="DP173"/>
      <c r="DQ173" s="36">
        <v>5</v>
      </c>
      <c r="DR173" s="36" t="s">
        <v>133</v>
      </c>
      <c r="DS173" s="36" t="s">
        <v>258</v>
      </c>
      <c r="DT173" t="s">
        <v>261</v>
      </c>
      <c r="DU173"/>
      <c r="DV173"/>
      <c r="DW173"/>
      <c r="DX173"/>
      <c r="DY173" s="36">
        <v>5</v>
      </c>
      <c r="DZ173" s="36" t="s">
        <v>133</v>
      </c>
      <c r="EA173" s="36">
        <v>5</v>
      </c>
      <c r="EB173" s="36" t="s">
        <v>262</v>
      </c>
      <c r="EC173" s="36" t="s">
        <v>264</v>
      </c>
      <c r="ED173" s="36">
        <v>29</v>
      </c>
      <c r="EE173" s="36" t="s">
        <v>292</v>
      </c>
      <c r="EF173" s="36" t="str">
        <f>Tabulacao!MC173</f>
        <v>Aracaju</v>
      </c>
      <c r="EG173" s="36" t="s">
        <v>292</v>
      </c>
      <c r="EH173" s="36" t="str">
        <f>Tabulacao!MG173</f>
        <v>Aracaju</v>
      </c>
      <c r="EI173" s="36" t="s">
        <v>399</v>
      </c>
      <c r="EJ173" s="36" t="str">
        <f>Tabulacao!MK173</f>
        <v>São Cristóvão</v>
      </c>
      <c r="EK173" s="36" t="s">
        <v>134</v>
      </c>
      <c r="EL173" s="36" t="s">
        <v>134</v>
      </c>
      <c r="EM173" s="36" t="s">
        <v>134</v>
      </c>
      <c r="EN173" s="36" t="s">
        <v>134</v>
      </c>
      <c r="EO173" s="36" t="s">
        <v>134</v>
      </c>
      <c r="EP173" s="36" t="s">
        <v>134</v>
      </c>
      <c r="EQ173" s="36" t="s">
        <v>273</v>
      </c>
      <c r="ER173" s="36" t="str">
        <f>IF(OR(EQ173=CaractAmostra!$BD$9,EQ173=CaractAmostra!$BD$10,EQ173=CaractAmostra!$BD$11,EQ173=CaractAmostra!$BD$12,EQ173=CaractAmostra!$BD$13),Respostas_Formatadas!EQ173,"Outros")</f>
        <v>Dividia residência com outras pessoas</v>
      </c>
      <c r="ES173" s="36" t="s">
        <v>278</v>
      </c>
      <c r="ET173" s="36" t="str">
        <f>IF(OR(ES173=CaractAmostra!$BH$9,ES173=CaractAmostra!$BH$10,ES173=CaractAmostra!$BH$11,ES173=CaractAmostra!$BH$12),Respostas_Formatadas!ES173,"Outros")</f>
        <v>Divido residência com outras pessoas</v>
      </c>
      <c r="EU173" s="36" t="s">
        <v>134</v>
      </c>
      <c r="EV173" s="36" t="s">
        <v>285</v>
      </c>
      <c r="EW173" s="36" t="s">
        <v>285</v>
      </c>
      <c r="FE173" s="47">
        <v>2014</v>
      </c>
      <c r="FF173" s="97">
        <v>7.2127999999999997</v>
      </c>
      <c r="FG173" s="47">
        <v>2014</v>
      </c>
      <c r="FH173" s="47">
        <f t="shared" si="6"/>
        <v>0</v>
      </c>
      <c r="FI173" s="47" t="str">
        <f t="shared" si="4"/>
        <v>Aracaju</v>
      </c>
      <c r="FJ173" s="47" t="str">
        <f t="shared" si="5"/>
        <v>Licenciatura</v>
      </c>
    </row>
    <row r="174" spans="1:166" s="36" customFormat="1" ht="15.75" customHeight="1" x14ac:dyDescent="0.2">
      <c r="A174" s="38">
        <v>43420.471834942131</v>
      </c>
      <c r="B174" s="41"/>
      <c r="C174" s="36" t="s">
        <v>124</v>
      </c>
      <c r="D174" s="47" t="s">
        <v>133</v>
      </c>
      <c r="E174" s="36" t="s">
        <v>135</v>
      </c>
      <c r="H174" s="36" t="s">
        <v>144</v>
      </c>
      <c r="M174" s="36" t="s">
        <v>146</v>
      </c>
      <c r="N174" s="36" t="s">
        <v>134</v>
      </c>
      <c r="O174" s="36" t="s">
        <v>134</v>
      </c>
      <c r="P174" s="36" t="s">
        <v>134</v>
      </c>
      <c r="Q174" s="36" t="s">
        <v>134</v>
      </c>
      <c r="R174" s="36" t="s">
        <v>153</v>
      </c>
      <c r="S174" s="36" t="s">
        <v>733</v>
      </c>
      <c r="T174" s="36" t="s">
        <v>154</v>
      </c>
      <c r="U174" s="36" t="s">
        <v>157</v>
      </c>
      <c r="V174" s="36">
        <v>2</v>
      </c>
      <c r="W174" s="36">
        <v>2</v>
      </c>
      <c r="X174" s="36">
        <v>5</v>
      </c>
      <c r="Y174" s="36" t="s">
        <v>134</v>
      </c>
      <c r="AI174" s="40"/>
      <c r="AQ174" s="40"/>
      <c r="BT174" s="36">
        <v>3</v>
      </c>
      <c r="BU174" s="36">
        <v>3</v>
      </c>
      <c r="BV174" s="36">
        <v>2</v>
      </c>
      <c r="BW174" s="36">
        <v>4</v>
      </c>
      <c r="BX174" s="36">
        <v>4</v>
      </c>
      <c r="BY174" s="36">
        <v>4</v>
      </c>
      <c r="BZ174" s="36">
        <v>3</v>
      </c>
      <c r="CA174" s="36">
        <v>4</v>
      </c>
      <c r="CB174" s="36">
        <v>3</v>
      </c>
      <c r="CC174" s="36">
        <v>4</v>
      </c>
      <c r="CD174" s="36">
        <v>3</v>
      </c>
      <c r="CE174" s="36">
        <v>3</v>
      </c>
      <c r="CF174" s="36">
        <v>1</v>
      </c>
      <c r="CG174" s="36">
        <v>1</v>
      </c>
      <c r="CH174" s="36" t="s">
        <v>222</v>
      </c>
      <c r="CI174" t="s">
        <v>226</v>
      </c>
      <c r="CJ174" t="s">
        <v>229</v>
      </c>
      <c r="CK174" s="36" t="s">
        <v>233</v>
      </c>
      <c r="CL174" t="s">
        <v>234</v>
      </c>
      <c r="CM174" t="s">
        <v>240</v>
      </c>
      <c r="CN174" s="36" t="s">
        <v>241</v>
      </c>
      <c r="CO174" s="36" t="s">
        <v>134</v>
      </c>
      <c r="CP174" s="36">
        <v>1</v>
      </c>
      <c r="CQ174" s="36">
        <v>5</v>
      </c>
      <c r="CR174" s="36" t="s">
        <v>248</v>
      </c>
      <c r="CS174" s="36">
        <v>5</v>
      </c>
      <c r="CT174" s="36">
        <v>4</v>
      </c>
      <c r="CU174" s="36">
        <v>2</v>
      </c>
      <c r="CV174" s="36">
        <v>1</v>
      </c>
      <c r="CW174" s="36">
        <v>4</v>
      </c>
      <c r="CX174" s="36">
        <v>4</v>
      </c>
      <c r="CY174" s="36">
        <v>4</v>
      </c>
      <c r="CZ174" s="36">
        <v>4</v>
      </c>
      <c r="DA174" s="36">
        <v>3</v>
      </c>
      <c r="DB174" s="36">
        <v>3</v>
      </c>
      <c r="DC174" s="36">
        <v>3</v>
      </c>
      <c r="DD174" s="36">
        <v>2</v>
      </c>
      <c r="DE174" s="36">
        <v>2</v>
      </c>
      <c r="DF174" s="36">
        <v>2</v>
      </c>
      <c r="DG174" s="36">
        <v>2</v>
      </c>
      <c r="DH174" s="36">
        <v>2</v>
      </c>
      <c r="DI174" s="36" t="s">
        <v>250</v>
      </c>
      <c r="DJ174" s="36" t="s">
        <v>133</v>
      </c>
      <c r="DK174" s="36" t="s">
        <v>255</v>
      </c>
      <c r="DL174"/>
      <c r="DM174"/>
      <c r="DN174"/>
      <c r="DO174"/>
      <c r="DP174"/>
      <c r="DQ174" s="36">
        <v>4</v>
      </c>
      <c r="DR174" s="36" t="s">
        <v>133</v>
      </c>
      <c r="DS174" s="36" t="s">
        <v>258</v>
      </c>
      <c r="DT174"/>
      <c r="DU174"/>
      <c r="DV174"/>
      <c r="DW174"/>
      <c r="DX174"/>
      <c r="DY174" s="36">
        <v>4</v>
      </c>
      <c r="DZ174" s="36" t="s">
        <v>134</v>
      </c>
      <c r="EB174" s="36" t="s">
        <v>263</v>
      </c>
      <c r="EC174" s="36" t="s">
        <v>267</v>
      </c>
      <c r="EE174" s="36" t="s">
        <v>292</v>
      </c>
      <c r="EF174" s="36" t="str">
        <f>Tabulacao!MC174</f>
        <v>Aracaju</v>
      </c>
      <c r="EG174" s="36" t="s">
        <v>292</v>
      </c>
      <c r="EH174" s="36" t="str">
        <f>Tabulacao!MG174</f>
        <v>Aracaju</v>
      </c>
      <c r="EI174" s="36" t="s">
        <v>291</v>
      </c>
      <c r="EJ174" s="36" t="str">
        <f>Tabulacao!MK174</f>
        <v>Lagarto</v>
      </c>
      <c r="EK174" s="36" t="s">
        <v>134</v>
      </c>
      <c r="EL174" s="36" t="s">
        <v>134</v>
      </c>
      <c r="EM174" s="36" t="s">
        <v>134</v>
      </c>
      <c r="EN174" s="36" t="s">
        <v>134</v>
      </c>
      <c r="EO174" s="36" t="s">
        <v>134</v>
      </c>
      <c r="EP174" s="36" t="s">
        <v>134</v>
      </c>
      <c r="EQ174" s="36" t="s">
        <v>273</v>
      </c>
      <c r="ER174" s="36" t="str">
        <f>IF(OR(EQ174=CaractAmostra!$BD$9,EQ174=CaractAmostra!$BD$10,EQ174=CaractAmostra!$BD$11,EQ174=CaractAmostra!$BD$12,EQ174=CaractAmostra!$BD$13),Respostas_Formatadas!EQ174,"Outros")</f>
        <v>Dividia residência com outras pessoas</v>
      </c>
      <c r="ES174" s="36" t="s">
        <v>278</v>
      </c>
      <c r="ET174" s="36" t="str">
        <f>IF(OR(ES174=CaractAmostra!$BH$9,ES174=CaractAmostra!$BH$10,ES174=CaractAmostra!$BH$11,ES174=CaractAmostra!$BH$12),Respostas_Formatadas!ES174,"Outros")</f>
        <v>Divido residência com outras pessoas</v>
      </c>
      <c r="EU174" s="36" t="s">
        <v>134</v>
      </c>
      <c r="EV174" s="36" t="s">
        <v>285</v>
      </c>
      <c r="EW174" s="36" t="s">
        <v>283</v>
      </c>
      <c r="FA174" s="39"/>
      <c r="FE174" s="47">
        <v>2013</v>
      </c>
      <c r="FF174" s="97">
        <v>8.6971000000000007</v>
      </c>
      <c r="FG174" s="47">
        <v>2013</v>
      </c>
      <c r="FH174" s="47">
        <f t="shared" si="6"/>
        <v>0</v>
      </c>
      <c r="FI174" s="47" t="str">
        <f t="shared" si="4"/>
        <v>Aracaju</v>
      </c>
      <c r="FJ174" s="47" t="str">
        <f t="shared" si="5"/>
        <v>Tecnologia</v>
      </c>
    </row>
    <row r="175" spans="1:166" s="36" customFormat="1" ht="15.75" customHeight="1" x14ac:dyDescent="0.2">
      <c r="A175" s="38">
        <v>43420.494837280094</v>
      </c>
      <c r="B175" s="41"/>
      <c r="C175" s="36" t="s">
        <v>124</v>
      </c>
      <c r="D175" s="47" t="s">
        <v>133</v>
      </c>
      <c r="E175" s="36" t="s">
        <v>135</v>
      </c>
      <c r="H175" s="36" t="s">
        <v>142</v>
      </c>
      <c r="M175" s="36" t="s">
        <v>148</v>
      </c>
      <c r="N175" s="36" t="s">
        <v>134</v>
      </c>
      <c r="O175" s="36" t="s">
        <v>134</v>
      </c>
      <c r="P175" s="36" t="s">
        <v>133</v>
      </c>
      <c r="Q175" s="36" t="s">
        <v>133</v>
      </c>
      <c r="R175" s="36" t="s">
        <v>151</v>
      </c>
      <c r="Y175" s="36" t="s">
        <v>166</v>
      </c>
      <c r="AC175" s="36" t="s">
        <v>178</v>
      </c>
      <c r="AD175" s="36" t="s">
        <v>734</v>
      </c>
      <c r="AE175" s="36">
        <v>3</v>
      </c>
      <c r="AF175" s="36" t="s">
        <v>189</v>
      </c>
      <c r="AG175" s="36" t="s">
        <v>189</v>
      </c>
      <c r="AH175" s="36" t="s">
        <v>134</v>
      </c>
      <c r="AI175" s="40">
        <v>2020</v>
      </c>
      <c r="AJ175" s="36">
        <v>3</v>
      </c>
      <c r="AK175" s="36">
        <v>3</v>
      </c>
      <c r="AL175" s="36" t="s">
        <v>133</v>
      </c>
      <c r="AP175" s="36" t="s">
        <v>390</v>
      </c>
      <c r="AQ175" s="40">
        <v>2000</v>
      </c>
      <c r="AR175" s="36">
        <v>3</v>
      </c>
      <c r="AS175" s="36">
        <v>3</v>
      </c>
      <c r="AT175" s="36">
        <v>3</v>
      </c>
      <c r="AU175" s="36">
        <v>4</v>
      </c>
      <c r="AV175" s="36">
        <v>4</v>
      </c>
      <c r="AW175" s="36" t="s">
        <v>198</v>
      </c>
      <c r="AX175" s="36" t="s">
        <v>206</v>
      </c>
      <c r="AY175" s="36" t="s">
        <v>210</v>
      </c>
      <c r="AZ175" s="36" t="s">
        <v>134</v>
      </c>
      <c r="BA175" s="36" t="s">
        <v>170</v>
      </c>
      <c r="BB175" s="36" t="s">
        <v>635</v>
      </c>
      <c r="BC175" s="36" t="s">
        <v>292</v>
      </c>
      <c r="BD175" s="36" t="s">
        <v>189</v>
      </c>
      <c r="BF175" s="36" t="s">
        <v>218</v>
      </c>
      <c r="BG175" s="36">
        <v>3</v>
      </c>
      <c r="BH175" s="36">
        <v>3</v>
      </c>
      <c r="BI175" s="36">
        <v>3</v>
      </c>
      <c r="BJ175" s="36">
        <v>3</v>
      </c>
      <c r="BK175" s="36">
        <v>4</v>
      </c>
      <c r="BL175" s="36">
        <v>3</v>
      </c>
      <c r="BM175" s="36">
        <v>3</v>
      </c>
      <c r="BN175" s="36">
        <v>5</v>
      </c>
      <c r="BO175" s="36">
        <v>3</v>
      </c>
      <c r="BP175" s="36">
        <v>3</v>
      </c>
      <c r="BQ175" s="36">
        <v>3</v>
      </c>
      <c r="BR175" s="36">
        <v>4</v>
      </c>
      <c r="BS175" s="36">
        <v>3</v>
      </c>
      <c r="BT175" s="36">
        <v>3</v>
      </c>
      <c r="BU175" s="36">
        <v>3</v>
      </c>
      <c r="BV175" s="36">
        <v>3</v>
      </c>
      <c r="BW175" s="36">
        <v>3</v>
      </c>
      <c r="BX175" s="36">
        <v>3</v>
      </c>
      <c r="BY175" s="36">
        <v>3</v>
      </c>
      <c r="BZ175" s="36">
        <v>4</v>
      </c>
      <c r="CA175" s="36">
        <v>5</v>
      </c>
      <c r="CB175" s="36">
        <v>4</v>
      </c>
      <c r="CC175" s="36">
        <v>4</v>
      </c>
      <c r="CD175" s="36">
        <v>3</v>
      </c>
      <c r="CE175" s="36">
        <v>4</v>
      </c>
      <c r="CF175" s="36">
        <v>3</v>
      </c>
      <c r="CG175" s="36">
        <v>3</v>
      </c>
      <c r="CH175" s="36" t="s">
        <v>222</v>
      </c>
      <c r="CI175" t="s">
        <v>225</v>
      </c>
      <c r="CJ175" t="s">
        <v>226</v>
      </c>
      <c r="CK175" s="36" t="s">
        <v>233</v>
      </c>
      <c r="CL175" t="s">
        <v>239</v>
      </c>
      <c r="CM175"/>
      <c r="CN175" s="36" t="s">
        <v>242</v>
      </c>
      <c r="CO175" s="36" t="s">
        <v>134</v>
      </c>
      <c r="CP175" s="36">
        <v>3</v>
      </c>
      <c r="CQ175" s="36">
        <v>5</v>
      </c>
      <c r="CR175" s="36" t="s">
        <v>249</v>
      </c>
      <c r="CS175" s="36">
        <v>3</v>
      </c>
      <c r="CT175" s="36">
        <v>3</v>
      </c>
      <c r="CU175" s="36">
        <v>3</v>
      </c>
      <c r="CV175" s="36">
        <v>1</v>
      </c>
      <c r="CW175" s="36">
        <v>4</v>
      </c>
      <c r="CX175" s="36">
        <v>4</v>
      </c>
      <c r="CY175" s="36">
        <v>4</v>
      </c>
      <c r="CZ175" s="36">
        <v>4</v>
      </c>
      <c r="DA175" s="36">
        <v>4</v>
      </c>
      <c r="DB175" s="36">
        <v>4</v>
      </c>
      <c r="DC175" s="36">
        <v>4</v>
      </c>
      <c r="DD175" s="36">
        <v>4</v>
      </c>
      <c r="DE175" s="36">
        <v>3</v>
      </c>
      <c r="DF175" s="36">
        <v>5</v>
      </c>
      <c r="DG175" s="36">
        <v>5</v>
      </c>
      <c r="DH175" s="36">
        <v>5</v>
      </c>
      <c r="DI175" s="36" t="s">
        <v>133</v>
      </c>
      <c r="DJ175" s="36" t="s">
        <v>133</v>
      </c>
      <c r="DK175" s="36" t="s">
        <v>254</v>
      </c>
      <c r="DL175"/>
      <c r="DM175"/>
      <c r="DN175"/>
      <c r="DO175"/>
      <c r="DP175"/>
      <c r="DQ175" s="36">
        <v>5</v>
      </c>
      <c r="DR175" s="36" t="s">
        <v>133</v>
      </c>
      <c r="DS175" s="36" t="s">
        <v>260</v>
      </c>
      <c r="DT175"/>
      <c r="DU175"/>
      <c r="DV175"/>
      <c r="DW175"/>
      <c r="DX175"/>
      <c r="DY175" s="36">
        <v>5</v>
      </c>
      <c r="DZ175" s="36" t="s">
        <v>134</v>
      </c>
      <c r="EB175" s="36" t="s">
        <v>263</v>
      </c>
      <c r="EC175" s="36" t="s">
        <v>266</v>
      </c>
      <c r="ED175" s="36">
        <v>35</v>
      </c>
      <c r="EE175" s="36" t="s">
        <v>292</v>
      </c>
      <c r="EF175" s="36" t="str">
        <f>Tabulacao!MC175</f>
        <v>Aracaju</v>
      </c>
      <c r="EG175" s="36" t="s">
        <v>292</v>
      </c>
      <c r="EH175" s="36" t="str">
        <f>Tabulacao!MG175</f>
        <v>Aracaju</v>
      </c>
      <c r="EI175" s="36" t="s">
        <v>292</v>
      </c>
      <c r="EJ175" s="36" t="str">
        <f>Tabulacao!MK175</f>
        <v>Aracaju</v>
      </c>
      <c r="EK175" s="36" t="s">
        <v>134</v>
      </c>
      <c r="EL175" s="36" t="s">
        <v>134</v>
      </c>
      <c r="EM175" s="36" t="s">
        <v>134</v>
      </c>
      <c r="EN175" s="36" t="s">
        <v>134</v>
      </c>
      <c r="EO175" s="36" t="s">
        <v>134</v>
      </c>
      <c r="EP175" s="36" t="s">
        <v>134</v>
      </c>
      <c r="EQ175" s="36" t="s">
        <v>272</v>
      </c>
      <c r="ER175" s="36" t="str">
        <f>IF(OR(EQ175=CaractAmostra!$BD$9,EQ175=CaractAmostra!$BD$10,EQ175=CaractAmostra!$BD$11,EQ175=CaractAmostra!$BD$12,EQ175=CaractAmostra!$BD$13),Respostas_Formatadas!EQ175,"Outros")</f>
        <v>Morava sozinho</v>
      </c>
      <c r="ES175" s="36" t="s">
        <v>275</v>
      </c>
      <c r="ET175" s="36" t="str">
        <f>IF(OR(ES175=CaractAmostra!$BH$9,ES175=CaractAmostra!$BH$10,ES175=CaractAmostra!$BH$11,ES175=CaractAmostra!$BH$12),Respostas_Formatadas!ES175,"Outros")</f>
        <v>Com os pais</v>
      </c>
      <c r="EU175" s="36" t="s">
        <v>134</v>
      </c>
      <c r="EV175" s="36" t="s">
        <v>285</v>
      </c>
      <c r="EW175" s="36" t="s">
        <v>288</v>
      </c>
      <c r="FD175" s="36" t="s">
        <v>735</v>
      </c>
      <c r="FE175" s="47">
        <v>2017</v>
      </c>
      <c r="FF175" s="97">
        <v>7.7213000000000003</v>
      </c>
      <c r="FG175" s="47">
        <v>2017</v>
      </c>
      <c r="FH175" s="47">
        <f t="shared" si="6"/>
        <v>0</v>
      </c>
      <c r="FI175" s="47" t="str">
        <f t="shared" si="4"/>
        <v>Aracaju</v>
      </c>
      <c r="FJ175" s="47" t="str">
        <f t="shared" si="5"/>
        <v>Tecnologia</v>
      </c>
    </row>
    <row r="176" spans="1:166" s="36" customFormat="1" ht="15.75" customHeight="1" x14ac:dyDescent="0.2">
      <c r="A176" s="38">
        <v>43420.504247592587</v>
      </c>
      <c r="B176" s="41"/>
      <c r="C176" s="36" t="s">
        <v>124</v>
      </c>
      <c r="D176" s="47" t="s">
        <v>133</v>
      </c>
      <c r="E176" s="36" t="s">
        <v>135</v>
      </c>
      <c r="H176" s="36" t="s">
        <v>142</v>
      </c>
      <c r="M176" s="36" t="s">
        <v>146</v>
      </c>
      <c r="N176" s="36" t="s">
        <v>134</v>
      </c>
      <c r="O176" s="36" t="s">
        <v>133</v>
      </c>
      <c r="P176" s="36" t="s">
        <v>133</v>
      </c>
      <c r="Q176" s="36" t="s">
        <v>133</v>
      </c>
      <c r="R176" s="36" t="s">
        <v>151</v>
      </c>
      <c r="Y176" s="36" t="s">
        <v>166</v>
      </c>
      <c r="AC176" s="36" t="s">
        <v>181</v>
      </c>
      <c r="AD176" s="36" t="s">
        <v>536</v>
      </c>
      <c r="AE176" s="36">
        <v>4</v>
      </c>
      <c r="AF176" s="36" t="s">
        <v>736</v>
      </c>
      <c r="AG176" s="36" t="s">
        <v>189</v>
      </c>
      <c r="AH176" s="36" t="s">
        <v>134</v>
      </c>
      <c r="AI176" s="40">
        <v>1500</v>
      </c>
      <c r="AJ176" s="36">
        <v>5</v>
      </c>
      <c r="AK176" s="36">
        <v>2</v>
      </c>
      <c r="AL176" s="36" t="s">
        <v>133</v>
      </c>
      <c r="AP176" s="36" t="s">
        <v>737</v>
      </c>
      <c r="AQ176" s="40">
        <v>1900</v>
      </c>
      <c r="AR176" s="36">
        <v>3</v>
      </c>
      <c r="AS176" s="36">
        <v>5</v>
      </c>
      <c r="AT176" s="36">
        <v>5</v>
      </c>
      <c r="AU176" s="36">
        <v>3</v>
      </c>
      <c r="AV176" s="36">
        <v>4</v>
      </c>
      <c r="AW176" s="36" t="s">
        <v>192</v>
      </c>
      <c r="AX176" s="36" t="s">
        <v>206</v>
      </c>
      <c r="AY176" s="36" t="s">
        <v>210</v>
      </c>
      <c r="AZ176" s="36" t="s">
        <v>133</v>
      </c>
      <c r="BA176" s="36" t="s">
        <v>213</v>
      </c>
      <c r="BB176" s="36" t="s">
        <v>304</v>
      </c>
      <c r="BC176" s="36" t="s">
        <v>292</v>
      </c>
      <c r="BD176" s="36" t="s">
        <v>189</v>
      </c>
      <c r="BF176" s="36" t="s">
        <v>219</v>
      </c>
      <c r="BG176" s="36">
        <v>4</v>
      </c>
      <c r="BH176" s="36">
        <v>4</v>
      </c>
      <c r="BI176" s="36">
        <v>4</v>
      </c>
      <c r="BJ176" s="36">
        <v>3</v>
      </c>
      <c r="BK176" s="36">
        <v>5</v>
      </c>
      <c r="BL176" s="36">
        <v>3</v>
      </c>
      <c r="BM176" s="36">
        <v>4</v>
      </c>
      <c r="BN176" s="36">
        <v>5</v>
      </c>
      <c r="BO176" s="36">
        <v>5</v>
      </c>
      <c r="BP176" s="36">
        <v>4</v>
      </c>
      <c r="BQ176" s="36">
        <v>4</v>
      </c>
      <c r="BR176" s="36">
        <v>5</v>
      </c>
      <c r="BS176" s="36">
        <v>1</v>
      </c>
      <c r="BT176" s="36">
        <v>4</v>
      </c>
      <c r="BU176" s="36">
        <v>4</v>
      </c>
      <c r="BV176" s="36">
        <v>4</v>
      </c>
      <c r="BW176" s="36">
        <v>3</v>
      </c>
      <c r="BX176" s="36">
        <v>4</v>
      </c>
      <c r="BY176" s="36">
        <v>4</v>
      </c>
      <c r="BZ176" s="36">
        <v>5</v>
      </c>
      <c r="CA176" s="36">
        <v>5</v>
      </c>
      <c r="CB176" s="36">
        <v>4</v>
      </c>
      <c r="CC176" s="36">
        <v>4</v>
      </c>
      <c r="CD176" s="36">
        <v>5</v>
      </c>
      <c r="CE176" s="36">
        <v>5</v>
      </c>
      <c r="CF176" s="36">
        <v>1</v>
      </c>
      <c r="CG176" s="36">
        <v>5</v>
      </c>
      <c r="CH176" s="36" t="s">
        <v>738</v>
      </c>
      <c r="CI176"/>
      <c r="CJ176"/>
      <c r="CK176" s="36" t="s">
        <v>233</v>
      </c>
      <c r="CL176" t="s">
        <v>235</v>
      </c>
      <c r="CM176" t="s">
        <v>239</v>
      </c>
      <c r="CN176" s="36" t="s">
        <v>242</v>
      </c>
      <c r="CO176" s="36" t="s">
        <v>133</v>
      </c>
      <c r="CP176" s="36">
        <v>1</v>
      </c>
      <c r="CQ176" s="36">
        <v>5</v>
      </c>
      <c r="CR176" s="36" t="s">
        <v>249</v>
      </c>
      <c r="CS176" s="36">
        <v>3</v>
      </c>
      <c r="CT176" s="36">
        <v>4</v>
      </c>
      <c r="CU176" s="36">
        <v>3</v>
      </c>
      <c r="CV176" s="36">
        <v>1</v>
      </c>
      <c r="CW176" s="36">
        <v>4</v>
      </c>
      <c r="CX176" s="36">
        <v>4</v>
      </c>
      <c r="CY176" s="36">
        <v>5</v>
      </c>
      <c r="CZ176" s="36">
        <v>5</v>
      </c>
      <c r="DA176" s="36">
        <v>4</v>
      </c>
      <c r="DB176" s="36">
        <v>3</v>
      </c>
      <c r="DC176" s="36">
        <v>5</v>
      </c>
      <c r="DD176" s="36">
        <v>4</v>
      </c>
      <c r="DE176" s="36">
        <v>5</v>
      </c>
      <c r="DF176" s="36">
        <v>5</v>
      </c>
      <c r="DG176" s="36">
        <v>5</v>
      </c>
      <c r="DH176" s="36">
        <v>5</v>
      </c>
      <c r="DI176" s="36" t="s">
        <v>133</v>
      </c>
      <c r="DJ176" s="36" t="s">
        <v>133</v>
      </c>
      <c r="DK176" s="36" t="s">
        <v>255</v>
      </c>
      <c r="DL176"/>
      <c r="DM176"/>
      <c r="DN176"/>
      <c r="DO176"/>
      <c r="DP176"/>
      <c r="DQ176" s="36">
        <v>5</v>
      </c>
      <c r="DR176" s="36" t="s">
        <v>133</v>
      </c>
      <c r="DS176" s="36" t="s">
        <v>259</v>
      </c>
      <c r="DT176"/>
      <c r="DU176"/>
      <c r="DV176"/>
      <c r="DW176"/>
      <c r="DX176"/>
      <c r="DY176" s="36">
        <v>5</v>
      </c>
      <c r="DZ176" s="36" t="s">
        <v>133</v>
      </c>
      <c r="EA176" s="36">
        <v>4</v>
      </c>
      <c r="EB176" s="36" t="s">
        <v>263</v>
      </c>
      <c r="EC176" s="36" t="s">
        <v>267</v>
      </c>
      <c r="ED176" s="36">
        <v>31</v>
      </c>
      <c r="EE176" s="36" t="s">
        <v>304</v>
      </c>
      <c r="EF176" s="36" t="str">
        <f>Tabulacao!MC176</f>
        <v>Aracaju</v>
      </c>
      <c r="EG176" s="36" t="s">
        <v>304</v>
      </c>
      <c r="EH176" s="36" t="str">
        <f>Tabulacao!MG176</f>
        <v>Aracaju</v>
      </c>
      <c r="EI176" s="36" t="s">
        <v>304</v>
      </c>
      <c r="EJ176" s="36" t="str">
        <f>Tabulacao!MK176</f>
        <v>Aracaju</v>
      </c>
      <c r="EK176" s="36" t="s">
        <v>134</v>
      </c>
      <c r="EL176" s="36" t="s">
        <v>134</v>
      </c>
      <c r="EM176" s="36" t="s">
        <v>134</v>
      </c>
      <c r="EN176" s="36" t="s">
        <v>134</v>
      </c>
      <c r="EO176" s="36" t="s">
        <v>134</v>
      </c>
      <c r="EP176" s="36" t="s">
        <v>134</v>
      </c>
      <c r="EQ176" s="36" t="s">
        <v>274</v>
      </c>
      <c r="ER176" s="36" t="str">
        <f>IF(OR(EQ176=CaractAmostra!$BD$9,EQ176=CaractAmostra!$BD$10,EQ176=CaractAmostra!$BD$11,EQ176=CaractAmostra!$BD$12,EQ176=CaractAmostra!$BD$13),Respostas_Formatadas!EQ176,"Outros")</f>
        <v>Com um(a) parceiro(a)</v>
      </c>
      <c r="ES176" s="36" t="s">
        <v>274</v>
      </c>
      <c r="ET176" s="36" t="str">
        <f>IF(OR(ES176=CaractAmostra!$BH$9,ES176=CaractAmostra!$BH$10,ES176=CaractAmostra!$BH$11,ES176=CaractAmostra!$BH$12),Respostas_Formatadas!ES176,"Outros")</f>
        <v>Com um(a) parceiro(a)</v>
      </c>
      <c r="EU176" s="36" t="s">
        <v>281</v>
      </c>
      <c r="EV176" s="36" t="s">
        <v>287</v>
      </c>
      <c r="EW176" s="36" t="s">
        <v>286</v>
      </c>
      <c r="FE176" s="47">
        <v>2018</v>
      </c>
      <c r="FF176" s="97">
        <v>8.4712999999999994</v>
      </c>
      <c r="FG176" s="47">
        <v>2018</v>
      </c>
      <c r="FH176" s="47">
        <f t="shared" si="6"/>
        <v>0</v>
      </c>
      <c r="FI176" s="47" t="str">
        <f t="shared" si="4"/>
        <v>Aracaju</v>
      </c>
      <c r="FJ176" s="47" t="str">
        <f t="shared" si="5"/>
        <v>Tecnologia</v>
      </c>
    </row>
    <row r="177" spans="1:166" s="36" customFormat="1" ht="15.75" customHeight="1" x14ac:dyDescent="0.2">
      <c r="A177" s="38">
        <v>43420.644853784717</v>
      </c>
      <c r="B177" s="41"/>
      <c r="C177" s="36" t="s">
        <v>125</v>
      </c>
      <c r="D177" s="47" t="s">
        <v>133</v>
      </c>
      <c r="E177" s="36" t="s">
        <v>135</v>
      </c>
      <c r="H177" s="36" t="s">
        <v>142</v>
      </c>
      <c r="M177" s="36" t="s">
        <v>146</v>
      </c>
      <c r="N177" s="36" t="s">
        <v>134</v>
      </c>
      <c r="O177" s="36" t="s">
        <v>133</v>
      </c>
      <c r="P177" s="36" t="s">
        <v>133</v>
      </c>
      <c r="Q177" s="36" t="s">
        <v>133</v>
      </c>
      <c r="R177" s="36" t="s">
        <v>153</v>
      </c>
      <c r="S177" s="36" t="s">
        <v>544</v>
      </c>
      <c r="T177" s="36" t="s">
        <v>154</v>
      </c>
      <c r="U177" s="36" t="s">
        <v>157</v>
      </c>
      <c r="V177" s="36">
        <v>3</v>
      </c>
      <c r="W177" s="36">
        <v>4</v>
      </c>
      <c r="X177" s="36">
        <v>4</v>
      </c>
      <c r="Y177" s="36" t="s">
        <v>165</v>
      </c>
      <c r="Z177" s="36" t="s">
        <v>167</v>
      </c>
      <c r="AA177" s="36" t="s">
        <v>171</v>
      </c>
      <c r="AB177" s="36" t="s">
        <v>181</v>
      </c>
      <c r="AD177" s="36" t="s">
        <v>739</v>
      </c>
      <c r="AE177" s="36">
        <v>1</v>
      </c>
      <c r="AF177" s="36" t="s">
        <v>189</v>
      </c>
      <c r="AG177" s="36" t="s">
        <v>189</v>
      </c>
      <c r="AH177" s="36" t="s">
        <v>134</v>
      </c>
      <c r="AI177" s="40">
        <v>790</v>
      </c>
      <c r="AJ177" s="36">
        <v>2</v>
      </c>
      <c r="AK177" s="36">
        <v>1</v>
      </c>
      <c r="AL177" s="36" t="s">
        <v>133</v>
      </c>
      <c r="AP177" s="36" t="s">
        <v>739</v>
      </c>
      <c r="AQ177" s="40">
        <v>934</v>
      </c>
      <c r="AR177" s="36">
        <v>3</v>
      </c>
      <c r="AS177" s="36">
        <v>2</v>
      </c>
      <c r="AT177" s="36">
        <v>1</v>
      </c>
      <c r="AU177" s="36">
        <v>3</v>
      </c>
      <c r="AV177" s="36">
        <v>2</v>
      </c>
      <c r="AW177" s="36" t="s">
        <v>193</v>
      </c>
      <c r="AX177" s="36" t="s">
        <v>206</v>
      </c>
      <c r="AY177" s="36" t="s">
        <v>210</v>
      </c>
      <c r="AZ177" s="36" t="s">
        <v>134</v>
      </c>
      <c r="BA177" s="36" t="s">
        <v>170</v>
      </c>
      <c r="BB177" s="36" t="s">
        <v>701</v>
      </c>
      <c r="BC177" s="36" t="s">
        <v>292</v>
      </c>
      <c r="BD177" s="36" t="s">
        <v>189</v>
      </c>
      <c r="BF177" s="36" t="s">
        <v>221</v>
      </c>
      <c r="BG177" s="36">
        <v>1</v>
      </c>
      <c r="BH177" s="36">
        <v>1</v>
      </c>
      <c r="BI177" s="36">
        <v>3</v>
      </c>
      <c r="BJ177" s="36">
        <v>3</v>
      </c>
      <c r="BK177" s="36">
        <v>4</v>
      </c>
      <c r="BL177" s="36">
        <v>5</v>
      </c>
      <c r="BM177" s="36">
        <v>5</v>
      </c>
      <c r="BN177" s="36">
        <v>5</v>
      </c>
      <c r="BO177" s="36">
        <v>4</v>
      </c>
      <c r="BP177" s="36">
        <v>4</v>
      </c>
      <c r="BQ177" s="36">
        <v>3</v>
      </c>
      <c r="BR177" s="36">
        <v>1</v>
      </c>
      <c r="BS177" s="36">
        <v>1</v>
      </c>
      <c r="BT177" s="36">
        <v>3</v>
      </c>
      <c r="BU177" s="36">
        <v>4</v>
      </c>
      <c r="BV177" s="36">
        <v>4</v>
      </c>
      <c r="BW177" s="36">
        <v>4</v>
      </c>
      <c r="BX177" s="36">
        <v>4</v>
      </c>
      <c r="BY177" s="36">
        <v>4</v>
      </c>
      <c r="BZ177" s="36">
        <v>4</v>
      </c>
      <c r="CA177" s="36">
        <v>4</v>
      </c>
      <c r="CB177" s="36">
        <v>4</v>
      </c>
      <c r="CC177" s="36">
        <v>4</v>
      </c>
      <c r="CD177" s="36">
        <v>4</v>
      </c>
      <c r="CE177" s="36">
        <v>3</v>
      </c>
      <c r="CF177" s="36">
        <v>2</v>
      </c>
      <c r="CG177" s="36">
        <v>4</v>
      </c>
      <c r="CH177" s="36" t="s">
        <v>226</v>
      </c>
      <c r="CI177"/>
      <c r="CJ177"/>
      <c r="CK177" s="36" t="s">
        <v>239</v>
      </c>
      <c r="CL177"/>
      <c r="CM177"/>
      <c r="CN177" s="36" t="s">
        <v>242</v>
      </c>
      <c r="CO177" s="36" t="s">
        <v>134</v>
      </c>
      <c r="CP177" s="36">
        <v>3</v>
      </c>
      <c r="CQ177" s="36">
        <v>5</v>
      </c>
      <c r="CR177" s="36" t="s">
        <v>248</v>
      </c>
      <c r="CS177" s="36">
        <v>4</v>
      </c>
      <c r="CT177" s="36">
        <v>4</v>
      </c>
      <c r="CU177" s="36">
        <v>5</v>
      </c>
      <c r="CV177" s="36">
        <v>3</v>
      </c>
      <c r="CW177" s="36">
        <v>5</v>
      </c>
      <c r="CX177" s="36">
        <v>5</v>
      </c>
      <c r="CY177" s="36">
        <v>5</v>
      </c>
      <c r="CZ177" s="36">
        <v>4</v>
      </c>
      <c r="DA177" s="36">
        <v>3</v>
      </c>
      <c r="DB177" s="36">
        <v>4</v>
      </c>
      <c r="DC177" s="36">
        <v>5</v>
      </c>
      <c r="DD177" s="36">
        <v>4</v>
      </c>
      <c r="DE177" s="36">
        <v>3</v>
      </c>
      <c r="DF177" s="36">
        <v>3</v>
      </c>
      <c r="DG177" s="36">
        <v>5</v>
      </c>
      <c r="DH177" s="36">
        <v>4</v>
      </c>
      <c r="DI177" s="36" t="s">
        <v>133</v>
      </c>
      <c r="DJ177" s="36" t="s">
        <v>133</v>
      </c>
      <c r="DK177" s="36" t="s">
        <v>254</v>
      </c>
      <c r="DL177" t="s">
        <v>255</v>
      </c>
      <c r="DM177"/>
      <c r="DN177"/>
      <c r="DO177" t="s">
        <v>256</v>
      </c>
      <c r="DP177" t="s">
        <v>257</v>
      </c>
      <c r="DQ177" s="36">
        <v>1</v>
      </c>
      <c r="DR177" s="36" t="s">
        <v>133</v>
      </c>
      <c r="DS177" s="36" t="s">
        <v>258</v>
      </c>
      <c r="DT177" t="s">
        <v>259</v>
      </c>
      <c r="DU177"/>
      <c r="DV177"/>
      <c r="DW177" t="s">
        <v>260</v>
      </c>
      <c r="DX177" t="s">
        <v>261</v>
      </c>
      <c r="DY177" s="36">
        <v>3</v>
      </c>
      <c r="DZ177" s="36" t="s">
        <v>133</v>
      </c>
      <c r="EA177" s="36">
        <v>5</v>
      </c>
      <c r="EB177" s="36" t="s">
        <v>263</v>
      </c>
      <c r="EC177" s="36" t="s">
        <v>267</v>
      </c>
      <c r="ED177" s="36">
        <v>30</v>
      </c>
      <c r="EE177" s="36" t="s">
        <v>358</v>
      </c>
      <c r="EF177" s="36" t="str">
        <f>Tabulacao!MC177</f>
        <v>Nossa Senhora do Socorro</v>
      </c>
      <c r="EG177" s="36" t="s">
        <v>358</v>
      </c>
      <c r="EH177" s="36" t="str">
        <f>Tabulacao!MG177</f>
        <v>Nossa Senhora do Socorro</v>
      </c>
      <c r="EI177" s="36" t="s">
        <v>358</v>
      </c>
      <c r="EJ177" s="36" t="str">
        <f>Tabulacao!MK177</f>
        <v>Nossa Senhora do Socorro</v>
      </c>
      <c r="EK177" s="36" t="s">
        <v>134</v>
      </c>
      <c r="EL177" s="36" t="s">
        <v>134</v>
      </c>
      <c r="EM177" s="36" t="s">
        <v>134</v>
      </c>
      <c r="EN177" s="36" t="s">
        <v>134</v>
      </c>
      <c r="EO177" s="36" t="s">
        <v>134</v>
      </c>
      <c r="EP177" s="36" t="s">
        <v>134</v>
      </c>
      <c r="EQ177" s="36" t="s">
        <v>275</v>
      </c>
      <c r="ER177" s="36" t="str">
        <f>IF(OR(EQ177=CaractAmostra!$BD$9,EQ177=CaractAmostra!$BD$10,EQ177=CaractAmostra!$BD$11,EQ177=CaractAmostra!$BD$12,EQ177=CaractAmostra!$BD$13),Respostas_Formatadas!EQ177,"Outros")</f>
        <v>Com os pais</v>
      </c>
      <c r="ES177" s="36" t="s">
        <v>275</v>
      </c>
      <c r="ET177" s="36" t="str">
        <f>IF(OR(ES177=CaractAmostra!$BH$9,ES177=CaractAmostra!$BH$10,ES177=CaractAmostra!$BH$11,ES177=CaractAmostra!$BH$12),Respostas_Formatadas!ES177,"Outros")</f>
        <v>Com os pais</v>
      </c>
      <c r="EU177" s="36" t="s">
        <v>134</v>
      </c>
      <c r="EV177" s="36" t="s">
        <v>282</v>
      </c>
      <c r="EW177" s="36" t="s">
        <v>283</v>
      </c>
      <c r="FE177" s="47">
        <v>2013</v>
      </c>
      <c r="FF177" s="97">
        <v>6.9732000000000003</v>
      </c>
      <c r="FG177" s="47">
        <v>2013</v>
      </c>
      <c r="FH177" s="47">
        <f t="shared" si="6"/>
        <v>0</v>
      </c>
      <c r="FI177" s="47" t="str">
        <f t="shared" si="4"/>
        <v>Aracaju</v>
      </c>
      <c r="FJ177" s="47" t="str">
        <f t="shared" si="5"/>
        <v>Tecnologia</v>
      </c>
    </row>
    <row r="178" spans="1:166" s="36" customFormat="1" ht="15.75" customHeight="1" x14ac:dyDescent="0.2">
      <c r="A178" s="38">
        <v>43420.682332453704</v>
      </c>
      <c r="B178" s="41"/>
      <c r="C178" s="36" t="s">
        <v>130</v>
      </c>
      <c r="D178" s="47" t="s">
        <v>134</v>
      </c>
      <c r="M178" s="36" t="s">
        <v>147</v>
      </c>
      <c r="N178" s="36" t="s">
        <v>134</v>
      </c>
      <c r="O178" s="36" t="s">
        <v>134</v>
      </c>
      <c r="P178" s="36" t="s">
        <v>134</v>
      </c>
      <c r="Q178" s="36" t="s">
        <v>134</v>
      </c>
      <c r="R178" s="36" t="s">
        <v>151</v>
      </c>
      <c r="Y178" s="36" t="s">
        <v>134</v>
      </c>
      <c r="AI178" s="40"/>
      <c r="AN178" s="42"/>
      <c r="AQ178" s="40"/>
      <c r="BT178" s="36">
        <v>5</v>
      </c>
      <c r="BU178" s="36">
        <v>4</v>
      </c>
      <c r="BV178" s="36">
        <v>4</v>
      </c>
      <c r="BW178" s="36">
        <v>3</v>
      </c>
      <c r="BX178" s="36">
        <v>3</v>
      </c>
      <c r="BY178" s="36">
        <v>5</v>
      </c>
      <c r="BZ178" s="36">
        <v>4</v>
      </c>
      <c r="CA178" s="36">
        <v>4</v>
      </c>
      <c r="CB178" s="36">
        <v>3</v>
      </c>
      <c r="CC178" s="36">
        <v>4</v>
      </c>
      <c r="CD178" s="36">
        <v>3</v>
      </c>
      <c r="CE178" s="36">
        <v>2</v>
      </c>
      <c r="CF178" s="36">
        <v>3</v>
      </c>
      <c r="CG178" s="36">
        <v>5</v>
      </c>
      <c r="CH178" s="36" t="s">
        <v>222</v>
      </c>
      <c r="CI178" t="s">
        <v>225</v>
      </c>
      <c r="CJ178" t="s">
        <v>229</v>
      </c>
      <c r="CK178" s="36" t="s">
        <v>233</v>
      </c>
      <c r="CL178" t="s">
        <v>235</v>
      </c>
      <c r="CM178" t="s">
        <v>240</v>
      </c>
      <c r="CN178" s="36" t="s">
        <v>242</v>
      </c>
      <c r="CO178" s="36" t="s">
        <v>133</v>
      </c>
      <c r="CP178" s="36">
        <v>3</v>
      </c>
      <c r="CQ178" s="36">
        <v>4</v>
      </c>
      <c r="CR178" s="36" t="s">
        <v>248</v>
      </c>
      <c r="CS178" s="36">
        <v>4</v>
      </c>
      <c r="CT178" s="36">
        <v>3</v>
      </c>
      <c r="CU178" s="36">
        <v>4</v>
      </c>
      <c r="CV178" s="36">
        <v>2</v>
      </c>
      <c r="CW178" s="36">
        <v>4</v>
      </c>
      <c r="CX178" s="36">
        <v>3</v>
      </c>
      <c r="CY178" s="36">
        <v>4</v>
      </c>
      <c r="CZ178" s="36">
        <v>4</v>
      </c>
      <c r="DA178" s="36">
        <v>4</v>
      </c>
      <c r="DB178" s="36">
        <v>4</v>
      </c>
      <c r="DC178" s="36">
        <v>4</v>
      </c>
      <c r="DD178" s="36">
        <v>4</v>
      </c>
      <c r="DE178" s="36">
        <v>4</v>
      </c>
      <c r="DF178" s="36">
        <v>5</v>
      </c>
      <c r="DG178" s="36">
        <v>4</v>
      </c>
      <c r="DH178" s="36">
        <v>3</v>
      </c>
      <c r="DI178" s="36" t="s">
        <v>133</v>
      </c>
      <c r="DJ178" s="36" t="s">
        <v>133</v>
      </c>
      <c r="DK178" s="36" t="s">
        <v>255</v>
      </c>
      <c r="DL178"/>
      <c r="DM178"/>
      <c r="DN178" t="s">
        <v>256</v>
      </c>
      <c r="DO178" t="s">
        <v>257</v>
      </c>
      <c r="DP178"/>
      <c r="DQ178" s="36">
        <v>5</v>
      </c>
      <c r="DR178" s="36" t="s">
        <v>133</v>
      </c>
      <c r="DS178" s="36" t="s">
        <v>259</v>
      </c>
      <c r="DT178"/>
      <c r="DU178"/>
      <c r="DV178" t="s">
        <v>260</v>
      </c>
      <c r="DW178" t="s">
        <v>261</v>
      </c>
      <c r="DX178"/>
      <c r="DY178" s="36">
        <v>5</v>
      </c>
      <c r="DZ178" s="36" t="s">
        <v>133</v>
      </c>
      <c r="EA178" s="36">
        <v>5</v>
      </c>
      <c r="EB178" s="36" t="s">
        <v>263</v>
      </c>
      <c r="EC178" s="36" t="s">
        <v>267</v>
      </c>
      <c r="ED178" s="36">
        <v>27</v>
      </c>
      <c r="EE178" s="36" t="s">
        <v>740</v>
      </c>
      <c r="EF178" s="36" t="str">
        <f>Tabulacao!MC178</f>
        <v>Indiaroba</v>
      </c>
      <c r="EG178" s="36" t="s">
        <v>458</v>
      </c>
      <c r="EH178" s="36" t="str">
        <f>Tabulacao!MG178</f>
        <v>Aracaju</v>
      </c>
      <c r="EI178" s="36" t="s">
        <v>741</v>
      </c>
      <c r="EJ178" s="36" t="str">
        <f>Tabulacao!MK178</f>
        <v>Nossa Senhora do Socorro</v>
      </c>
      <c r="EK178" s="36" t="s">
        <v>134</v>
      </c>
      <c r="EL178" s="36" t="s">
        <v>134</v>
      </c>
      <c r="EM178" s="36" t="s">
        <v>134</v>
      </c>
      <c r="EN178" s="36" t="s">
        <v>134</v>
      </c>
      <c r="EO178" s="36" t="s">
        <v>134</v>
      </c>
      <c r="EP178" s="36" t="s">
        <v>134</v>
      </c>
      <c r="EQ178" s="36" t="s">
        <v>273</v>
      </c>
      <c r="ER178" s="36" t="str">
        <f>IF(OR(EQ178=CaractAmostra!$BD$9,EQ178=CaractAmostra!$BD$10,EQ178=CaractAmostra!$BD$11,EQ178=CaractAmostra!$BD$12,EQ178=CaractAmostra!$BD$13),Respostas_Formatadas!EQ178,"Outros")</f>
        <v>Dividia residência com outras pessoas</v>
      </c>
      <c r="ES178" s="36" t="s">
        <v>278</v>
      </c>
      <c r="ET178" s="36" t="str">
        <f>IF(OR(ES178=CaractAmostra!$BH$9,ES178=CaractAmostra!$BH$10,ES178=CaractAmostra!$BH$11,ES178=CaractAmostra!$BH$12),Respostas_Formatadas!ES178,"Outros")</f>
        <v>Divido residência com outras pessoas</v>
      </c>
      <c r="EU178" s="36" t="s">
        <v>134</v>
      </c>
      <c r="EV178" s="36" t="s">
        <v>282</v>
      </c>
      <c r="EW178" s="36" t="s">
        <v>282</v>
      </c>
      <c r="FE178" s="47">
        <v>2018</v>
      </c>
      <c r="FF178" s="97">
        <v>7.5330000000000004</v>
      </c>
      <c r="FG178" s="47">
        <v>2018</v>
      </c>
      <c r="FH178" s="47">
        <v>0</v>
      </c>
      <c r="FI178" s="47" t="str">
        <f t="shared" si="4"/>
        <v>São Cristóvão</v>
      </c>
      <c r="FJ178" s="47" t="str">
        <f t="shared" si="5"/>
        <v>Tecnologia</v>
      </c>
    </row>
    <row r="179" spans="1:166" s="36" customFormat="1" ht="15.75" customHeight="1" x14ac:dyDescent="0.2">
      <c r="A179" s="38">
        <v>43420.696829537032</v>
      </c>
      <c r="C179" s="36" t="s">
        <v>124</v>
      </c>
      <c r="D179" s="47" t="s">
        <v>134</v>
      </c>
      <c r="M179" s="36" t="s">
        <v>147</v>
      </c>
      <c r="N179" s="36" t="s">
        <v>134</v>
      </c>
      <c r="O179" s="36" t="s">
        <v>133</v>
      </c>
      <c r="P179" s="36" t="s">
        <v>134</v>
      </c>
      <c r="Q179" s="36" t="s">
        <v>134</v>
      </c>
      <c r="R179" s="36" t="s">
        <v>151</v>
      </c>
      <c r="Y179" s="36" t="s">
        <v>134</v>
      </c>
      <c r="AI179" s="40"/>
      <c r="AQ179" s="40"/>
      <c r="BT179" s="36">
        <v>4</v>
      </c>
      <c r="BU179" s="36">
        <v>4</v>
      </c>
      <c r="BV179" s="36">
        <v>4</v>
      </c>
      <c r="BW179" s="36">
        <v>4</v>
      </c>
      <c r="BX179" s="36">
        <v>3</v>
      </c>
      <c r="BY179" s="36">
        <v>5</v>
      </c>
      <c r="BZ179" s="36">
        <v>4</v>
      </c>
      <c r="CA179" s="36">
        <v>4</v>
      </c>
      <c r="CB179" s="36">
        <v>4</v>
      </c>
      <c r="CC179" s="36">
        <v>4</v>
      </c>
      <c r="CD179" s="36">
        <v>3</v>
      </c>
      <c r="CE179" s="36">
        <v>3</v>
      </c>
      <c r="CF179" s="36">
        <v>2</v>
      </c>
      <c r="CG179" s="36">
        <v>3</v>
      </c>
      <c r="CH179" s="36" t="s">
        <v>222</v>
      </c>
      <c r="CI179" t="s">
        <v>229</v>
      </c>
      <c r="CJ179" t="s">
        <v>230</v>
      </c>
      <c r="CK179" s="36" t="s">
        <v>233</v>
      </c>
      <c r="CL179"/>
      <c r="CM179"/>
      <c r="CN179" s="36" t="s">
        <v>242</v>
      </c>
      <c r="CO179" s="36" t="s">
        <v>134</v>
      </c>
      <c r="CP179" s="36">
        <v>1</v>
      </c>
      <c r="CQ179" s="36">
        <v>4</v>
      </c>
      <c r="CR179" s="36" t="s">
        <v>248</v>
      </c>
      <c r="CS179" s="36">
        <v>4</v>
      </c>
      <c r="CT179" s="36">
        <v>4</v>
      </c>
      <c r="CU179" s="36">
        <v>3</v>
      </c>
      <c r="CV179" s="36">
        <v>1</v>
      </c>
      <c r="CW179" s="36">
        <v>3</v>
      </c>
      <c r="CX179" s="36">
        <v>3</v>
      </c>
      <c r="CY179" s="36">
        <v>5</v>
      </c>
      <c r="CZ179" s="36">
        <v>4</v>
      </c>
      <c r="DA179" s="36">
        <v>1</v>
      </c>
      <c r="DB179" s="36">
        <v>3</v>
      </c>
      <c r="DC179" s="36">
        <v>4</v>
      </c>
      <c r="DD179" s="36">
        <v>3</v>
      </c>
      <c r="DE179" s="36">
        <v>4</v>
      </c>
      <c r="DF179" s="36">
        <v>4</v>
      </c>
      <c r="DG179" s="36">
        <v>4</v>
      </c>
      <c r="DH179" s="36">
        <v>3</v>
      </c>
      <c r="DI179" s="36" t="s">
        <v>133</v>
      </c>
      <c r="DJ179" s="36" t="s">
        <v>133</v>
      </c>
      <c r="DK179" s="36" t="s">
        <v>255</v>
      </c>
      <c r="DL179"/>
      <c r="DM179"/>
      <c r="DN179"/>
      <c r="DO179"/>
      <c r="DP179"/>
      <c r="DQ179" s="36">
        <v>4</v>
      </c>
      <c r="DR179" s="36" t="s">
        <v>134</v>
      </c>
      <c r="DT179"/>
      <c r="DU179"/>
      <c r="DV179"/>
      <c r="DW179"/>
      <c r="DX179"/>
      <c r="DZ179" s="36" t="s">
        <v>134</v>
      </c>
      <c r="EB179" s="36" t="s">
        <v>263</v>
      </c>
      <c r="EC179" s="36" t="s">
        <v>267</v>
      </c>
      <c r="ED179" s="36">
        <v>32</v>
      </c>
      <c r="EE179" s="36" t="s">
        <v>292</v>
      </c>
      <c r="EF179" s="36" t="str">
        <f>Tabulacao!MC179</f>
        <v>Aracaju</v>
      </c>
      <c r="EG179" s="36" t="s">
        <v>292</v>
      </c>
      <c r="EH179" s="36" t="str">
        <f>Tabulacao!MG179</f>
        <v>Aracaju</v>
      </c>
      <c r="EI179" s="36" t="s">
        <v>292</v>
      </c>
      <c r="EJ179" s="36" t="str">
        <f>Tabulacao!MK179</f>
        <v>Aracaju</v>
      </c>
      <c r="EK179" s="36" t="s">
        <v>134</v>
      </c>
      <c r="EL179" s="36" t="s">
        <v>134</v>
      </c>
      <c r="EM179" s="36" t="s">
        <v>134</v>
      </c>
      <c r="EN179" s="36" t="s">
        <v>134</v>
      </c>
      <c r="EO179" s="36" t="s">
        <v>134</v>
      </c>
      <c r="EP179" s="36" t="s">
        <v>134</v>
      </c>
      <c r="EQ179" s="36" t="s">
        <v>274</v>
      </c>
      <c r="ER179" s="36" t="str">
        <f>IF(OR(EQ179=CaractAmostra!$BD$9,EQ179=CaractAmostra!$BD$10,EQ179=CaractAmostra!$BD$11,EQ179=CaractAmostra!$BD$12,EQ179=CaractAmostra!$BD$13),Respostas_Formatadas!EQ179,"Outros")</f>
        <v>Com um(a) parceiro(a)</v>
      </c>
      <c r="ES179" s="36" t="s">
        <v>274</v>
      </c>
      <c r="ET179" s="36" t="str">
        <f>IF(OR(ES179=CaractAmostra!$BH$9,ES179=CaractAmostra!$BH$10,ES179=CaractAmostra!$BH$11,ES179=CaractAmostra!$BH$12),Respostas_Formatadas!ES179,"Outros")</f>
        <v>Com um(a) parceiro(a)</v>
      </c>
      <c r="EU179" s="36" t="s">
        <v>134</v>
      </c>
      <c r="EV179" s="36" t="s">
        <v>282</v>
      </c>
      <c r="EW179" s="36" t="s">
        <v>282</v>
      </c>
      <c r="FD179" s="36" t="s">
        <v>742</v>
      </c>
      <c r="FE179" s="47">
        <v>2017</v>
      </c>
      <c r="FF179" s="97">
        <v>7.4474</v>
      </c>
      <c r="FG179" s="47">
        <v>2017</v>
      </c>
      <c r="FH179" s="47">
        <f t="shared" ref="FH179:FH210" si="7">FG179-FE179</f>
        <v>0</v>
      </c>
      <c r="FI179" s="47" t="str">
        <f t="shared" si="4"/>
        <v>Aracaju</v>
      </c>
      <c r="FJ179" s="47" t="str">
        <f t="shared" si="5"/>
        <v>Tecnologia</v>
      </c>
    </row>
    <row r="180" spans="1:166" s="36" customFormat="1" ht="15.75" customHeight="1" x14ac:dyDescent="0.2">
      <c r="A180" s="38">
        <v>43420.766537314819</v>
      </c>
      <c r="B180" s="41"/>
      <c r="C180" s="36" t="s">
        <v>119</v>
      </c>
      <c r="D180" s="47" t="s">
        <v>133</v>
      </c>
      <c r="E180" s="36" t="s">
        <v>138</v>
      </c>
      <c r="H180" s="36" t="s">
        <v>142</v>
      </c>
      <c r="I180" s="36" t="s">
        <v>144</v>
      </c>
      <c r="M180" s="36" t="s">
        <v>146</v>
      </c>
      <c r="N180" s="36" t="s">
        <v>134</v>
      </c>
      <c r="O180" s="36" t="s">
        <v>133</v>
      </c>
      <c r="P180" s="36" t="s">
        <v>134</v>
      </c>
      <c r="Q180" s="36" t="s">
        <v>134</v>
      </c>
      <c r="R180" s="36" t="s">
        <v>151</v>
      </c>
      <c r="Y180" s="36" t="s">
        <v>134</v>
      </c>
      <c r="AI180" s="40"/>
      <c r="AQ180" s="40"/>
      <c r="BT180" s="36">
        <v>5</v>
      </c>
      <c r="BU180" s="36">
        <v>3</v>
      </c>
      <c r="BV180" s="36">
        <v>4</v>
      </c>
      <c r="BW180" s="36">
        <v>2</v>
      </c>
      <c r="BX180" s="36">
        <v>3</v>
      </c>
      <c r="BY180" s="36">
        <v>3</v>
      </c>
      <c r="BZ180" s="36">
        <v>5</v>
      </c>
      <c r="CA180" s="36">
        <v>5</v>
      </c>
      <c r="CB180" s="36">
        <v>5</v>
      </c>
      <c r="CC180" s="36">
        <v>5</v>
      </c>
      <c r="CD180" s="36">
        <v>5</v>
      </c>
      <c r="CE180" s="36">
        <v>5</v>
      </c>
      <c r="CF180" s="36">
        <v>4</v>
      </c>
      <c r="CG180" s="36">
        <v>4</v>
      </c>
      <c r="CH180" s="36" t="s">
        <v>222</v>
      </c>
      <c r="CI180" t="s">
        <v>225</v>
      </c>
      <c r="CJ180" t="s">
        <v>226</v>
      </c>
      <c r="CK180" s="36" t="s">
        <v>234</v>
      </c>
      <c r="CL180" t="s">
        <v>240</v>
      </c>
      <c r="CM180"/>
      <c r="CN180" s="36" t="s">
        <v>241</v>
      </c>
      <c r="CO180" s="36" t="s">
        <v>134</v>
      </c>
      <c r="CP180" s="36">
        <v>2</v>
      </c>
      <c r="CQ180" s="36">
        <v>3</v>
      </c>
      <c r="CR180" s="36" t="s">
        <v>249</v>
      </c>
      <c r="CS180" s="36">
        <v>2</v>
      </c>
      <c r="CT180" s="36">
        <v>2</v>
      </c>
      <c r="CU180" s="36">
        <v>2</v>
      </c>
      <c r="CV180" s="36">
        <v>2</v>
      </c>
      <c r="CW180" s="36">
        <v>3</v>
      </c>
      <c r="CX180" s="36">
        <v>4</v>
      </c>
      <c r="CY180" s="36">
        <v>4</v>
      </c>
      <c r="CZ180" s="36">
        <v>4</v>
      </c>
      <c r="DA180" s="36">
        <v>3</v>
      </c>
      <c r="DB180" s="36">
        <v>4</v>
      </c>
      <c r="DC180" s="36">
        <v>3</v>
      </c>
      <c r="DD180" s="36">
        <v>4</v>
      </c>
      <c r="DE180" s="36">
        <v>4</v>
      </c>
      <c r="DF180" s="36">
        <v>4</v>
      </c>
      <c r="DG180" s="36">
        <v>4</v>
      </c>
      <c r="DH180" s="36">
        <v>2</v>
      </c>
      <c r="DI180" s="36" t="s">
        <v>133</v>
      </c>
      <c r="DJ180" s="36" t="s">
        <v>133</v>
      </c>
      <c r="DK180" s="36" t="s">
        <v>254</v>
      </c>
      <c r="DL180" t="s">
        <v>255</v>
      </c>
      <c r="DM180"/>
      <c r="DN180"/>
      <c r="DO180" t="s">
        <v>256</v>
      </c>
      <c r="DP180" t="s">
        <v>257</v>
      </c>
      <c r="DQ180" s="36">
        <v>4</v>
      </c>
      <c r="DR180" s="36" t="s">
        <v>134</v>
      </c>
      <c r="DT180"/>
      <c r="DU180"/>
      <c r="DV180"/>
      <c r="DW180"/>
      <c r="DX180"/>
      <c r="DZ180" s="36" t="s">
        <v>134</v>
      </c>
      <c r="EB180" s="36" t="s">
        <v>262</v>
      </c>
      <c r="EC180" s="36" t="s">
        <v>267</v>
      </c>
      <c r="ED180" s="36">
        <v>27</v>
      </c>
      <c r="EE180" s="36" t="s">
        <v>292</v>
      </c>
      <c r="EF180" s="36" t="str">
        <f>Tabulacao!MC180</f>
        <v>Aracaju</v>
      </c>
      <c r="EG180" s="36" t="s">
        <v>292</v>
      </c>
      <c r="EH180" s="36" t="str">
        <f>Tabulacao!MG180</f>
        <v>Aracaju</v>
      </c>
      <c r="EI180" s="36" t="s">
        <v>292</v>
      </c>
      <c r="EJ180" s="36" t="str">
        <f>Tabulacao!MK180</f>
        <v>Aracaju</v>
      </c>
      <c r="EK180" s="36" t="s">
        <v>134</v>
      </c>
      <c r="EL180" s="36" t="s">
        <v>134</v>
      </c>
      <c r="EM180" s="36" t="s">
        <v>134</v>
      </c>
      <c r="EN180" s="36" t="s">
        <v>134</v>
      </c>
      <c r="EO180" s="36" t="s">
        <v>134</v>
      </c>
      <c r="EP180" s="36" t="s">
        <v>134</v>
      </c>
      <c r="EQ180" s="36" t="s">
        <v>275</v>
      </c>
      <c r="ER180" s="36" t="str">
        <f>IF(OR(EQ180=CaractAmostra!$BD$9,EQ180=CaractAmostra!$BD$10,EQ180=CaractAmostra!$BD$11,EQ180=CaractAmostra!$BD$12,EQ180=CaractAmostra!$BD$13),Respostas_Formatadas!EQ180,"Outros")</f>
        <v>Com os pais</v>
      </c>
      <c r="ES180" s="36" t="s">
        <v>275</v>
      </c>
      <c r="ET180" s="36" t="str">
        <f>IF(OR(ES180=CaractAmostra!$BH$9,ES180=CaractAmostra!$BH$10,ES180=CaractAmostra!$BH$11,ES180=CaractAmostra!$BH$12),Respostas_Formatadas!ES180,"Outros")</f>
        <v>Com os pais</v>
      </c>
      <c r="EU180" s="36" t="s">
        <v>134</v>
      </c>
      <c r="EV180" s="36" t="s">
        <v>286</v>
      </c>
      <c r="EW180" s="36" t="s">
        <v>285</v>
      </c>
      <c r="FE180" s="47">
        <v>2017</v>
      </c>
      <c r="FF180" s="97">
        <v>8.39</v>
      </c>
      <c r="FG180" s="47">
        <v>2017</v>
      </c>
      <c r="FH180" s="47">
        <f t="shared" si="7"/>
        <v>0</v>
      </c>
      <c r="FI180" s="47" t="str">
        <f t="shared" si="4"/>
        <v>Aracaju</v>
      </c>
      <c r="FJ180" s="47" t="str">
        <f t="shared" si="5"/>
        <v>Bacharelado</v>
      </c>
    </row>
    <row r="181" spans="1:166" s="36" customFormat="1" ht="15.75" customHeight="1" x14ac:dyDescent="0.2">
      <c r="A181" s="38">
        <v>43420.783598009264</v>
      </c>
      <c r="C181" s="36" t="s">
        <v>125</v>
      </c>
      <c r="D181" s="47" t="s">
        <v>133</v>
      </c>
      <c r="E181" s="36" t="s">
        <v>135</v>
      </c>
      <c r="H181" s="36" t="s">
        <v>144</v>
      </c>
      <c r="M181" s="36" t="s">
        <v>147</v>
      </c>
      <c r="N181" s="36" t="s">
        <v>134</v>
      </c>
      <c r="O181" s="36" t="s">
        <v>134</v>
      </c>
      <c r="P181" s="36" t="s">
        <v>133</v>
      </c>
      <c r="Q181" s="36" t="s">
        <v>133</v>
      </c>
      <c r="R181" s="36" t="s">
        <v>151</v>
      </c>
      <c r="Y181" s="36" t="s">
        <v>166</v>
      </c>
      <c r="AC181" s="36" t="s">
        <v>181</v>
      </c>
      <c r="AD181" s="36" t="s">
        <v>578</v>
      </c>
      <c r="AE181" s="36">
        <v>1</v>
      </c>
      <c r="AF181" s="36" t="s">
        <v>188</v>
      </c>
      <c r="AG181" s="36" t="s">
        <v>188</v>
      </c>
      <c r="AH181" s="36" t="s">
        <v>134</v>
      </c>
      <c r="AI181" s="40">
        <v>1769</v>
      </c>
      <c r="AJ181" s="36">
        <v>4</v>
      </c>
      <c r="AK181" s="36">
        <v>4</v>
      </c>
      <c r="AL181" s="36" t="s">
        <v>134</v>
      </c>
      <c r="AM181" s="36" t="s">
        <v>170</v>
      </c>
      <c r="AN181" s="36">
        <v>2</v>
      </c>
      <c r="AO181" s="36" t="s">
        <v>133</v>
      </c>
      <c r="AP181" s="36" t="s">
        <v>743</v>
      </c>
      <c r="AQ181" s="40">
        <v>1800</v>
      </c>
      <c r="AR181" s="36">
        <v>3</v>
      </c>
      <c r="AS181" s="36">
        <v>4</v>
      </c>
      <c r="AT181" s="36">
        <v>4</v>
      </c>
      <c r="AU181" s="36">
        <v>3</v>
      </c>
      <c r="AV181" s="36">
        <v>3</v>
      </c>
      <c r="AW181" s="36" t="s">
        <v>193</v>
      </c>
      <c r="AX181" s="36" t="s">
        <v>206</v>
      </c>
      <c r="AY181" s="36" t="s">
        <v>210</v>
      </c>
      <c r="AZ181" s="36" t="s">
        <v>134</v>
      </c>
      <c r="BA181" s="36" t="s">
        <v>170</v>
      </c>
      <c r="BB181" s="36" t="s">
        <v>292</v>
      </c>
      <c r="BC181" s="36" t="s">
        <v>292</v>
      </c>
      <c r="BD181" s="36" t="s">
        <v>188</v>
      </c>
      <c r="BF181" s="36" t="s">
        <v>221</v>
      </c>
      <c r="BG181" s="36">
        <v>4</v>
      </c>
      <c r="BH181" s="36">
        <v>4</v>
      </c>
      <c r="BI181" s="36">
        <v>4</v>
      </c>
      <c r="BJ181" s="36">
        <v>4</v>
      </c>
      <c r="BK181" s="36">
        <v>4</v>
      </c>
      <c r="BL181" s="36">
        <v>4</v>
      </c>
      <c r="BM181" s="36">
        <v>4</v>
      </c>
      <c r="BN181" s="36">
        <v>4</v>
      </c>
      <c r="BO181" s="36">
        <v>4</v>
      </c>
      <c r="BP181" s="36">
        <v>4</v>
      </c>
      <c r="BQ181" s="36">
        <v>4</v>
      </c>
      <c r="BR181" s="36">
        <v>4</v>
      </c>
      <c r="BS181" s="36">
        <v>4</v>
      </c>
      <c r="BT181" s="36">
        <v>4</v>
      </c>
      <c r="BU181" s="36">
        <v>4</v>
      </c>
      <c r="BV181" s="36">
        <v>4</v>
      </c>
      <c r="BW181" s="36">
        <v>4</v>
      </c>
      <c r="BX181" s="36">
        <v>4</v>
      </c>
      <c r="BY181" s="36">
        <v>4</v>
      </c>
      <c r="BZ181" s="36">
        <v>4</v>
      </c>
      <c r="CA181" s="36">
        <v>4</v>
      </c>
      <c r="CB181" s="36">
        <v>4</v>
      </c>
      <c r="CC181" s="36">
        <v>4</v>
      </c>
      <c r="CD181" s="36">
        <v>4</v>
      </c>
      <c r="CE181" s="36">
        <v>4</v>
      </c>
      <c r="CF181" s="36">
        <v>4</v>
      </c>
      <c r="CG181" s="36">
        <v>4</v>
      </c>
      <c r="CH181" s="36" t="s">
        <v>222</v>
      </c>
      <c r="CI181"/>
      <c r="CJ181"/>
      <c r="CK181" s="36" t="s">
        <v>234</v>
      </c>
      <c r="CL181"/>
      <c r="CM181"/>
      <c r="CN181" s="36" t="s">
        <v>242</v>
      </c>
      <c r="CO181" s="36" t="s">
        <v>134</v>
      </c>
      <c r="CP181" s="36">
        <v>4</v>
      </c>
      <c r="CQ181" s="36">
        <v>4</v>
      </c>
      <c r="CR181" s="36" t="s">
        <v>248</v>
      </c>
      <c r="CS181" s="36">
        <v>5</v>
      </c>
      <c r="CT181" s="36">
        <v>5</v>
      </c>
      <c r="CU181" s="36">
        <v>5</v>
      </c>
      <c r="CV181" s="36">
        <v>5</v>
      </c>
      <c r="CW181" s="36">
        <v>5</v>
      </c>
      <c r="CX181" s="36">
        <v>5</v>
      </c>
      <c r="CY181" s="36">
        <v>5</v>
      </c>
      <c r="CZ181" s="36">
        <v>5</v>
      </c>
      <c r="DA181" s="36">
        <v>5</v>
      </c>
      <c r="DB181" s="36">
        <v>5</v>
      </c>
      <c r="DC181" s="36">
        <v>5</v>
      </c>
      <c r="DD181" s="36">
        <v>5</v>
      </c>
      <c r="DE181" s="36">
        <v>5</v>
      </c>
      <c r="DF181" s="36">
        <v>5</v>
      </c>
      <c r="DG181" s="36">
        <v>5</v>
      </c>
      <c r="DH181" s="36">
        <v>5</v>
      </c>
      <c r="DI181" s="36" t="s">
        <v>133</v>
      </c>
      <c r="DJ181" s="36" t="s">
        <v>133</v>
      </c>
      <c r="DK181" s="36" t="s">
        <v>254</v>
      </c>
      <c r="DL181" t="s">
        <v>255</v>
      </c>
      <c r="DM181"/>
      <c r="DN181"/>
      <c r="DO181" t="s">
        <v>256</v>
      </c>
      <c r="DP181" t="s">
        <v>257</v>
      </c>
      <c r="DQ181" s="36">
        <v>5</v>
      </c>
      <c r="DR181" s="36" t="s">
        <v>133</v>
      </c>
      <c r="DS181" s="36" t="s">
        <v>258</v>
      </c>
      <c r="DT181" t="s">
        <v>259</v>
      </c>
      <c r="DU181"/>
      <c r="DV181"/>
      <c r="DW181" t="s">
        <v>260</v>
      </c>
      <c r="DX181" t="s">
        <v>261</v>
      </c>
      <c r="DY181" s="36">
        <v>5</v>
      </c>
      <c r="DZ181" s="36" t="s">
        <v>134</v>
      </c>
      <c r="EB181" s="36" t="s">
        <v>263</v>
      </c>
      <c r="EC181" s="36" t="s">
        <v>267</v>
      </c>
      <c r="ED181" s="36">
        <v>38</v>
      </c>
      <c r="EE181" s="36" t="s">
        <v>292</v>
      </c>
      <c r="EF181" s="36" t="str">
        <f>Tabulacao!MC181</f>
        <v>Aracaju</v>
      </c>
      <c r="EG181" s="36" t="s">
        <v>292</v>
      </c>
      <c r="EH181" s="36" t="str">
        <f>Tabulacao!MG181</f>
        <v>Aracaju</v>
      </c>
      <c r="EI181" s="36" t="s">
        <v>292</v>
      </c>
      <c r="EJ181" s="36" t="str">
        <f>Tabulacao!MK181</f>
        <v>Aracaju</v>
      </c>
      <c r="EK181" s="36" t="s">
        <v>134</v>
      </c>
      <c r="EL181" s="36" t="s">
        <v>134</v>
      </c>
      <c r="EM181" s="36" t="s">
        <v>134</v>
      </c>
      <c r="EN181" s="36" t="s">
        <v>134</v>
      </c>
      <c r="EO181" s="36" t="s">
        <v>134</v>
      </c>
      <c r="EP181" s="36" t="s">
        <v>134</v>
      </c>
      <c r="EQ181" s="36" t="s">
        <v>273</v>
      </c>
      <c r="ER181" s="36" t="str">
        <f>IF(OR(EQ181=CaractAmostra!$BD$9,EQ181=CaractAmostra!$BD$10,EQ181=CaractAmostra!$BD$11,EQ181=CaractAmostra!$BD$12,EQ181=CaractAmostra!$BD$13),Respostas_Formatadas!EQ181,"Outros")</f>
        <v>Dividia residência com outras pessoas</v>
      </c>
      <c r="ES181" s="36" t="s">
        <v>278</v>
      </c>
      <c r="ET181" s="36" t="str">
        <f>IF(OR(ES181=CaractAmostra!$BH$9,ES181=CaractAmostra!$BH$10,ES181=CaractAmostra!$BH$11,ES181=CaractAmostra!$BH$12),Respostas_Formatadas!ES181,"Outros")</f>
        <v>Divido residência com outras pessoas</v>
      </c>
      <c r="EU181" s="36" t="s">
        <v>279</v>
      </c>
      <c r="EV181" s="36" t="s">
        <v>282</v>
      </c>
      <c r="EW181" s="36" t="s">
        <v>282</v>
      </c>
      <c r="FE181" s="47">
        <v>2016</v>
      </c>
      <c r="FF181" s="97">
        <v>7.2750000000000004</v>
      </c>
      <c r="FG181" s="47">
        <v>2017</v>
      </c>
      <c r="FH181" s="47">
        <f t="shared" si="7"/>
        <v>1</v>
      </c>
      <c r="FI181" s="47" t="str">
        <f t="shared" si="4"/>
        <v>Aracaju</v>
      </c>
      <c r="FJ181" s="47" t="str">
        <f t="shared" si="5"/>
        <v>Tecnologia</v>
      </c>
    </row>
    <row r="182" spans="1:166" s="36" customFormat="1" ht="15.75" customHeight="1" x14ac:dyDescent="0.2">
      <c r="A182" s="38">
        <v>43420.912366874996</v>
      </c>
      <c r="B182" s="41"/>
      <c r="C182" s="36" t="s">
        <v>124</v>
      </c>
      <c r="D182" s="47" t="s">
        <v>134</v>
      </c>
      <c r="M182" s="36" t="s">
        <v>146</v>
      </c>
      <c r="N182" s="36" t="s">
        <v>134</v>
      </c>
      <c r="O182" s="36" t="s">
        <v>134</v>
      </c>
      <c r="P182" s="36" t="s">
        <v>134</v>
      </c>
      <c r="Q182" s="36" t="s">
        <v>134</v>
      </c>
      <c r="R182" s="36" t="s">
        <v>151</v>
      </c>
      <c r="Y182" s="36" t="s">
        <v>134</v>
      </c>
      <c r="AI182" s="40"/>
      <c r="AQ182" s="40"/>
      <c r="BT182" s="36">
        <v>5</v>
      </c>
      <c r="BU182" s="36">
        <v>5</v>
      </c>
      <c r="BV182" s="36">
        <v>4</v>
      </c>
      <c r="BW182" s="36">
        <v>5</v>
      </c>
      <c r="BX182" s="36">
        <v>5</v>
      </c>
      <c r="BY182" s="36">
        <v>5</v>
      </c>
      <c r="BZ182" s="36">
        <v>5</v>
      </c>
      <c r="CA182" s="36">
        <v>4</v>
      </c>
      <c r="CB182" s="36">
        <v>5</v>
      </c>
      <c r="CC182" s="36">
        <v>5</v>
      </c>
      <c r="CD182" s="36">
        <v>5</v>
      </c>
      <c r="CE182" s="36">
        <v>5</v>
      </c>
      <c r="CF182" s="36">
        <v>3</v>
      </c>
      <c r="CG182" s="36">
        <v>1</v>
      </c>
      <c r="CH182" s="36" t="s">
        <v>222</v>
      </c>
      <c r="CI182" t="s">
        <v>225</v>
      </c>
      <c r="CJ182" t="s">
        <v>226</v>
      </c>
      <c r="CK182" s="36" t="s">
        <v>233</v>
      </c>
      <c r="CL182" t="s">
        <v>234</v>
      </c>
      <c r="CM182" t="s">
        <v>237</v>
      </c>
      <c r="CN182" s="36" t="s">
        <v>241</v>
      </c>
      <c r="CO182" s="36" t="s">
        <v>134</v>
      </c>
      <c r="CP182" s="36">
        <v>5</v>
      </c>
      <c r="CQ182" s="36">
        <v>4</v>
      </c>
      <c r="CR182" s="36" t="s">
        <v>249</v>
      </c>
      <c r="CS182" s="36">
        <v>2</v>
      </c>
      <c r="CT182" s="36">
        <v>3</v>
      </c>
      <c r="CU182" s="36">
        <v>2</v>
      </c>
      <c r="CV182" s="36">
        <v>1</v>
      </c>
      <c r="CW182" s="36">
        <v>3</v>
      </c>
      <c r="CX182" s="36">
        <v>3</v>
      </c>
      <c r="CY182" s="36">
        <v>3</v>
      </c>
      <c r="CZ182" s="36">
        <v>4</v>
      </c>
      <c r="DA182" s="36">
        <v>2</v>
      </c>
      <c r="DB182" s="36">
        <v>3</v>
      </c>
      <c r="DC182" s="36">
        <v>3</v>
      </c>
      <c r="DD182" s="36">
        <v>1</v>
      </c>
      <c r="DE182" s="36">
        <v>1</v>
      </c>
      <c r="DF182" s="36">
        <v>1</v>
      </c>
      <c r="DG182" s="36">
        <v>3</v>
      </c>
      <c r="DH182" s="36">
        <v>1</v>
      </c>
      <c r="DI182" s="36" t="s">
        <v>250</v>
      </c>
      <c r="DJ182" s="36" t="s">
        <v>134</v>
      </c>
      <c r="DL182"/>
      <c r="DM182"/>
      <c r="DN182"/>
      <c r="DO182"/>
      <c r="DP182"/>
      <c r="DR182" s="36" t="s">
        <v>134</v>
      </c>
      <c r="DT182"/>
      <c r="DU182"/>
      <c r="DV182"/>
      <c r="DW182"/>
      <c r="DX182"/>
      <c r="DZ182" s="36" t="s">
        <v>133</v>
      </c>
      <c r="EA182" s="36">
        <v>4</v>
      </c>
      <c r="EB182" s="36" t="s">
        <v>263</v>
      </c>
      <c r="EC182" s="36" t="s">
        <v>265</v>
      </c>
      <c r="ED182" s="36">
        <v>28</v>
      </c>
      <c r="EE182" s="36" t="s">
        <v>538</v>
      </c>
      <c r="EF182" s="36" t="str">
        <f>Tabulacao!MC182</f>
        <v>Nossa Senhora do Socorro</v>
      </c>
      <c r="EG182" s="36" t="s">
        <v>538</v>
      </c>
      <c r="EH182" s="36" t="str">
        <f>Tabulacao!MG182</f>
        <v>Nossa Senhora do Socorro</v>
      </c>
      <c r="EI182" s="36" t="s">
        <v>538</v>
      </c>
      <c r="EJ182" s="36" t="str">
        <f>Tabulacao!MK182</f>
        <v>Nossa Senhora do Socorro</v>
      </c>
      <c r="EK182" s="36" t="s">
        <v>134</v>
      </c>
      <c r="EL182" s="36" t="s">
        <v>134</v>
      </c>
      <c r="EM182" s="36" t="s">
        <v>134</v>
      </c>
      <c r="EN182" s="36" t="s">
        <v>134</v>
      </c>
      <c r="EO182" s="36" t="s">
        <v>134</v>
      </c>
      <c r="EP182" s="36" t="s">
        <v>134</v>
      </c>
      <c r="EQ182" s="36" t="s">
        <v>275</v>
      </c>
      <c r="ER182" s="36" t="str">
        <f>IF(OR(EQ182=CaractAmostra!$BD$9,EQ182=CaractAmostra!$BD$10,EQ182=CaractAmostra!$BD$11,EQ182=CaractAmostra!$BD$12,EQ182=CaractAmostra!$BD$13),Respostas_Formatadas!EQ182,"Outros")</f>
        <v>Com os pais</v>
      </c>
      <c r="ES182" s="36" t="s">
        <v>274</v>
      </c>
      <c r="ET182" s="36" t="str">
        <f>IF(OR(ES182=CaractAmostra!$BH$9,ES182=CaractAmostra!$BH$10,ES182=CaractAmostra!$BH$11,ES182=CaractAmostra!$BH$12),Respostas_Formatadas!ES182,"Outros")</f>
        <v>Com um(a) parceiro(a)</v>
      </c>
      <c r="EU182" s="36" t="s">
        <v>279</v>
      </c>
      <c r="EV182" s="36" t="s">
        <v>282</v>
      </c>
      <c r="EW182" s="36" t="s">
        <v>283</v>
      </c>
      <c r="FE182" s="47">
        <v>2014</v>
      </c>
      <c r="FF182" s="97">
        <v>8.0629000000000008</v>
      </c>
      <c r="FG182" s="47">
        <v>2015</v>
      </c>
      <c r="FH182" s="47">
        <f t="shared" si="7"/>
        <v>1</v>
      </c>
      <c r="FI182" s="47" t="str">
        <f t="shared" si="4"/>
        <v>Aracaju</v>
      </c>
      <c r="FJ182" s="47" t="str">
        <f t="shared" si="5"/>
        <v>Tecnologia</v>
      </c>
    </row>
    <row r="183" spans="1:166" s="36" customFormat="1" ht="15.75" customHeight="1" x14ac:dyDescent="0.2">
      <c r="A183" s="38">
        <v>43420.941355844909</v>
      </c>
      <c r="B183" s="41"/>
      <c r="C183" s="36" t="s">
        <v>130</v>
      </c>
      <c r="D183" s="47" t="s">
        <v>133</v>
      </c>
      <c r="E183" s="36" t="s">
        <v>138</v>
      </c>
      <c r="H183" s="36" t="s">
        <v>142</v>
      </c>
      <c r="M183" s="36" t="s">
        <v>147</v>
      </c>
      <c r="N183" s="36" t="s">
        <v>134</v>
      </c>
      <c r="O183" s="36" t="s">
        <v>133</v>
      </c>
      <c r="P183" s="36" t="s">
        <v>134</v>
      </c>
      <c r="Q183" s="36" t="s">
        <v>134</v>
      </c>
      <c r="R183" s="36" t="s">
        <v>151</v>
      </c>
      <c r="Y183" s="36" t="s">
        <v>134</v>
      </c>
      <c r="AI183" s="40"/>
      <c r="AQ183" s="40"/>
      <c r="BT183" s="36">
        <v>5</v>
      </c>
      <c r="BU183" s="36">
        <v>5</v>
      </c>
      <c r="BV183" s="36">
        <v>4</v>
      </c>
      <c r="BW183" s="36">
        <v>4</v>
      </c>
      <c r="BX183" s="36">
        <v>4</v>
      </c>
      <c r="BY183" s="36">
        <v>5</v>
      </c>
      <c r="BZ183" s="36">
        <v>4</v>
      </c>
      <c r="CA183" s="36">
        <v>3</v>
      </c>
      <c r="CB183" s="36">
        <v>4</v>
      </c>
      <c r="CC183" s="36">
        <v>4</v>
      </c>
      <c r="CD183" s="36">
        <v>4</v>
      </c>
      <c r="CE183" s="36">
        <v>4</v>
      </c>
      <c r="CF183" s="36">
        <v>2</v>
      </c>
      <c r="CG183" s="36">
        <v>4</v>
      </c>
      <c r="CH183" s="36" t="s">
        <v>226</v>
      </c>
      <c r="CI183"/>
      <c r="CJ183"/>
      <c r="CK183" s="36" t="s">
        <v>233</v>
      </c>
      <c r="CL183"/>
      <c r="CM183"/>
      <c r="CN183" s="36" t="s">
        <v>242</v>
      </c>
      <c r="CO183" s="36" t="s">
        <v>134</v>
      </c>
      <c r="CP183" s="36">
        <v>5</v>
      </c>
      <c r="CQ183" s="36">
        <v>5</v>
      </c>
      <c r="CR183" s="36" t="s">
        <v>248</v>
      </c>
      <c r="CS183" s="36">
        <v>5</v>
      </c>
      <c r="CT183" s="36">
        <v>5</v>
      </c>
      <c r="CU183" s="36">
        <v>5</v>
      </c>
      <c r="CV183" s="36">
        <v>5</v>
      </c>
      <c r="CW183" s="36">
        <v>5</v>
      </c>
      <c r="CX183" s="36">
        <v>5</v>
      </c>
      <c r="CY183" s="36">
        <v>5</v>
      </c>
      <c r="CZ183" s="36">
        <v>5</v>
      </c>
      <c r="DA183" s="36">
        <v>5</v>
      </c>
      <c r="DB183" s="36">
        <v>5</v>
      </c>
      <c r="DC183" s="36">
        <v>4</v>
      </c>
      <c r="DD183" s="36">
        <v>5</v>
      </c>
      <c r="DE183" s="36">
        <v>5</v>
      </c>
      <c r="DF183" s="36">
        <v>5</v>
      </c>
      <c r="DG183" s="36">
        <v>5</v>
      </c>
      <c r="DH183" s="36">
        <v>5</v>
      </c>
      <c r="DI183" s="36" t="s">
        <v>133</v>
      </c>
      <c r="DJ183" s="36" t="s">
        <v>133</v>
      </c>
      <c r="DK183" s="36" t="s">
        <v>255</v>
      </c>
      <c r="DL183"/>
      <c r="DM183"/>
      <c r="DN183" t="s">
        <v>257</v>
      </c>
      <c r="DO183"/>
      <c r="DP183"/>
      <c r="DQ183" s="36">
        <v>5</v>
      </c>
      <c r="DR183" s="36" t="s">
        <v>133</v>
      </c>
      <c r="DS183" s="36" t="s">
        <v>258</v>
      </c>
      <c r="DT183" t="s">
        <v>260</v>
      </c>
      <c r="DU183"/>
      <c r="DV183"/>
      <c r="DW183"/>
      <c r="DX183"/>
      <c r="DY183" s="36">
        <v>5</v>
      </c>
      <c r="DZ183" s="36" t="s">
        <v>133</v>
      </c>
      <c r="EA183" s="36">
        <v>5</v>
      </c>
      <c r="EB183" s="36" t="s">
        <v>263</v>
      </c>
      <c r="EC183" s="36" t="s">
        <v>264</v>
      </c>
      <c r="ED183" s="36">
        <v>37</v>
      </c>
      <c r="EE183" s="36" t="s">
        <v>744</v>
      </c>
      <c r="EF183" s="36" t="str">
        <f>Tabulacao!MC183</f>
        <v>Jandaira - BA</v>
      </c>
      <c r="EG183" s="36" t="s">
        <v>501</v>
      </c>
      <c r="EH183" s="36" t="str">
        <f>Tabulacao!MG183</f>
        <v>Aracaju</v>
      </c>
      <c r="EI183" s="36" t="s">
        <v>501</v>
      </c>
      <c r="EJ183" s="36" t="str">
        <f>Tabulacao!MK183</f>
        <v>Aracaju</v>
      </c>
      <c r="EK183" s="36" t="s">
        <v>134</v>
      </c>
      <c r="EL183" s="36" t="s">
        <v>134</v>
      </c>
      <c r="EM183" s="36" t="s">
        <v>134</v>
      </c>
      <c r="EN183" s="36" t="s">
        <v>134</v>
      </c>
      <c r="EO183" s="36" t="s">
        <v>134</v>
      </c>
      <c r="EP183" s="36" t="s">
        <v>134</v>
      </c>
      <c r="EQ183" s="36" t="s">
        <v>273</v>
      </c>
      <c r="ER183" s="36" t="str">
        <f>IF(OR(EQ183=CaractAmostra!$BD$9,EQ183=CaractAmostra!$BD$10,EQ183=CaractAmostra!$BD$11,EQ183=CaractAmostra!$BD$12,EQ183=CaractAmostra!$BD$13),Respostas_Formatadas!EQ183,"Outros")</f>
        <v>Dividia residência com outras pessoas</v>
      </c>
      <c r="ES183" s="36" t="s">
        <v>274</v>
      </c>
      <c r="ET183" s="36" t="str">
        <f>IF(OR(ES183=CaractAmostra!$BH$9,ES183=CaractAmostra!$BH$10,ES183=CaractAmostra!$BH$11,ES183=CaractAmostra!$BH$12),Respostas_Formatadas!ES183,"Outros")</f>
        <v>Com um(a) parceiro(a)</v>
      </c>
      <c r="EU183" s="36" t="s">
        <v>134</v>
      </c>
      <c r="EV183" s="36" t="s">
        <v>282</v>
      </c>
      <c r="EW183" s="36" t="s">
        <v>282</v>
      </c>
      <c r="FE183" s="47">
        <v>2015</v>
      </c>
      <c r="FF183" s="97">
        <v>7.9101999999999997</v>
      </c>
      <c r="FG183" s="47">
        <v>2015</v>
      </c>
      <c r="FH183" s="47">
        <f t="shared" si="7"/>
        <v>0</v>
      </c>
      <c r="FI183" s="47" t="str">
        <f t="shared" si="4"/>
        <v>São Cristóvão</v>
      </c>
      <c r="FJ183" s="47" t="str">
        <f t="shared" si="5"/>
        <v>Tecnologia</v>
      </c>
    </row>
    <row r="184" spans="1:166" s="36" customFormat="1" ht="15.75" customHeight="1" x14ac:dyDescent="0.2">
      <c r="A184" s="38">
        <v>43421.003588090272</v>
      </c>
      <c r="B184" s="41"/>
      <c r="C184" s="36" t="s">
        <v>121</v>
      </c>
      <c r="D184" s="47" t="s">
        <v>134</v>
      </c>
      <c r="M184" s="36" t="s">
        <v>147</v>
      </c>
      <c r="N184" s="36" t="s">
        <v>134</v>
      </c>
      <c r="O184" s="36" t="s">
        <v>133</v>
      </c>
      <c r="P184" s="36" t="s">
        <v>133</v>
      </c>
      <c r="Q184" s="36" t="s">
        <v>134</v>
      </c>
      <c r="R184" s="36" t="s">
        <v>151</v>
      </c>
      <c r="Y184" s="36" t="s">
        <v>165</v>
      </c>
      <c r="Z184" s="36" t="s">
        <v>167</v>
      </c>
      <c r="AA184" s="36" t="s">
        <v>172</v>
      </c>
      <c r="AB184" s="36" t="s">
        <v>178</v>
      </c>
      <c r="AD184" s="36" t="s">
        <v>745</v>
      </c>
      <c r="AE184" s="36">
        <v>5</v>
      </c>
      <c r="AF184" s="36" t="s">
        <v>746</v>
      </c>
      <c r="AG184" s="36" t="s">
        <v>189</v>
      </c>
      <c r="AH184" s="36" t="s">
        <v>134</v>
      </c>
      <c r="AI184" s="40">
        <v>500</v>
      </c>
      <c r="AJ184" s="36">
        <v>5</v>
      </c>
      <c r="AK184" s="36">
        <v>5</v>
      </c>
      <c r="AL184" s="36" t="s">
        <v>133</v>
      </c>
      <c r="AP184" s="36" t="s">
        <v>747</v>
      </c>
      <c r="AQ184" s="40">
        <v>1500</v>
      </c>
      <c r="AR184" s="36">
        <v>5</v>
      </c>
      <c r="AS184" s="36">
        <v>5</v>
      </c>
      <c r="AT184" s="36">
        <v>4</v>
      </c>
      <c r="AU184" s="36">
        <v>5</v>
      </c>
      <c r="AV184" s="36">
        <v>5</v>
      </c>
      <c r="AW184" s="36" t="s">
        <v>192</v>
      </c>
      <c r="AX184" s="36" t="s">
        <v>204</v>
      </c>
      <c r="AY184" s="36" t="s">
        <v>210</v>
      </c>
      <c r="AZ184" s="36" t="s">
        <v>133</v>
      </c>
      <c r="BA184" s="36" t="s">
        <v>212</v>
      </c>
      <c r="BB184" s="36" t="s">
        <v>290</v>
      </c>
      <c r="BC184" s="36" t="s">
        <v>292</v>
      </c>
      <c r="BD184" s="36" t="s">
        <v>189</v>
      </c>
      <c r="BF184" s="36" t="s">
        <v>220</v>
      </c>
      <c r="BG184" s="36">
        <v>5</v>
      </c>
      <c r="BH184" s="36">
        <v>4</v>
      </c>
      <c r="BI184" s="36">
        <v>5</v>
      </c>
      <c r="BJ184" s="36">
        <v>3</v>
      </c>
      <c r="BK184" s="36">
        <v>4</v>
      </c>
      <c r="BL184" s="36">
        <v>5</v>
      </c>
      <c r="BM184" s="36">
        <v>5</v>
      </c>
      <c r="BN184" s="36">
        <v>3</v>
      </c>
      <c r="BO184" s="36">
        <v>4</v>
      </c>
      <c r="BP184" s="36">
        <v>4</v>
      </c>
      <c r="BQ184" s="36">
        <v>4</v>
      </c>
      <c r="BR184" s="36">
        <v>5</v>
      </c>
      <c r="BS184" s="36">
        <v>1</v>
      </c>
      <c r="BT184" s="36">
        <v>5</v>
      </c>
      <c r="BU184" s="36">
        <v>4</v>
      </c>
      <c r="BV184" s="36">
        <v>5</v>
      </c>
      <c r="BW184" s="36">
        <v>3</v>
      </c>
      <c r="BX184" s="36">
        <v>4</v>
      </c>
      <c r="BY184" s="36">
        <v>5</v>
      </c>
      <c r="BZ184" s="36">
        <v>5</v>
      </c>
      <c r="CA184" s="36">
        <v>3</v>
      </c>
      <c r="CB184" s="36">
        <v>5</v>
      </c>
      <c r="CC184" s="36">
        <v>5</v>
      </c>
      <c r="CD184" s="36">
        <v>5</v>
      </c>
      <c r="CE184" s="36">
        <v>5</v>
      </c>
      <c r="CF184" s="36">
        <v>1</v>
      </c>
      <c r="CG184" s="36">
        <v>5</v>
      </c>
      <c r="CH184" s="36" t="s">
        <v>748</v>
      </c>
      <c r="CI184"/>
      <c r="CJ184"/>
      <c r="CK184" s="36" t="s">
        <v>233</v>
      </c>
      <c r="CL184"/>
      <c r="CM184"/>
      <c r="CN184" s="36" t="s">
        <v>242</v>
      </c>
      <c r="CO184" s="36" t="s">
        <v>133</v>
      </c>
      <c r="CP184" s="36">
        <v>1</v>
      </c>
      <c r="CQ184" s="36">
        <v>5</v>
      </c>
      <c r="CR184" s="36" t="s">
        <v>248</v>
      </c>
      <c r="CS184" s="36">
        <v>4</v>
      </c>
      <c r="CT184" s="36">
        <v>2</v>
      </c>
      <c r="CU184" s="36">
        <v>3</v>
      </c>
      <c r="CV184" s="36">
        <v>4</v>
      </c>
      <c r="CW184" s="36">
        <v>4</v>
      </c>
      <c r="CX184" s="36">
        <v>4</v>
      </c>
      <c r="CY184" s="36">
        <v>4</v>
      </c>
      <c r="CZ184" s="36">
        <v>5</v>
      </c>
      <c r="DA184" s="36">
        <v>4</v>
      </c>
      <c r="DB184" s="36">
        <v>3</v>
      </c>
      <c r="DC184" s="36">
        <v>3</v>
      </c>
      <c r="DD184" s="36">
        <v>5</v>
      </c>
      <c r="DE184" s="36">
        <v>5</v>
      </c>
      <c r="DF184" s="36">
        <v>5</v>
      </c>
      <c r="DG184" s="36">
        <v>5</v>
      </c>
      <c r="DH184" s="36">
        <v>5</v>
      </c>
      <c r="DI184" s="36" t="s">
        <v>133</v>
      </c>
      <c r="DJ184" s="36" t="s">
        <v>133</v>
      </c>
      <c r="DK184" s="36" t="s">
        <v>255</v>
      </c>
      <c r="DL184"/>
      <c r="DM184"/>
      <c r="DN184"/>
      <c r="DO184"/>
      <c r="DP184"/>
      <c r="DQ184" s="36">
        <v>5</v>
      </c>
      <c r="DR184" s="36" t="s">
        <v>133</v>
      </c>
      <c r="DS184" s="36" t="s">
        <v>258</v>
      </c>
      <c r="DT184"/>
      <c r="DU184"/>
      <c r="DV184"/>
      <c r="DW184"/>
      <c r="DX184"/>
      <c r="DY184" s="36">
        <v>5</v>
      </c>
      <c r="DZ184" s="36" t="s">
        <v>133</v>
      </c>
      <c r="EA184" s="36">
        <v>5</v>
      </c>
      <c r="EB184" s="36" t="s">
        <v>263</v>
      </c>
      <c r="EC184" s="36" t="s">
        <v>267</v>
      </c>
      <c r="ED184" s="36">
        <v>22</v>
      </c>
      <c r="EE184" s="36" t="s">
        <v>292</v>
      </c>
      <c r="EF184" s="36" t="str">
        <f>Tabulacao!MC184</f>
        <v>Aracaju</v>
      </c>
      <c r="EG184" s="36" t="s">
        <v>292</v>
      </c>
      <c r="EH184" s="36" t="str">
        <f>Tabulacao!MG184</f>
        <v>Aracaju</v>
      </c>
      <c r="EI184" s="36" t="s">
        <v>292</v>
      </c>
      <c r="EJ184" s="36" t="str">
        <f>Tabulacao!MK184</f>
        <v>Aracaju</v>
      </c>
      <c r="EK184" s="36" t="s">
        <v>134</v>
      </c>
      <c r="EL184" s="36" t="s">
        <v>134</v>
      </c>
      <c r="EM184" s="36" t="s">
        <v>134</v>
      </c>
      <c r="EN184" s="36" t="s">
        <v>134</v>
      </c>
      <c r="EO184" s="36" t="s">
        <v>134</v>
      </c>
      <c r="EP184" s="36" t="s">
        <v>134</v>
      </c>
      <c r="EQ184" s="36" t="s">
        <v>274</v>
      </c>
      <c r="ER184" s="36" t="str">
        <f>IF(OR(EQ184=CaractAmostra!$BD$9,EQ184=CaractAmostra!$BD$10,EQ184=CaractAmostra!$BD$11,EQ184=CaractAmostra!$BD$12,EQ184=CaractAmostra!$BD$13),Respostas_Formatadas!EQ184,"Outros")</f>
        <v>Com um(a) parceiro(a)</v>
      </c>
      <c r="ES184" s="36" t="s">
        <v>274</v>
      </c>
      <c r="ET184" s="36" t="str">
        <f>IF(OR(ES184=CaractAmostra!$BH$9,ES184=CaractAmostra!$BH$10,ES184=CaractAmostra!$BH$11,ES184=CaractAmostra!$BH$12),Respostas_Formatadas!ES184,"Outros")</f>
        <v>Com um(a) parceiro(a)</v>
      </c>
      <c r="EU184" s="36" t="s">
        <v>134</v>
      </c>
      <c r="EV184" s="36" t="s">
        <v>282</v>
      </c>
      <c r="EW184" s="36" t="s">
        <v>282</v>
      </c>
      <c r="FD184" s="36" t="s">
        <v>749</v>
      </c>
      <c r="FE184" s="47">
        <v>2018</v>
      </c>
      <c r="FF184" s="97">
        <v>9.1089000000000002</v>
      </c>
      <c r="FG184" s="47">
        <v>2017</v>
      </c>
      <c r="FH184" s="47">
        <f t="shared" si="7"/>
        <v>-1</v>
      </c>
      <c r="FI184" s="47" t="str">
        <f t="shared" si="4"/>
        <v>Aracaju</v>
      </c>
      <c r="FJ184" s="47" t="str">
        <f t="shared" si="5"/>
        <v>Licenciatura</v>
      </c>
    </row>
    <row r="185" spans="1:166" s="36" customFormat="1" ht="15.75" customHeight="1" x14ac:dyDescent="0.2">
      <c r="A185" s="38">
        <v>43421.051624155094</v>
      </c>
      <c r="B185" s="41"/>
      <c r="C185" s="36" t="s">
        <v>119</v>
      </c>
      <c r="D185" s="47" t="s">
        <v>133</v>
      </c>
      <c r="E185" s="36" t="s">
        <v>136</v>
      </c>
      <c r="H185" s="36" t="s">
        <v>144</v>
      </c>
      <c r="M185" s="36" t="s">
        <v>146</v>
      </c>
      <c r="N185" s="36" t="s">
        <v>133</v>
      </c>
      <c r="O185" s="36" t="s">
        <v>133</v>
      </c>
      <c r="P185" s="36" t="s">
        <v>133</v>
      </c>
      <c r="Q185" s="36" t="s">
        <v>133</v>
      </c>
      <c r="R185" s="36" t="s">
        <v>151</v>
      </c>
      <c r="Y185" s="36" t="s">
        <v>165</v>
      </c>
      <c r="Z185" s="36" t="s">
        <v>167</v>
      </c>
      <c r="AA185" s="36" t="s">
        <v>172</v>
      </c>
      <c r="AB185" s="36" t="s">
        <v>181</v>
      </c>
      <c r="AD185" s="36" t="s">
        <v>750</v>
      </c>
      <c r="AE185" s="36">
        <v>4</v>
      </c>
      <c r="AF185" s="36" t="s">
        <v>631</v>
      </c>
      <c r="AG185" s="36" t="s">
        <v>187</v>
      </c>
      <c r="AH185" s="36" t="s">
        <v>133</v>
      </c>
      <c r="AI185" s="40">
        <v>1500</v>
      </c>
      <c r="AJ185" s="36">
        <v>4</v>
      </c>
      <c r="AK185" s="36">
        <v>2</v>
      </c>
      <c r="AL185" s="36" t="s">
        <v>134</v>
      </c>
      <c r="AM185" s="36" t="s">
        <v>169</v>
      </c>
      <c r="AN185" s="36">
        <v>2</v>
      </c>
      <c r="AO185" s="36" t="s">
        <v>133</v>
      </c>
      <c r="AP185" s="36" t="s">
        <v>751</v>
      </c>
      <c r="AQ185" s="40">
        <v>3500</v>
      </c>
      <c r="AR185" s="36">
        <v>3</v>
      </c>
      <c r="AS185" s="36">
        <v>4</v>
      </c>
      <c r="AT185" s="36">
        <v>3</v>
      </c>
      <c r="AU185" s="36">
        <v>5</v>
      </c>
      <c r="AV185" s="36">
        <v>5</v>
      </c>
      <c r="AW185" s="36" t="s">
        <v>192</v>
      </c>
      <c r="AX185" s="36" t="s">
        <v>204</v>
      </c>
      <c r="AY185" s="36" t="s">
        <v>209</v>
      </c>
      <c r="AZ185" s="36" t="s">
        <v>134</v>
      </c>
      <c r="BA185" s="36" t="s">
        <v>167</v>
      </c>
      <c r="BB185" s="36" t="s">
        <v>752</v>
      </c>
      <c r="BC185" s="36" t="s">
        <v>752</v>
      </c>
      <c r="BD185" s="36" t="s">
        <v>190</v>
      </c>
      <c r="BG185" s="36">
        <v>5</v>
      </c>
      <c r="BH185" s="36">
        <v>5</v>
      </c>
      <c r="BI185" s="36">
        <v>5</v>
      </c>
      <c r="BJ185" s="36">
        <v>1</v>
      </c>
      <c r="BK185" s="36">
        <v>5</v>
      </c>
      <c r="BL185" s="36">
        <v>5</v>
      </c>
      <c r="BM185" s="36">
        <v>5</v>
      </c>
      <c r="BN185" s="36">
        <v>5</v>
      </c>
      <c r="BO185" s="36">
        <v>5</v>
      </c>
      <c r="BP185" s="36">
        <v>5</v>
      </c>
      <c r="BQ185" s="36">
        <v>2</v>
      </c>
      <c r="BR185" s="36">
        <v>5</v>
      </c>
      <c r="BS185" s="36">
        <v>1</v>
      </c>
      <c r="BT185" s="36">
        <v>5</v>
      </c>
      <c r="BU185" s="36">
        <v>4</v>
      </c>
      <c r="BV185" s="36">
        <v>5</v>
      </c>
      <c r="BW185" s="36">
        <v>1</v>
      </c>
      <c r="BX185" s="36">
        <v>5</v>
      </c>
      <c r="BY185" s="36">
        <v>5</v>
      </c>
      <c r="BZ185" s="36">
        <v>5</v>
      </c>
      <c r="CA185" s="36">
        <v>5</v>
      </c>
      <c r="CB185" s="36">
        <v>5</v>
      </c>
      <c r="CC185" s="36">
        <v>5</v>
      </c>
      <c r="CD185" s="36">
        <v>3</v>
      </c>
      <c r="CE185" s="36">
        <v>5</v>
      </c>
      <c r="CF185" s="36">
        <v>1</v>
      </c>
      <c r="CG185" s="36">
        <v>5</v>
      </c>
      <c r="CH185" s="36" t="s">
        <v>222</v>
      </c>
      <c r="CI185" t="s">
        <v>224</v>
      </c>
      <c r="CJ185" t="s">
        <v>225</v>
      </c>
      <c r="CK185" s="36" t="s">
        <v>233</v>
      </c>
      <c r="CL185" t="s">
        <v>234</v>
      </c>
      <c r="CM185" t="s">
        <v>240</v>
      </c>
      <c r="CN185" s="36" t="s">
        <v>246</v>
      </c>
      <c r="CO185" s="36" t="s">
        <v>134</v>
      </c>
      <c r="CP185" s="36">
        <v>1</v>
      </c>
      <c r="CQ185" s="36">
        <v>5</v>
      </c>
      <c r="CR185" s="36" t="s">
        <v>248</v>
      </c>
      <c r="CS185" s="36">
        <v>1</v>
      </c>
      <c r="CT185" s="36">
        <v>1</v>
      </c>
      <c r="CU185" s="36">
        <v>2</v>
      </c>
      <c r="CV185" s="36">
        <v>1</v>
      </c>
      <c r="CW185" s="36">
        <v>2</v>
      </c>
      <c r="CX185" s="36">
        <v>4</v>
      </c>
      <c r="CY185" s="36">
        <v>1</v>
      </c>
      <c r="CZ185" s="36">
        <v>5</v>
      </c>
      <c r="DA185" s="36">
        <v>1</v>
      </c>
      <c r="DB185" s="36">
        <v>2</v>
      </c>
      <c r="DC185" s="36">
        <v>4</v>
      </c>
      <c r="DD185" s="36">
        <v>5</v>
      </c>
      <c r="DE185" s="36">
        <v>4</v>
      </c>
      <c r="DF185" s="36">
        <v>5</v>
      </c>
      <c r="DG185" s="36">
        <v>5</v>
      </c>
      <c r="DH185" s="36">
        <v>5</v>
      </c>
      <c r="DI185" s="36" t="s">
        <v>133</v>
      </c>
      <c r="DJ185" s="36" t="s">
        <v>133</v>
      </c>
      <c r="DK185" s="36" t="s">
        <v>255</v>
      </c>
      <c r="DL185"/>
      <c r="DM185"/>
      <c r="DN185"/>
      <c r="DO185"/>
      <c r="DP185"/>
      <c r="DQ185" s="36">
        <v>1</v>
      </c>
      <c r="DR185" s="36" t="s">
        <v>134</v>
      </c>
      <c r="DT185"/>
      <c r="DU185"/>
      <c r="DV185"/>
      <c r="DW185"/>
      <c r="DX185"/>
      <c r="DZ185" s="36" t="s">
        <v>133</v>
      </c>
      <c r="EA185" s="36">
        <v>5</v>
      </c>
      <c r="EB185" s="36" t="s">
        <v>262</v>
      </c>
      <c r="EC185" s="36" t="s">
        <v>267</v>
      </c>
      <c r="ED185" s="36">
        <v>29</v>
      </c>
      <c r="EE185" s="36" t="s">
        <v>322</v>
      </c>
      <c r="EF185" s="36" t="str">
        <f>Tabulacao!MC185</f>
        <v>Itabaiana</v>
      </c>
      <c r="EG185" s="36" t="s">
        <v>322</v>
      </c>
      <c r="EH185" s="36" t="str">
        <f>Tabulacao!MG185</f>
        <v>Itabaiana</v>
      </c>
      <c r="EI185" s="36" t="s">
        <v>322</v>
      </c>
      <c r="EJ185" s="36" t="str">
        <f>Tabulacao!MK185</f>
        <v>Itabaiana</v>
      </c>
      <c r="EK185" s="36" t="s">
        <v>134</v>
      </c>
      <c r="EL185" s="36" t="s">
        <v>134</v>
      </c>
      <c r="EM185" s="36" t="s">
        <v>134</v>
      </c>
      <c r="EN185" s="36" t="s">
        <v>134</v>
      </c>
      <c r="EO185" s="36" t="s">
        <v>134</v>
      </c>
      <c r="EP185" s="36" t="s">
        <v>134</v>
      </c>
      <c r="EQ185" s="36" t="s">
        <v>275</v>
      </c>
      <c r="ER185" s="36" t="str">
        <f>IF(OR(EQ185=CaractAmostra!$BD$9,EQ185=CaractAmostra!$BD$10,EQ185=CaractAmostra!$BD$11,EQ185=CaractAmostra!$BD$12,EQ185=CaractAmostra!$BD$13),Respostas_Formatadas!EQ185,"Outros")</f>
        <v>Com os pais</v>
      </c>
      <c r="ES185" s="36" t="s">
        <v>275</v>
      </c>
      <c r="ET185" s="36" t="str">
        <f>IF(OR(ES185=CaractAmostra!$BH$9,ES185=CaractAmostra!$BH$10,ES185=CaractAmostra!$BH$11,ES185=CaractAmostra!$BH$12),Respostas_Formatadas!ES185,"Outros")</f>
        <v>Com os pais</v>
      </c>
      <c r="EU185" s="36" t="s">
        <v>134</v>
      </c>
      <c r="EV185" s="36" t="s">
        <v>282</v>
      </c>
      <c r="EW185" s="36" t="s">
        <v>282</v>
      </c>
      <c r="FE185" s="47">
        <v>2017</v>
      </c>
      <c r="FF185" s="97">
        <v>7.4569999999999999</v>
      </c>
      <c r="FG185" s="47">
        <v>2017</v>
      </c>
      <c r="FH185" s="47">
        <f t="shared" si="7"/>
        <v>0</v>
      </c>
      <c r="FI185" s="47" t="str">
        <f t="shared" si="4"/>
        <v>Aracaju</v>
      </c>
      <c r="FJ185" s="47" t="str">
        <f t="shared" si="5"/>
        <v>Bacharelado</v>
      </c>
    </row>
    <row r="186" spans="1:166" s="36" customFormat="1" ht="15.75" customHeight="1" x14ac:dyDescent="0.2">
      <c r="A186" s="38">
        <v>43421.06189971065</v>
      </c>
      <c r="B186" s="41"/>
      <c r="C186" s="36" t="s">
        <v>119</v>
      </c>
      <c r="D186" s="47" t="s">
        <v>133</v>
      </c>
      <c r="E186" s="36" t="s">
        <v>136</v>
      </c>
      <c r="H186" s="36" t="s">
        <v>144</v>
      </c>
      <c r="M186" s="36" t="s">
        <v>146</v>
      </c>
      <c r="N186" s="36" t="s">
        <v>134</v>
      </c>
      <c r="O186" s="36" t="s">
        <v>133</v>
      </c>
      <c r="P186" s="36" t="s">
        <v>134</v>
      </c>
      <c r="Q186" s="36" t="s">
        <v>134</v>
      </c>
      <c r="R186" s="36" t="s">
        <v>151</v>
      </c>
      <c r="Y186" s="36" t="s">
        <v>165</v>
      </c>
      <c r="Z186" s="36" t="s">
        <v>169</v>
      </c>
      <c r="AA186" s="36" t="s">
        <v>173</v>
      </c>
      <c r="AB186" s="36" t="s">
        <v>181</v>
      </c>
      <c r="AD186" s="36" t="s">
        <v>605</v>
      </c>
      <c r="AE186" s="36">
        <v>3</v>
      </c>
      <c r="AF186" s="36" t="s">
        <v>189</v>
      </c>
      <c r="AG186" s="36" t="s">
        <v>189</v>
      </c>
      <c r="AH186" s="36" t="s">
        <v>133</v>
      </c>
      <c r="AI186" s="40">
        <v>2000</v>
      </c>
      <c r="AJ186" s="36">
        <v>2</v>
      </c>
      <c r="AK186" s="36">
        <v>3</v>
      </c>
      <c r="AL186" s="36" t="s">
        <v>134</v>
      </c>
      <c r="AM186" s="36" t="s">
        <v>168</v>
      </c>
      <c r="AN186" s="36">
        <v>2</v>
      </c>
      <c r="AO186" s="36" t="s">
        <v>133</v>
      </c>
      <c r="AP186" s="36" t="s">
        <v>363</v>
      </c>
      <c r="AQ186" s="40">
        <v>3000</v>
      </c>
      <c r="AR186" s="36">
        <v>2</v>
      </c>
      <c r="AS186" s="36">
        <v>2</v>
      </c>
      <c r="AT186" s="36">
        <v>3</v>
      </c>
      <c r="AU186" s="36">
        <v>3</v>
      </c>
      <c r="AV186" s="36">
        <v>4</v>
      </c>
      <c r="AW186" s="36" t="s">
        <v>194</v>
      </c>
      <c r="AX186" s="36" t="s">
        <v>206</v>
      </c>
      <c r="AY186" s="36" t="s">
        <v>210</v>
      </c>
      <c r="AZ186" s="36" t="s">
        <v>133</v>
      </c>
      <c r="BA186" s="36" t="s">
        <v>167</v>
      </c>
      <c r="BB186" s="36" t="s">
        <v>753</v>
      </c>
      <c r="BC186" s="36" t="s">
        <v>754</v>
      </c>
      <c r="BD186" s="36" t="s">
        <v>189</v>
      </c>
      <c r="BF186" s="36" t="s">
        <v>219</v>
      </c>
      <c r="BG186" s="36">
        <v>3</v>
      </c>
      <c r="BH186" s="36">
        <v>3</v>
      </c>
      <c r="BI186" s="36">
        <v>2</v>
      </c>
      <c r="BJ186" s="36">
        <v>3</v>
      </c>
      <c r="BK186" s="36">
        <v>4</v>
      </c>
      <c r="BL186" s="36">
        <v>5</v>
      </c>
      <c r="BM186" s="36">
        <v>4</v>
      </c>
      <c r="BN186" s="36">
        <v>4</v>
      </c>
      <c r="BO186" s="36">
        <v>3</v>
      </c>
      <c r="BP186" s="36">
        <v>3</v>
      </c>
      <c r="BQ186" s="36">
        <v>2</v>
      </c>
      <c r="BR186" s="36">
        <v>3</v>
      </c>
      <c r="BS186" s="36">
        <v>1</v>
      </c>
      <c r="BT186" s="36">
        <v>3</v>
      </c>
      <c r="BU186" s="36">
        <v>3</v>
      </c>
      <c r="BV186" s="36">
        <v>2</v>
      </c>
      <c r="BW186" s="36">
        <v>3</v>
      </c>
      <c r="BX186" s="36">
        <v>4</v>
      </c>
      <c r="BY186" s="36">
        <v>5</v>
      </c>
      <c r="BZ186" s="36">
        <v>4</v>
      </c>
      <c r="CA186" s="36">
        <v>4</v>
      </c>
      <c r="CB186" s="36">
        <v>3</v>
      </c>
      <c r="CC186" s="36">
        <v>3</v>
      </c>
      <c r="CD186" s="36">
        <v>2</v>
      </c>
      <c r="CE186" s="36">
        <v>3</v>
      </c>
      <c r="CF186" s="36">
        <v>1</v>
      </c>
      <c r="CG186" s="36">
        <v>4</v>
      </c>
      <c r="CH186" s="36" t="s">
        <v>222</v>
      </c>
      <c r="CI186" t="s">
        <v>226</v>
      </c>
      <c r="CJ186" t="s">
        <v>227</v>
      </c>
      <c r="CK186" s="36" t="s">
        <v>225</v>
      </c>
      <c r="CL186" t="s">
        <v>235</v>
      </c>
      <c r="CM186" t="s">
        <v>240</v>
      </c>
      <c r="CN186" s="36" t="s">
        <v>241</v>
      </c>
      <c r="CO186" s="36" t="s">
        <v>134</v>
      </c>
      <c r="CP186" s="36">
        <v>2</v>
      </c>
      <c r="CQ186" s="36">
        <v>2</v>
      </c>
      <c r="CR186" s="36" t="s">
        <v>249</v>
      </c>
      <c r="CS186" s="36">
        <v>3</v>
      </c>
      <c r="CT186" s="36">
        <v>2</v>
      </c>
      <c r="CU186" s="36">
        <v>2</v>
      </c>
      <c r="CV186" s="36">
        <v>2</v>
      </c>
      <c r="CW186" s="36">
        <v>1</v>
      </c>
      <c r="CX186" s="36">
        <v>4</v>
      </c>
      <c r="CY186" s="36">
        <v>4</v>
      </c>
      <c r="CZ186" s="36">
        <v>4</v>
      </c>
      <c r="DA186" s="36">
        <v>1</v>
      </c>
      <c r="DB186" s="36">
        <v>1</v>
      </c>
      <c r="DC186" s="36">
        <v>2</v>
      </c>
      <c r="DD186" s="36">
        <v>3</v>
      </c>
      <c r="DE186" s="36">
        <v>2</v>
      </c>
      <c r="DF186" s="36">
        <v>3</v>
      </c>
      <c r="DG186" s="36">
        <v>3</v>
      </c>
      <c r="DH186" s="36">
        <v>2</v>
      </c>
      <c r="DI186" s="36" t="s">
        <v>251</v>
      </c>
      <c r="DJ186" s="36" t="s">
        <v>134</v>
      </c>
      <c r="DL186"/>
      <c r="DM186"/>
      <c r="DN186"/>
      <c r="DO186"/>
      <c r="DP186"/>
      <c r="DR186" s="36" t="s">
        <v>134</v>
      </c>
      <c r="DT186"/>
      <c r="DU186"/>
      <c r="DV186"/>
      <c r="DW186"/>
      <c r="DX186"/>
      <c r="DZ186" s="36" t="s">
        <v>133</v>
      </c>
      <c r="EA186" s="36">
        <v>3</v>
      </c>
      <c r="EB186" s="36" t="s">
        <v>263</v>
      </c>
      <c r="EC186" s="36" t="s">
        <v>267</v>
      </c>
      <c r="ED186" s="36">
        <v>27</v>
      </c>
      <c r="EE186" s="36" t="s">
        <v>754</v>
      </c>
      <c r="EF186" s="36" t="str">
        <f>Tabulacao!MC186</f>
        <v>Recife - PE</v>
      </c>
      <c r="EG186" s="36" t="s">
        <v>701</v>
      </c>
      <c r="EH186" s="36" t="str">
        <f>Tabulacao!MG186</f>
        <v>Aracaju</v>
      </c>
      <c r="EI186" s="36" t="s">
        <v>754</v>
      </c>
      <c r="EJ186" s="36" t="str">
        <f>Tabulacao!MK186</f>
        <v>Recife - PE</v>
      </c>
      <c r="EK186" s="36" t="s">
        <v>134</v>
      </c>
      <c r="EL186" s="36" t="s">
        <v>134</v>
      </c>
      <c r="EM186" s="36" t="s">
        <v>134</v>
      </c>
      <c r="EN186" s="36" t="s">
        <v>134</v>
      </c>
      <c r="EO186" s="36" t="s">
        <v>134</v>
      </c>
      <c r="EP186" s="36" t="s">
        <v>134</v>
      </c>
      <c r="EQ186" s="36" t="s">
        <v>273</v>
      </c>
      <c r="ER186" s="36" t="str">
        <f>IF(OR(EQ186=CaractAmostra!$BD$9,EQ186=CaractAmostra!$BD$10,EQ186=CaractAmostra!$BD$11,EQ186=CaractAmostra!$BD$12,EQ186=CaractAmostra!$BD$13),Respostas_Formatadas!EQ186,"Outros")</f>
        <v>Dividia residência com outras pessoas</v>
      </c>
      <c r="ES186" s="36" t="s">
        <v>277</v>
      </c>
      <c r="ET186" s="36" t="str">
        <f>IF(OR(ES186=CaractAmostra!$BH$9,ES186=CaractAmostra!$BH$10,ES186=CaractAmostra!$BH$11,ES186=CaractAmostra!$BH$12),Respostas_Formatadas!ES186,"Outros")</f>
        <v>Sozinho</v>
      </c>
      <c r="EU186" s="36" t="s">
        <v>134</v>
      </c>
      <c r="EV186" s="36" t="s">
        <v>285</v>
      </c>
      <c r="EW186" s="36" t="s">
        <v>287</v>
      </c>
      <c r="FE186" s="47">
        <v>2016</v>
      </c>
      <c r="FF186" s="97">
        <v>8.0670999999999999</v>
      </c>
      <c r="FG186" s="47">
        <v>2016</v>
      </c>
      <c r="FH186" s="47">
        <f t="shared" si="7"/>
        <v>0</v>
      </c>
      <c r="FI186" s="47" t="str">
        <f t="shared" si="4"/>
        <v>Aracaju</v>
      </c>
      <c r="FJ186" s="47" t="str">
        <f t="shared" si="5"/>
        <v>Bacharelado</v>
      </c>
    </row>
    <row r="187" spans="1:166" s="36" customFormat="1" ht="15.75" customHeight="1" x14ac:dyDescent="0.2">
      <c r="A187" s="38">
        <v>43421.874296956019</v>
      </c>
      <c r="C187" s="36" t="s">
        <v>125</v>
      </c>
      <c r="D187" s="47" t="s">
        <v>133</v>
      </c>
      <c r="E187" s="36" t="s">
        <v>135</v>
      </c>
      <c r="H187" s="36" t="s">
        <v>142</v>
      </c>
      <c r="M187" s="36" t="s">
        <v>146</v>
      </c>
      <c r="N187" s="36" t="s">
        <v>133</v>
      </c>
      <c r="O187" s="36" t="s">
        <v>133</v>
      </c>
      <c r="P187" s="36" t="s">
        <v>134</v>
      </c>
      <c r="Q187" s="36" t="s">
        <v>134</v>
      </c>
      <c r="R187" s="36" t="s">
        <v>151</v>
      </c>
      <c r="Y187" s="36" t="s">
        <v>166</v>
      </c>
      <c r="AC187" s="36" t="s">
        <v>178</v>
      </c>
      <c r="AD187" s="36" t="s">
        <v>755</v>
      </c>
      <c r="AE187" s="36">
        <v>4</v>
      </c>
      <c r="AF187" s="36" t="s">
        <v>189</v>
      </c>
      <c r="AG187" s="36" t="s">
        <v>189</v>
      </c>
      <c r="AH187" s="36" t="s">
        <v>134</v>
      </c>
      <c r="AI187" s="40">
        <v>1500</v>
      </c>
      <c r="AJ187" s="36">
        <v>2</v>
      </c>
      <c r="AK187" s="36">
        <v>4</v>
      </c>
      <c r="AL187" s="36" t="s">
        <v>134</v>
      </c>
      <c r="AM187" s="36" t="s">
        <v>170</v>
      </c>
      <c r="AN187" s="36">
        <v>2</v>
      </c>
      <c r="AO187" s="36" t="s">
        <v>134</v>
      </c>
      <c r="AQ187" s="40"/>
      <c r="BT187" s="36">
        <v>4</v>
      </c>
      <c r="BU187" s="36">
        <v>3</v>
      </c>
      <c r="BV187" s="36">
        <v>3</v>
      </c>
      <c r="BW187" s="36">
        <v>4</v>
      </c>
      <c r="BX187" s="36">
        <v>4</v>
      </c>
      <c r="BY187" s="36">
        <v>4</v>
      </c>
      <c r="BZ187" s="36">
        <v>4</v>
      </c>
      <c r="CA187" s="36">
        <v>4</v>
      </c>
      <c r="CB187" s="36">
        <v>4</v>
      </c>
      <c r="CC187" s="36">
        <v>4</v>
      </c>
      <c r="CD187" s="36">
        <v>4</v>
      </c>
      <c r="CE187" s="36">
        <v>4</v>
      </c>
      <c r="CF187" s="36">
        <v>2</v>
      </c>
      <c r="CG187" s="36">
        <v>4</v>
      </c>
      <c r="CH187" s="36" t="s">
        <v>756</v>
      </c>
      <c r="CI187"/>
      <c r="CJ187"/>
      <c r="CK187" s="36" t="s">
        <v>235</v>
      </c>
      <c r="CL187" t="s">
        <v>239</v>
      </c>
      <c r="CM187" t="s">
        <v>240</v>
      </c>
      <c r="CN187" s="36" t="s">
        <v>242</v>
      </c>
      <c r="CO187" s="36" t="s">
        <v>134</v>
      </c>
      <c r="CP187" s="36">
        <v>2</v>
      </c>
      <c r="CQ187" s="36">
        <v>4</v>
      </c>
      <c r="CR187" s="36" t="s">
        <v>248</v>
      </c>
      <c r="CS187" s="36">
        <v>4</v>
      </c>
      <c r="CT187" s="36">
        <v>4</v>
      </c>
      <c r="CU187" s="36">
        <v>4</v>
      </c>
      <c r="CV187" s="36">
        <v>4</v>
      </c>
      <c r="CW187" s="36">
        <v>4</v>
      </c>
      <c r="CX187" s="36">
        <v>4</v>
      </c>
      <c r="CY187" s="36">
        <v>4</v>
      </c>
      <c r="CZ187" s="36">
        <v>4</v>
      </c>
      <c r="DA187" s="36">
        <v>4</v>
      </c>
      <c r="DB187" s="36">
        <v>4</v>
      </c>
      <c r="DC187" s="36">
        <v>4</v>
      </c>
      <c r="DD187" s="36">
        <v>3</v>
      </c>
      <c r="DE187" s="36">
        <v>3</v>
      </c>
      <c r="DF187" s="36">
        <v>4</v>
      </c>
      <c r="DG187" s="36">
        <v>4</v>
      </c>
      <c r="DH187" s="36">
        <v>4</v>
      </c>
      <c r="DI187" s="36" t="s">
        <v>133</v>
      </c>
      <c r="DJ187" s="36" t="s">
        <v>133</v>
      </c>
      <c r="DK187" s="36" t="s">
        <v>255</v>
      </c>
      <c r="DL187"/>
      <c r="DM187"/>
      <c r="DN187" t="s">
        <v>256</v>
      </c>
      <c r="DO187" t="s">
        <v>257</v>
      </c>
      <c r="DP187" t="s">
        <v>1043</v>
      </c>
      <c r="DQ187" s="36">
        <v>4</v>
      </c>
      <c r="DR187" s="36" t="s">
        <v>133</v>
      </c>
      <c r="DS187" s="36" t="s">
        <v>258</v>
      </c>
      <c r="DT187" t="s">
        <v>259</v>
      </c>
      <c r="DU187"/>
      <c r="DV187"/>
      <c r="DW187" t="s">
        <v>260</v>
      </c>
      <c r="DX187" t="s">
        <v>261</v>
      </c>
      <c r="DY187" s="36">
        <v>4</v>
      </c>
      <c r="DZ187" s="36" t="s">
        <v>134</v>
      </c>
      <c r="EB187" s="36" t="s">
        <v>262</v>
      </c>
      <c r="EC187" s="36" t="s">
        <v>267</v>
      </c>
      <c r="ED187" s="36">
        <v>30</v>
      </c>
      <c r="EE187" s="36" t="s">
        <v>292</v>
      </c>
      <c r="EF187" s="36" t="str">
        <f>Tabulacao!MC187</f>
        <v>Aracaju</v>
      </c>
      <c r="EG187" s="36" t="s">
        <v>292</v>
      </c>
      <c r="EH187" s="36" t="str">
        <f>Tabulacao!MG187</f>
        <v>Aracaju</v>
      </c>
      <c r="EI187" s="36" t="s">
        <v>292</v>
      </c>
      <c r="EJ187" s="36" t="str">
        <f>Tabulacao!MK187</f>
        <v>Aracaju</v>
      </c>
      <c r="EK187" s="36" t="s">
        <v>134</v>
      </c>
      <c r="EL187" s="36" t="s">
        <v>134</v>
      </c>
      <c r="EM187" s="36" t="s">
        <v>134</v>
      </c>
      <c r="EN187" s="36" t="s">
        <v>134</v>
      </c>
      <c r="EO187" s="36" t="s">
        <v>134</v>
      </c>
      <c r="EP187" s="36" t="s">
        <v>134</v>
      </c>
      <c r="EQ187" s="36" t="s">
        <v>272</v>
      </c>
      <c r="ER187" s="36" t="str">
        <f>IF(OR(EQ187=CaractAmostra!$BD$9,EQ187=CaractAmostra!$BD$10,EQ187=CaractAmostra!$BD$11,EQ187=CaractAmostra!$BD$12,EQ187=CaractAmostra!$BD$13),Respostas_Formatadas!EQ187,"Outros")</f>
        <v>Morava sozinho</v>
      </c>
      <c r="ES187" s="36" t="s">
        <v>277</v>
      </c>
      <c r="ET187" s="36" t="str">
        <f>IF(OR(ES187=CaractAmostra!$BH$9,ES187=CaractAmostra!$BH$10,ES187=CaractAmostra!$BH$11,ES187=CaractAmostra!$BH$12),Respostas_Formatadas!ES187,"Outros")</f>
        <v>Sozinho</v>
      </c>
      <c r="EU187" s="36" t="s">
        <v>134</v>
      </c>
      <c r="EV187" s="36" t="s">
        <v>284</v>
      </c>
      <c r="EW187" s="36" t="s">
        <v>285</v>
      </c>
      <c r="FE187" s="47">
        <v>2016</v>
      </c>
      <c r="FF187" s="97">
        <v>7.9</v>
      </c>
      <c r="FG187" s="47">
        <v>2016</v>
      </c>
      <c r="FH187" s="47">
        <f t="shared" si="7"/>
        <v>0</v>
      </c>
      <c r="FI187" s="47" t="str">
        <f t="shared" si="4"/>
        <v>Aracaju</v>
      </c>
      <c r="FJ187" s="47" t="str">
        <f t="shared" si="5"/>
        <v>Tecnologia</v>
      </c>
    </row>
    <row r="188" spans="1:166" s="36" customFormat="1" ht="15.75" customHeight="1" x14ac:dyDescent="0.2">
      <c r="A188" s="38">
        <v>43421.933763020832</v>
      </c>
      <c r="B188" s="41"/>
      <c r="C188" s="36" t="s">
        <v>124</v>
      </c>
      <c r="D188" s="47" t="s">
        <v>134</v>
      </c>
      <c r="M188" s="36" t="s">
        <v>146</v>
      </c>
      <c r="N188" s="36" t="s">
        <v>134</v>
      </c>
      <c r="O188" s="36" t="s">
        <v>133</v>
      </c>
      <c r="P188" s="36" t="s">
        <v>134</v>
      </c>
      <c r="Q188" s="36" t="s">
        <v>133</v>
      </c>
      <c r="R188" s="36" t="s">
        <v>151</v>
      </c>
      <c r="Y188" s="36" t="s">
        <v>134</v>
      </c>
      <c r="AI188" s="40"/>
      <c r="AQ188" s="40"/>
      <c r="BT188" s="36">
        <v>4</v>
      </c>
      <c r="BU188" s="36">
        <v>5</v>
      </c>
      <c r="BV188" s="36">
        <v>4</v>
      </c>
      <c r="BW188" s="36">
        <v>4</v>
      </c>
      <c r="BX188" s="36">
        <v>5</v>
      </c>
      <c r="BY188" s="36">
        <v>4</v>
      </c>
      <c r="BZ188" s="36">
        <v>4</v>
      </c>
      <c r="CA188" s="36">
        <v>5</v>
      </c>
      <c r="CB188" s="36">
        <v>4</v>
      </c>
      <c r="CC188" s="36">
        <v>5</v>
      </c>
      <c r="CD188" s="36">
        <v>4</v>
      </c>
      <c r="CE188" s="36">
        <v>5</v>
      </c>
      <c r="CF188" s="36">
        <v>4</v>
      </c>
      <c r="CG188" s="36">
        <v>3</v>
      </c>
      <c r="CH188" s="36" t="s">
        <v>225</v>
      </c>
      <c r="CI188" t="s">
        <v>226</v>
      </c>
      <c r="CJ188" t="s">
        <v>230</v>
      </c>
      <c r="CK188" s="36" t="s">
        <v>233</v>
      </c>
      <c r="CL188" t="s">
        <v>1029</v>
      </c>
      <c r="CM188"/>
      <c r="CN188" s="36" t="s">
        <v>241</v>
      </c>
      <c r="CO188" s="36" t="s">
        <v>133</v>
      </c>
      <c r="CP188" s="36">
        <v>4</v>
      </c>
      <c r="CQ188" s="36">
        <v>5</v>
      </c>
      <c r="CR188" s="36" t="s">
        <v>248</v>
      </c>
      <c r="CS188" s="36">
        <v>2</v>
      </c>
      <c r="CT188" s="36">
        <v>4</v>
      </c>
      <c r="CU188" s="36">
        <v>1</v>
      </c>
      <c r="CV188" s="36">
        <v>1</v>
      </c>
      <c r="CW188" s="36">
        <v>2</v>
      </c>
      <c r="CX188" s="36">
        <v>5</v>
      </c>
      <c r="CY188" s="36">
        <v>4</v>
      </c>
      <c r="CZ188" s="36">
        <v>5</v>
      </c>
      <c r="DA188" s="36">
        <v>1</v>
      </c>
      <c r="DB188" s="36">
        <v>2</v>
      </c>
      <c r="DC188" s="36">
        <v>3</v>
      </c>
      <c r="DD188" s="36">
        <v>4</v>
      </c>
      <c r="DE188" s="36">
        <v>4</v>
      </c>
      <c r="DF188" s="36">
        <v>4</v>
      </c>
      <c r="DG188" s="36">
        <v>5</v>
      </c>
      <c r="DH188" s="36">
        <v>5</v>
      </c>
      <c r="DI188" s="36" t="s">
        <v>250</v>
      </c>
      <c r="DJ188" s="36" t="s">
        <v>133</v>
      </c>
      <c r="DK188" s="36" t="s">
        <v>255</v>
      </c>
      <c r="DL188"/>
      <c r="DM188"/>
      <c r="DN188"/>
      <c r="DO188"/>
      <c r="DP188"/>
      <c r="DQ188" s="36">
        <v>4</v>
      </c>
      <c r="DR188" s="36" t="s">
        <v>134</v>
      </c>
      <c r="DT188"/>
      <c r="DU188"/>
      <c r="DV188"/>
      <c r="DW188"/>
      <c r="DX188"/>
      <c r="DZ188" s="36" t="s">
        <v>133</v>
      </c>
      <c r="EA188" s="36">
        <v>5</v>
      </c>
      <c r="EB188" s="36" t="s">
        <v>263</v>
      </c>
      <c r="EC188" s="36" t="s">
        <v>267</v>
      </c>
      <c r="ED188" s="36">
        <v>31</v>
      </c>
      <c r="EE188" s="36" t="s">
        <v>292</v>
      </c>
      <c r="EF188" s="36" t="str">
        <f>Tabulacao!MC188</f>
        <v>Aracaju</v>
      </c>
      <c r="EG188" s="36" t="s">
        <v>292</v>
      </c>
      <c r="EH188" s="36" t="str">
        <f>Tabulacao!MG188</f>
        <v>Aracaju</v>
      </c>
      <c r="EI188" s="36" t="s">
        <v>292</v>
      </c>
      <c r="EJ188" s="36" t="str">
        <f>Tabulacao!MK188</f>
        <v>Aracaju</v>
      </c>
      <c r="EK188" s="36" t="s">
        <v>134</v>
      </c>
      <c r="EL188" s="36" t="s">
        <v>134</v>
      </c>
      <c r="EM188" s="36" t="s">
        <v>134</v>
      </c>
      <c r="EN188" s="36" t="s">
        <v>134</v>
      </c>
      <c r="EO188" s="36" t="s">
        <v>134</v>
      </c>
      <c r="EP188" s="36" t="s">
        <v>134</v>
      </c>
      <c r="EQ188" s="36" t="s">
        <v>275</v>
      </c>
      <c r="ER188" s="36" t="str">
        <f>IF(OR(EQ188=CaractAmostra!$BD$9,EQ188=CaractAmostra!$BD$10,EQ188=CaractAmostra!$BD$11,EQ188=CaractAmostra!$BD$12,EQ188=CaractAmostra!$BD$13),Respostas_Formatadas!EQ188,"Outros")</f>
        <v>Com os pais</v>
      </c>
      <c r="ES188" s="36" t="s">
        <v>275</v>
      </c>
      <c r="ET188" s="36" t="str">
        <f>IF(OR(ES188=CaractAmostra!$BH$9,ES188=CaractAmostra!$BH$10,ES188=CaractAmostra!$BH$11,ES188=CaractAmostra!$BH$12),Respostas_Formatadas!ES188,"Outros")</f>
        <v>Com os pais</v>
      </c>
      <c r="EU188" s="36" t="s">
        <v>134</v>
      </c>
      <c r="EV188" s="36" t="s">
        <v>282</v>
      </c>
      <c r="EW188" s="36" t="s">
        <v>285</v>
      </c>
      <c r="FA188" s="39"/>
      <c r="FD188" s="36" t="s">
        <v>757</v>
      </c>
      <c r="FE188" s="47">
        <v>2017</v>
      </c>
      <c r="FF188" s="97">
        <v>6.2931999999999997</v>
      </c>
      <c r="FG188" s="47">
        <v>2017</v>
      </c>
      <c r="FH188" s="47">
        <f t="shared" si="7"/>
        <v>0</v>
      </c>
      <c r="FI188" s="47" t="str">
        <f t="shared" si="4"/>
        <v>Aracaju</v>
      </c>
      <c r="FJ188" s="47" t="str">
        <f t="shared" si="5"/>
        <v>Tecnologia</v>
      </c>
    </row>
    <row r="189" spans="1:166" s="36" customFormat="1" ht="15.75" customHeight="1" x14ac:dyDescent="0.2">
      <c r="A189" s="38">
        <v>43422.286291620374</v>
      </c>
      <c r="B189" s="41"/>
      <c r="C189" s="36" t="s">
        <v>125</v>
      </c>
      <c r="D189" s="47" t="s">
        <v>134</v>
      </c>
      <c r="M189" s="36" t="s">
        <v>146</v>
      </c>
      <c r="N189" s="36" t="s">
        <v>134</v>
      </c>
      <c r="O189" s="36" t="s">
        <v>133</v>
      </c>
      <c r="P189" s="36" t="s">
        <v>134</v>
      </c>
      <c r="Q189" s="36" t="s">
        <v>134</v>
      </c>
      <c r="R189" s="36" t="s">
        <v>151</v>
      </c>
      <c r="Y189" s="36" t="s">
        <v>134</v>
      </c>
      <c r="AI189" s="40"/>
      <c r="AQ189" s="40"/>
      <c r="BT189" s="36">
        <v>4</v>
      </c>
      <c r="BU189" s="36">
        <v>4</v>
      </c>
      <c r="BV189" s="36">
        <v>4</v>
      </c>
      <c r="BW189" s="36">
        <v>3</v>
      </c>
      <c r="BX189" s="36">
        <v>3</v>
      </c>
      <c r="BY189" s="36">
        <v>4</v>
      </c>
      <c r="BZ189" s="36">
        <v>4</v>
      </c>
      <c r="CA189" s="36">
        <v>4</v>
      </c>
      <c r="CB189" s="36">
        <v>4</v>
      </c>
      <c r="CC189" s="36">
        <v>4</v>
      </c>
      <c r="CD189" s="36">
        <v>3</v>
      </c>
      <c r="CE189" s="36">
        <v>4</v>
      </c>
      <c r="CF189" s="36">
        <v>4</v>
      </c>
      <c r="CG189" s="36">
        <v>2</v>
      </c>
      <c r="CH189" s="36" t="s">
        <v>222</v>
      </c>
      <c r="CI189" t="s">
        <v>224</v>
      </c>
      <c r="CJ189" t="s">
        <v>226</v>
      </c>
      <c r="CK189" s="36" t="s">
        <v>236</v>
      </c>
      <c r="CL189"/>
      <c r="CM189"/>
      <c r="CN189" s="36" t="s">
        <v>241</v>
      </c>
      <c r="CO189" s="36" t="s">
        <v>134</v>
      </c>
      <c r="CP189" s="36">
        <v>3</v>
      </c>
      <c r="CQ189" s="36">
        <v>3</v>
      </c>
      <c r="CR189" s="36" t="s">
        <v>248</v>
      </c>
      <c r="CS189" s="36">
        <v>2</v>
      </c>
      <c r="CT189" s="36">
        <v>2</v>
      </c>
      <c r="CU189" s="36">
        <v>3</v>
      </c>
      <c r="CV189" s="36">
        <v>4</v>
      </c>
      <c r="CW189" s="36">
        <v>3</v>
      </c>
      <c r="CX189" s="36">
        <v>5</v>
      </c>
      <c r="CY189" s="36">
        <v>3</v>
      </c>
      <c r="CZ189" s="36">
        <v>3</v>
      </c>
      <c r="DA189" s="36">
        <v>2</v>
      </c>
      <c r="DB189" s="36">
        <v>4</v>
      </c>
      <c r="DC189" s="36">
        <v>3</v>
      </c>
      <c r="DD189" s="36">
        <v>4</v>
      </c>
      <c r="DE189" s="36">
        <v>4</v>
      </c>
      <c r="DF189" s="36">
        <v>4</v>
      </c>
      <c r="DG189" s="36">
        <v>5</v>
      </c>
      <c r="DH189" s="36">
        <v>3</v>
      </c>
      <c r="DI189" s="36" t="s">
        <v>250</v>
      </c>
      <c r="DJ189" s="36" t="s">
        <v>133</v>
      </c>
      <c r="DK189" s="36" t="s">
        <v>254</v>
      </c>
      <c r="DL189"/>
      <c r="DM189"/>
      <c r="DN189"/>
      <c r="DO189"/>
      <c r="DP189"/>
      <c r="DQ189" s="36">
        <v>3</v>
      </c>
      <c r="DR189" s="36" t="s">
        <v>133</v>
      </c>
      <c r="DS189" s="36" t="s">
        <v>258</v>
      </c>
      <c r="DT189" t="s">
        <v>259</v>
      </c>
      <c r="DU189"/>
      <c r="DV189"/>
      <c r="DW189" t="s">
        <v>260</v>
      </c>
      <c r="DX189" t="s">
        <v>261</v>
      </c>
      <c r="DY189" s="36">
        <v>4</v>
      </c>
      <c r="DZ189" s="36" t="s">
        <v>133</v>
      </c>
      <c r="EA189" s="36">
        <v>5</v>
      </c>
      <c r="EB189" s="36" t="s">
        <v>263</v>
      </c>
      <c r="EC189" s="36" t="s">
        <v>267</v>
      </c>
      <c r="ED189" s="36">
        <v>23</v>
      </c>
      <c r="EE189" s="36" t="s">
        <v>616</v>
      </c>
      <c r="EF189" s="36" t="str">
        <f>Tabulacao!MC189</f>
        <v>Areia Branca</v>
      </c>
      <c r="EG189" s="36" t="s">
        <v>616</v>
      </c>
      <c r="EH189" s="36" t="str">
        <f>Tabulacao!MG189</f>
        <v>Areia Branca</v>
      </c>
      <c r="EI189" s="36" t="s">
        <v>616</v>
      </c>
      <c r="EJ189" s="36" t="str">
        <f>Tabulacao!MK189</f>
        <v>Areia Branca</v>
      </c>
      <c r="EK189" s="36" t="s">
        <v>134</v>
      </c>
      <c r="EL189" s="36" t="s">
        <v>134</v>
      </c>
      <c r="EM189" s="36" t="s">
        <v>134</v>
      </c>
      <c r="EN189" s="36" t="s">
        <v>134</v>
      </c>
      <c r="EO189" s="36" t="s">
        <v>134</v>
      </c>
      <c r="EP189" s="36" t="s">
        <v>134</v>
      </c>
      <c r="EQ189" s="36" t="s">
        <v>275</v>
      </c>
      <c r="ER189" s="36" t="str">
        <f>IF(OR(EQ189=CaractAmostra!$BD$9,EQ189=CaractAmostra!$BD$10,EQ189=CaractAmostra!$BD$11,EQ189=CaractAmostra!$BD$12,EQ189=CaractAmostra!$BD$13),Respostas_Formatadas!EQ189,"Outros")</f>
        <v>Com os pais</v>
      </c>
      <c r="ES189" s="36" t="s">
        <v>275</v>
      </c>
      <c r="ET189" s="36" t="str">
        <f>IF(OR(ES189=CaractAmostra!$BH$9,ES189=CaractAmostra!$BH$10,ES189=CaractAmostra!$BH$11,ES189=CaractAmostra!$BH$12),Respostas_Formatadas!ES189,"Outros")</f>
        <v>Com os pais</v>
      </c>
      <c r="EU189" s="36" t="s">
        <v>134</v>
      </c>
      <c r="EV189" s="36" t="s">
        <v>283</v>
      </c>
      <c r="EW189" s="36" t="s">
        <v>283</v>
      </c>
      <c r="FE189" s="47">
        <v>2018</v>
      </c>
      <c r="FF189" s="97">
        <v>6.7408999999999999</v>
      </c>
      <c r="FG189" s="47">
        <v>2018</v>
      </c>
      <c r="FH189" s="47">
        <f t="shared" si="7"/>
        <v>0</v>
      </c>
      <c r="FI189" s="47" t="str">
        <f t="shared" si="4"/>
        <v>Aracaju</v>
      </c>
      <c r="FJ189" s="47" t="str">
        <f t="shared" si="5"/>
        <v>Tecnologia</v>
      </c>
    </row>
    <row r="190" spans="1:166" s="36" customFormat="1" ht="15.75" customHeight="1" x14ac:dyDescent="0.2">
      <c r="A190" s="38">
        <v>43422.761087488427</v>
      </c>
      <c r="B190" s="41"/>
      <c r="C190" s="36" t="s">
        <v>121</v>
      </c>
      <c r="D190" s="47" t="s">
        <v>133</v>
      </c>
      <c r="E190" s="36" t="s">
        <v>138</v>
      </c>
      <c r="H190" s="36" t="s">
        <v>144</v>
      </c>
      <c r="M190" s="36" t="s">
        <v>146</v>
      </c>
      <c r="N190" s="36" t="s">
        <v>134</v>
      </c>
      <c r="O190" s="36" t="s">
        <v>133</v>
      </c>
      <c r="P190" s="36" t="s">
        <v>133</v>
      </c>
      <c r="Q190" s="36" t="s">
        <v>133</v>
      </c>
      <c r="R190" s="36" t="s">
        <v>151</v>
      </c>
      <c r="Y190" s="36" t="s">
        <v>165</v>
      </c>
      <c r="Z190" s="36" t="s">
        <v>168</v>
      </c>
      <c r="AA190" s="36" t="s">
        <v>172</v>
      </c>
      <c r="AB190" s="36" t="s">
        <v>176</v>
      </c>
      <c r="AD190" s="36" t="s">
        <v>400</v>
      </c>
      <c r="AE190" s="36">
        <v>5</v>
      </c>
      <c r="AF190" s="36" t="s">
        <v>758</v>
      </c>
      <c r="AG190" s="36" t="s">
        <v>189</v>
      </c>
      <c r="AH190" s="36" t="s">
        <v>134</v>
      </c>
      <c r="AI190" s="40">
        <v>420</v>
      </c>
      <c r="AJ190" s="36">
        <v>5</v>
      </c>
      <c r="AK190" s="36">
        <v>1</v>
      </c>
      <c r="AL190" s="36" t="s">
        <v>134</v>
      </c>
      <c r="AM190" s="36" t="s">
        <v>167</v>
      </c>
      <c r="AN190" s="36">
        <v>4</v>
      </c>
      <c r="AO190" s="36" t="s">
        <v>191</v>
      </c>
      <c r="AP190" s="36" t="s">
        <v>400</v>
      </c>
      <c r="AQ190" s="40">
        <v>2000</v>
      </c>
      <c r="AR190" s="36">
        <v>3</v>
      </c>
      <c r="AS190" s="36">
        <v>5</v>
      </c>
      <c r="AT190" s="36">
        <v>1</v>
      </c>
      <c r="AU190" s="36">
        <v>4</v>
      </c>
      <c r="AV190" s="36">
        <v>5</v>
      </c>
      <c r="AW190" s="36" t="s">
        <v>192</v>
      </c>
      <c r="AX190" s="36" t="s">
        <v>207</v>
      </c>
      <c r="AY190" s="36" t="s">
        <v>209</v>
      </c>
      <c r="AZ190" s="36" t="s">
        <v>134</v>
      </c>
      <c r="BA190" s="36" t="s">
        <v>213</v>
      </c>
      <c r="BB190" s="36" t="s">
        <v>759</v>
      </c>
      <c r="BC190" s="36" t="s">
        <v>1309</v>
      </c>
      <c r="BD190" s="36" t="s">
        <v>190</v>
      </c>
      <c r="BG190" s="36">
        <v>5</v>
      </c>
      <c r="BH190" s="36">
        <v>1</v>
      </c>
      <c r="BI190" s="36">
        <v>3</v>
      </c>
      <c r="BJ190" s="36">
        <v>2</v>
      </c>
      <c r="BK190" s="36">
        <v>3</v>
      </c>
      <c r="BL190" s="36">
        <v>2</v>
      </c>
      <c r="BM190" s="36">
        <v>5</v>
      </c>
      <c r="BN190" s="36">
        <v>4</v>
      </c>
      <c r="BO190" s="36">
        <v>4</v>
      </c>
      <c r="BP190" s="36">
        <v>3</v>
      </c>
      <c r="BQ190" s="36">
        <v>3</v>
      </c>
      <c r="BR190" s="36">
        <v>2</v>
      </c>
      <c r="BS190" s="36">
        <v>1</v>
      </c>
      <c r="BT190" s="36">
        <v>4</v>
      </c>
      <c r="BU190" s="36">
        <v>3</v>
      </c>
      <c r="BV190" s="36">
        <v>4</v>
      </c>
      <c r="BW190" s="36">
        <v>3</v>
      </c>
      <c r="BX190" s="36">
        <v>4</v>
      </c>
      <c r="BY190" s="36">
        <v>4</v>
      </c>
      <c r="BZ190" s="36">
        <v>4</v>
      </c>
      <c r="CA190" s="36">
        <v>4</v>
      </c>
      <c r="CB190" s="36">
        <v>3</v>
      </c>
      <c r="CC190" s="36">
        <v>3</v>
      </c>
      <c r="CD190" s="36">
        <v>3</v>
      </c>
      <c r="CE190" s="36">
        <v>3</v>
      </c>
      <c r="CF190" s="36">
        <v>2</v>
      </c>
      <c r="CG190" s="36">
        <v>2</v>
      </c>
      <c r="CH190" s="36" t="s">
        <v>229</v>
      </c>
      <c r="CI190"/>
      <c r="CJ190"/>
      <c r="CK190" s="36" t="s">
        <v>240</v>
      </c>
      <c r="CL190"/>
      <c r="CM190"/>
      <c r="CN190" s="36" t="s">
        <v>241</v>
      </c>
      <c r="CO190" s="36" t="s">
        <v>134</v>
      </c>
      <c r="CP190" s="36">
        <v>3</v>
      </c>
      <c r="CQ190" s="36">
        <v>3</v>
      </c>
      <c r="CR190" s="36" t="s">
        <v>248</v>
      </c>
      <c r="CS190" s="36">
        <v>3</v>
      </c>
      <c r="CT190" s="36">
        <v>4</v>
      </c>
      <c r="CU190" s="36">
        <v>3</v>
      </c>
      <c r="CV190" s="36">
        <v>4</v>
      </c>
      <c r="CW190" s="36">
        <v>4</v>
      </c>
      <c r="CX190" s="36">
        <v>3</v>
      </c>
      <c r="CY190" s="36">
        <v>3</v>
      </c>
      <c r="CZ190" s="36">
        <v>3</v>
      </c>
      <c r="DA190" s="36">
        <v>2</v>
      </c>
      <c r="DB190" s="36">
        <v>2</v>
      </c>
      <c r="DC190" s="36">
        <v>2</v>
      </c>
      <c r="DD190" s="36">
        <v>3</v>
      </c>
      <c r="DE190" s="36">
        <v>3</v>
      </c>
      <c r="DF190" s="36">
        <v>3</v>
      </c>
      <c r="DG190" s="36">
        <v>4</v>
      </c>
      <c r="DH190" s="36">
        <v>3</v>
      </c>
      <c r="DI190" s="36" t="s">
        <v>133</v>
      </c>
      <c r="DJ190" s="36" t="s">
        <v>133</v>
      </c>
      <c r="DK190" s="36" t="s">
        <v>255</v>
      </c>
      <c r="DL190"/>
      <c r="DM190"/>
      <c r="DN190"/>
      <c r="DO190"/>
      <c r="DP190"/>
      <c r="DQ190" s="36">
        <v>5</v>
      </c>
      <c r="DR190" s="36" t="s">
        <v>133</v>
      </c>
      <c r="DS190" s="36" t="s">
        <v>259</v>
      </c>
      <c r="DT190"/>
      <c r="DU190"/>
      <c r="DV190"/>
      <c r="DW190"/>
      <c r="DX190"/>
      <c r="DY190" s="36">
        <v>5</v>
      </c>
      <c r="DZ190" s="36" t="s">
        <v>133</v>
      </c>
      <c r="EA190" s="36">
        <v>5</v>
      </c>
      <c r="EB190" s="36" t="s">
        <v>263</v>
      </c>
      <c r="EC190" s="36" t="s">
        <v>267</v>
      </c>
      <c r="ED190" s="36">
        <v>32</v>
      </c>
      <c r="EE190" s="36" t="s">
        <v>458</v>
      </c>
      <c r="EF190" s="36" t="str">
        <f>Tabulacao!MC190</f>
        <v>Aracaju</v>
      </c>
      <c r="EG190" s="36" t="s">
        <v>458</v>
      </c>
      <c r="EH190" s="36" t="str">
        <f>Tabulacao!MG190</f>
        <v>Aracaju</v>
      </c>
      <c r="EI190" s="36" t="s">
        <v>760</v>
      </c>
      <c r="EJ190" s="36" t="str">
        <f>Tabulacao!MK190</f>
        <v>Penedo - AL</v>
      </c>
      <c r="EK190" s="36" t="s">
        <v>134</v>
      </c>
      <c r="EL190" s="36" t="s">
        <v>134</v>
      </c>
      <c r="EM190" s="36" t="s">
        <v>134</v>
      </c>
      <c r="EN190" s="36" t="s">
        <v>134</v>
      </c>
      <c r="EO190" s="36" t="s">
        <v>134</v>
      </c>
      <c r="EP190" s="36" t="s">
        <v>134</v>
      </c>
      <c r="EQ190" s="36" t="s">
        <v>275</v>
      </c>
      <c r="ER190" s="36" t="str">
        <f>IF(OR(EQ190=CaractAmostra!$BD$9,EQ190=CaractAmostra!$BD$10,EQ190=CaractAmostra!$BD$11,EQ190=CaractAmostra!$BD$12,EQ190=CaractAmostra!$BD$13),Respostas_Formatadas!EQ190,"Outros")</f>
        <v>Com os pais</v>
      </c>
      <c r="ES190" s="36" t="s">
        <v>278</v>
      </c>
      <c r="ET190" s="36" t="str">
        <f>IF(OR(ES190=CaractAmostra!$BH$9,ES190=CaractAmostra!$BH$10,ES190=CaractAmostra!$BH$11,ES190=CaractAmostra!$BH$12),Respostas_Formatadas!ES190,"Outros")</f>
        <v>Divido residência com outras pessoas</v>
      </c>
      <c r="EU190" s="36" t="s">
        <v>134</v>
      </c>
      <c r="EV190" s="36" t="s">
        <v>285</v>
      </c>
      <c r="EW190" s="36" t="s">
        <v>285</v>
      </c>
      <c r="FE190" s="47">
        <v>2013</v>
      </c>
      <c r="FF190" s="97">
        <v>7.4771000000000001</v>
      </c>
      <c r="FG190" s="47">
        <v>2014</v>
      </c>
      <c r="FH190" s="47">
        <f t="shared" si="7"/>
        <v>1</v>
      </c>
      <c r="FI190" s="47" t="str">
        <f t="shared" si="4"/>
        <v>Aracaju</v>
      </c>
      <c r="FJ190" s="47" t="str">
        <f t="shared" si="5"/>
        <v>Licenciatura</v>
      </c>
    </row>
    <row r="191" spans="1:166" s="36" customFormat="1" ht="15.75" customHeight="1" x14ac:dyDescent="0.2">
      <c r="A191" s="38">
        <v>43422.802859282412</v>
      </c>
      <c r="B191" s="41"/>
      <c r="C191" s="36" t="s">
        <v>128</v>
      </c>
      <c r="D191" s="47" t="s">
        <v>133</v>
      </c>
      <c r="E191" s="36" t="s">
        <v>138</v>
      </c>
      <c r="H191" s="36" t="s">
        <v>141</v>
      </c>
      <c r="M191" s="36" t="s">
        <v>147</v>
      </c>
      <c r="N191" s="36" t="s">
        <v>134</v>
      </c>
      <c r="O191" s="36" t="s">
        <v>133</v>
      </c>
      <c r="P191" s="36" t="s">
        <v>134</v>
      </c>
      <c r="Q191" s="36" t="s">
        <v>134</v>
      </c>
      <c r="R191" s="36" t="s">
        <v>151</v>
      </c>
      <c r="Y191" s="36" t="s">
        <v>134</v>
      </c>
      <c r="AI191" s="40"/>
      <c r="AQ191" s="40"/>
      <c r="BT191" s="36">
        <v>4</v>
      </c>
      <c r="BU191" s="36">
        <v>4</v>
      </c>
      <c r="BV191" s="36">
        <v>4</v>
      </c>
      <c r="BW191" s="36">
        <v>5</v>
      </c>
      <c r="BX191" s="36">
        <v>4</v>
      </c>
      <c r="BY191" s="36">
        <v>4</v>
      </c>
      <c r="BZ191" s="36">
        <v>5</v>
      </c>
      <c r="CA191" s="36">
        <v>5</v>
      </c>
      <c r="CB191" s="36">
        <v>4</v>
      </c>
      <c r="CC191" s="36">
        <v>4</v>
      </c>
      <c r="CD191" s="36">
        <v>4</v>
      </c>
      <c r="CE191" s="36">
        <v>4</v>
      </c>
      <c r="CF191" s="36">
        <v>3</v>
      </c>
      <c r="CG191" s="36">
        <v>3</v>
      </c>
      <c r="CH191" s="36" t="s">
        <v>230</v>
      </c>
      <c r="CI191"/>
      <c r="CJ191"/>
      <c r="CK191" s="36" t="s">
        <v>239</v>
      </c>
      <c r="CL191"/>
      <c r="CM191"/>
      <c r="CN191" s="36" t="s">
        <v>242</v>
      </c>
      <c r="CO191" s="36" t="s">
        <v>134</v>
      </c>
      <c r="CP191" s="36">
        <v>2</v>
      </c>
      <c r="CQ191" s="36">
        <v>3</v>
      </c>
      <c r="CR191" s="36" t="s">
        <v>249</v>
      </c>
      <c r="CS191" s="36">
        <v>4</v>
      </c>
      <c r="CT191" s="36">
        <v>3</v>
      </c>
      <c r="CU191" s="36">
        <v>3</v>
      </c>
      <c r="CV191" s="36">
        <v>3</v>
      </c>
      <c r="CW191" s="36">
        <v>4</v>
      </c>
      <c r="CX191" s="36">
        <v>3</v>
      </c>
      <c r="CY191" s="36">
        <v>4</v>
      </c>
      <c r="CZ191" s="36">
        <v>4</v>
      </c>
      <c r="DA191" s="36">
        <v>4</v>
      </c>
      <c r="DB191" s="36">
        <v>3</v>
      </c>
      <c r="DC191" s="36">
        <v>4</v>
      </c>
      <c r="DD191" s="36">
        <v>5</v>
      </c>
      <c r="DE191" s="36">
        <v>5</v>
      </c>
      <c r="DF191" s="36">
        <v>5</v>
      </c>
      <c r="DG191" s="36">
        <v>5</v>
      </c>
      <c r="DH191" s="36">
        <v>5</v>
      </c>
      <c r="DI191" s="36" t="s">
        <v>133</v>
      </c>
      <c r="DJ191" s="36" t="s">
        <v>133</v>
      </c>
      <c r="DK191" s="36" t="s">
        <v>255</v>
      </c>
      <c r="DL191"/>
      <c r="DM191"/>
      <c r="DN191"/>
      <c r="DO191"/>
      <c r="DP191"/>
      <c r="DQ191" s="36">
        <v>4</v>
      </c>
      <c r="DR191" s="36" t="s">
        <v>134</v>
      </c>
      <c r="DT191"/>
      <c r="DU191"/>
      <c r="DV191"/>
      <c r="DW191"/>
      <c r="DX191"/>
      <c r="DZ191" s="36" t="s">
        <v>133</v>
      </c>
      <c r="EA191" s="36">
        <v>3</v>
      </c>
      <c r="EB191" s="36" t="s">
        <v>262</v>
      </c>
      <c r="EC191" s="36" t="s">
        <v>267</v>
      </c>
      <c r="ED191" s="36">
        <v>34</v>
      </c>
      <c r="EE191" s="36" t="s">
        <v>761</v>
      </c>
      <c r="EF191" s="36" t="str">
        <f>Tabulacao!MC191</f>
        <v>Aquidabã</v>
      </c>
      <c r="EG191" s="36" t="s">
        <v>761</v>
      </c>
      <c r="EH191" s="36" t="str">
        <f>Tabulacao!MG191</f>
        <v>Aquidabã</v>
      </c>
      <c r="EI191" s="36" t="s">
        <v>761</v>
      </c>
      <c r="EJ191" s="36" t="str">
        <f>Tabulacao!MK191</f>
        <v>Aquidabã</v>
      </c>
      <c r="EK191" s="36" t="s">
        <v>134</v>
      </c>
      <c r="EL191" s="36" t="s">
        <v>134</v>
      </c>
      <c r="EM191" s="36" t="s">
        <v>134</v>
      </c>
      <c r="EN191" s="36" t="s">
        <v>134</v>
      </c>
      <c r="EO191" s="36" t="s">
        <v>134</v>
      </c>
      <c r="EP191" s="36" t="s">
        <v>134</v>
      </c>
      <c r="EQ191" s="36" t="s">
        <v>275</v>
      </c>
      <c r="ER191" s="36" t="str">
        <f>IF(OR(EQ191=CaractAmostra!$BD$9,EQ191=CaractAmostra!$BD$10,EQ191=CaractAmostra!$BD$11,EQ191=CaractAmostra!$BD$12,EQ191=CaractAmostra!$BD$13),Respostas_Formatadas!EQ191,"Outros")</f>
        <v>Com os pais</v>
      </c>
      <c r="ES191" s="36" t="s">
        <v>274</v>
      </c>
      <c r="ET191" s="36" t="str">
        <f>IF(OR(ES191=CaractAmostra!$BH$9,ES191=CaractAmostra!$BH$10,ES191=CaractAmostra!$BH$11,ES191=CaractAmostra!$BH$12),Respostas_Formatadas!ES191,"Outros")</f>
        <v>Com um(a) parceiro(a)</v>
      </c>
      <c r="EU191" s="36" t="s">
        <v>281</v>
      </c>
      <c r="EV191" s="36" t="s">
        <v>282</v>
      </c>
      <c r="EW191" s="36" t="s">
        <v>282</v>
      </c>
      <c r="FE191" s="47">
        <v>2016</v>
      </c>
      <c r="FF191" s="97">
        <v>7.5932000000000004</v>
      </c>
      <c r="FG191" s="47">
        <v>2017</v>
      </c>
      <c r="FH191" s="47">
        <f t="shared" si="7"/>
        <v>1</v>
      </c>
      <c r="FI191" s="47" t="str">
        <f t="shared" si="4"/>
        <v>Nossa Senhora da Glória</v>
      </c>
      <c r="FJ191" s="47" t="str">
        <f t="shared" si="5"/>
        <v>Tecnologia</v>
      </c>
    </row>
    <row r="192" spans="1:166" s="36" customFormat="1" ht="15.75" customHeight="1" x14ac:dyDescent="0.2">
      <c r="A192" s="38">
        <v>43423.432933449076</v>
      </c>
      <c r="C192" s="36" t="s">
        <v>127</v>
      </c>
      <c r="D192" s="47" t="s">
        <v>133</v>
      </c>
      <c r="E192" s="36" t="s">
        <v>138</v>
      </c>
      <c r="H192" s="36" t="s">
        <v>144</v>
      </c>
      <c r="M192" s="36" t="s">
        <v>149</v>
      </c>
      <c r="N192" s="36" t="s">
        <v>133</v>
      </c>
      <c r="O192" s="36" t="s">
        <v>134</v>
      </c>
      <c r="P192" s="36" t="s">
        <v>133</v>
      </c>
      <c r="Q192" s="36" t="s">
        <v>133</v>
      </c>
      <c r="R192" s="36" t="s">
        <v>151</v>
      </c>
      <c r="Y192" s="36" t="s">
        <v>134</v>
      </c>
      <c r="AI192" s="40"/>
      <c r="AQ192" s="40"/>
      <c r="BT192" s="36">
        <v>4</v>
      </c>
      <c r="BU192" s="36">
        <v>4</v>
      </c>
      <c r="BV192" s="36">
        <v>4</v>
      </c>
      <c r="BW192" s="36">
        <v>3</v>
      </c>
      <c r="BX192" s="36">
        <v>3</v>
      </c>
      <c r="BY192" s="36">
        <v>4</v>
      </c>
      <c r="BZ192" s="36">
        <v>4</v>
      </c>
      <c r="CA192" s="36">
        <v>4</v>
      </c>
      <c r="CB192" s="36">
        <v>4</v>
      </c>
      <c r="CC192" s="36">
        <v>4</v>
      </c>
      <c r="CD192" s="36">
        <v>4</v>
      </c>
      <c r="CE192" s="36">
        <v>4</v>
      </c>
      <c r="CF192" s="36">
        <v>3</v>
      </c>
      <c r="CG192" s="36">
        <v>2</v>
      </c>
      <c r="CH192" s="36" t="s">
        <v>229</v>
      </c>
      <c r="CI192"/>
      <c r="CJ192"/>
      <c r="CK192" s="36" t="s">
        <v>240</v>
      </c>
      <c r="CL192"/>
      <c r="CM192"/>
      <c r="CN192" s="36" t="s">
        <v>242</v>
      </c>
      <c r="CO192" s="36" t="s">
        <v>134</v>
      </c>
      <c r="CP192" s="36">
        <v>4</v>
      </c>
      <c r="CQ192" s="36">
        <v>4</v>
      </c>
      <c r="CR192" s="36" t="s">
        <v>249</v>
      </c>
      <c r="CS192" s="36">
        <v>3</v>
      </c>
      <c r="CT192" s="36">
        <v>3</v>
      </c>
      <c r="CU192" s="36">
        <v>3</v>
      </c>
      <c r="CV192" s="36">
        <v>1</v>
      </c>
      <c r="CW192" s="36">
        <v>3</v>
      </c>
      <c r="CX192" s="36">
        <v>4</v>
      </c>
      <c r="CY192" s="36">
        <v>4</v>
      </c>
      <c r="CZ192" s="36">
        <v>3</v>
      </c>
      <c r="DA192" s="36">
        <v>3</v>
      </c>
      <c r="DB192" s="36">
        <v>2</v>
      </c>
      <c r="DC192" s="36">
        <v>2</v>
      </c>
      <c r="DD192" s="36">
        <v>3</v>
      </c>
      <c r="DE192" s="36">
        <v>4</v>
      </c>
      <c r="DF192" s="36">
        <v>4</v>
      </c>
      <c r="DG192" s="36">
        <v>4</v>
      </c>
      <c r="DH192" s="36">
        <v>4</v>
      </c>
      <c r="DI192" s="36" t="s">
        <v>133</v>
      </c>
      <c r="DJ192" s="36" t="s">
        <v>133</v>
      </c>
      <c r="DK192" s="36" t="s">
        <v>257</v>
      </c>
      <c r="DL192"/>
      <c r="DM192"/>
      <c r="DN192"/>
      <c r="DO192"/>
      <c r="DP192"/>
      <c r="DQ192" s="36">
        <v>4</v>
      </c>
      <c r="DR192" s="36" t="s">
        <v>134</v>
      </c>
      <c r="DT192"/>
      <c r="DU192"/>
      <c r="DV192"/>
      <c r="DW192"/>
      <c r="DX192"/>
      <c r="DZ192" s="36" t="s">
        <v>133</v>
      </c>
      <c r="EA192" s="36">
        <v>4</v>
      </c>
      <c r="EB192" s="36" t="s">
        <v>262</v>
      </c>
      <c r="EC192" s="36" t="s">
        <v>267</v>
      </c>
      <c r="ED192" s="36">
        <v>41</v>
      </c>
      <c r="EE192" s="36" t="s">
        <v>762</v>
      </c>
      <c r="EF192" s="36" t="str">
        <f>Tabulacao!MC192</f>
        <v>Itabaiana</v>
      </c>
      <c r="EG192" s="36" t="s">
        <v>762</v>
      </c>
      <c r="EH192" s="36" t="str">
        <f>Tabulacao!MG192</f>
        <v>Itabaiana</v>
      </c>
      <c r="EI192" s="36" t="s">
        <v>762</v>
      </c>
      <c r="EJ192" s="36" t="str">
        <f>Tabulacao!MK192</f>
        <v>Itabaiana</v>
      </c>
      <c r="EK192" s="36" t="s">
        <v>134</v>
      </c>
      <c r="EL192" s="36" t="s">
        <v>134</v>
      </c>
      <c r="EM192" s="36" t="s">
        <v>134</v>
      </c>
      <c r="EN192" s="36" t="s">
        <v>134</v>
      </c>
      <c r="EO192" s="36" t="s">
        <v>134</v>
      </c>
      <c r="EP192" s="36" t="s">
        <v>134</v>
      </c>
      <c r="EQ192" s="36" t="s">
        <v>275</v>
      </c>
      <c r="ER192" s="36" t="str">
        <f>IF(OR(EQ192=CaractAmostra!$BD$9,EQ192=CaractAmostra!$BD$10,EQ192=CaractAmostra!$BD$11,EQ192=CaractAmostra!$BD$12,EQ192=CaractAmostra!$BD$13),Respostas_Formatadas!EQ192,"Outros")</f>
        <v>Com os pais</v>
      </c>
      <c r="ES192" s="36" t="s">
        <v>275</v>
      </c>
      <c r="ET192" s="36" t="str">
        <f>IF(OR(ES192=CaractAmostra!$BH$9,ES192=CaractAmostra!$BH$10,ES192=CaractAmostra!$BH$11,ES192=CaractAmostra!$BH$12),Respostas_Formatadas!ES192,"Outros")</f>
        <v>Com os pais</v>
      </c>
      <c r="EU192" s="36" t="s">
        <v>134</v>
      </c>
      <c r="EV192" s="36" t="s">
        <v>282</v>
      </c>
      <c r="EW192" s="36" t="s">
        <v>283</v>
      </c>
      <c r="FD192" s="36" t="s">
        <v>763</v>
      </c>
      <c r="FE192" s="47">
        <v>2016</v>
      </c>
      <c r="FF192" s="97">
        <v>7.4562999999999997</v>
      </c>
      <c r="FG192" s="47">
        <v>2016</v>
      </c>
      <c r="FH192" s="47">
        <f t="shared" si="7"/>
        <v>0</v>
      </c>
      <c r="FI192" s="47" t="str">
        <f t="shared" si="4"/>
        <v>Itabaiana</v>
      </c>
      <c r="FJ192" s="47" t="str">
        <f t="shared" si="5"/>
        <v>Tecnologia</v>
      </c>
    </row>
    <row r="193" spans="1:166" s="36" customFormat="1" ht="15.75" customHeight="1" x14ac:dyDescent="0.2">
      <c r="A193" s="38">
        <v>43423.50366717593</v>
      </c>
      <c r="B193" s="41"/>
      <c r="C193" s="36" t="s">
        <v>122</v>
      </c>
      <c r="D193" s="47" t="s">
        <v>134</v>
      </c>
      <c r="M193" s="36" t="s">
        <v>146</v>
      </c>
      <c r="N193" s="36" t="s">
        <v>134</v>
      </c>
      <c r="O193" s="36" t="s">
        <v>133</v>
      </c>
      <c r="P193" s="36" t="s">
        <v>133</v>
      </c>
      <c r="Q193" s="36" t="s">
        <v>134</v>
      </c>
      <c r="R193" s="36" t="s">
        <v>152</v>
      </c>
      <c r="S193" s="36" t="s">
        <v>691</v>
      </c>
      <c r="T193" s="36" t="s">
        <v>155</v>
      </c>
      <c r="U193" s="36" t="s">
        <v>159</v>
      </c>
      <c r="V193" s="36">
        <v>3</v>
      </c>
      <c r="W193" s="36">
        <v>1</v>
      </c>
      <c r="X193" s="36">
        <v>2</v>
      </c>
      <c r="Y193" s="36" t="s">
        <v>166</v>
      </c>
      <c r="AC193" s="36" t="s">
        <v>186</v>
      </c>
      <c r="AD193" s="36" t="s">
        <v>766</v>
      </c>
      <c r="AE193" s="36">
        <v>1</v>
      </c>
      <c r="AF193" s="36" t="s">
        <v>190</v>
      </c>
      <c r="AG193" s="36" t="s">
        <v>190</v>
      </c>
      <c r="AH193" s="36" t="s">
        <v>134</v>
      </c>
      <c r="AI193" s="40">
        <v>1600</v>
      </c>
      <c r="AJ193" s="36">
        <v>2</v>
      </c>
      <c r="AK193" s="36">
        <v>2</v>
      </c>
      <c r="AL193" s="36" t="s">
        <v>133</v>
      </c>
      <c r="AP193" s="36" t="s">
        <v>767</v>
      </c>
      <c r="AQ193" s="40">
        <v>1600</v>
      </c>
      <c r="AR193" s="36">
        <v>1</v>
      </c>
      <c r="AS193" s="36">
        <v>1</v>
      </c>
      <c r="AT193" s="36">
        <v>3</v>
      </c>
      <c r="AU193" s="36">
        <v>1</v>
      </c>
      <c r="AV193" s="36">
        <v>1</v>
      </c>
      <c r="AW193" s="36" t="s">
        <v>314</v>
      </c>
      <c r="AX193" s="36" t="s">
        <v>206</v>
      </c>
      <c r="AY193" s="36" t="s">
        <v>208</v>
      </c>
      <c r="AZ193" s="36" t="s">
        <v>134</v>
      </c>
      <c r="BA193" s="36" t="s">
        <v>170</v>
      </c>
      <c r="BB193" s="36" t="s">
        <v>768</v>
      </c>
      <c r="BC193" s="36" t="s">
        <v>399</v>
      </c>
      <c r="BD193" s="36" t="s">
        <v>190</v>
      </c>
      <c r="BG193" s="36">
        <v>2</v>
      </c>
      <c r="BH193" s="36">
        <v>4</v>
      </c>
      <c r="BI193" s="36">
        <v>4</v>
      </c>
      <c r="BJ193" s="36">
        <v>2</v>
      </c>
      <c r="BK193" s="36">
        <v>4</v>
      </c>
      <c r="BL193" s="36">
        <v>4</v>
      </c>
      <c r="BM193" s="36">
        <v>5</v>
      </c>
      <c r="BN193" s="36">
        <v>5</v>
      </c>
      <c r="BO193" s="36">
        <v>4</v>
      </c>
      <c r="BP193" s="36">
        <v>2</v>
      </c>
      <c r="BQ193" s="36">
        <v>2</v>
      </c>
      <c r="BR193" s="36">
        <v>4</v>
      </c>
      <c r="BS193" s="36">
        <v>1</v>
      </c>
      <c r="BT193" s="36">
        <v>4</v>
      </c>
      <c r="BU193" s="36">
        <v>3</v>
      </c>
      <c r="BV193" s="36">
        <v>3</v>
      </c>
      <c r="BW193" s="36">
        <v>3</v>
      </c>
      <c r="BX193" s="36">
        <v>3</v>
      </c>
      <c r="BY193" s="36">
        <v>4</v>
      </c>
      <c r="BZ193" s="36">
        <v>4</v>
      </c>
      <c r="CA193" s="36">
        <v>4</v>
      </c>
      <c r="CB193" s="36">
        <v>3</v>
      </c>
      <c r="CC193" s="36">
        <v>3</v>
      </c>
      <c r="CD193" s="36">
        <v>3</v>
      </c>
      <c r="CE193" s="36">
        <v>4</v>
      </c>
      <c r="CF193" s="36">
        <v>1</v>
      </c>
      <c r="CG193" s="36">
        <v>3</v>
      </c>
      <c r="CH193" s="36" t="s">
        <v>222</v>
      </c>
      <c r="CI193" t="s">
        <v>226</v>
      </c>
      <c r="CJ193" t="s">
        <v>229</v>
      </c>
      <c r="CK193" s="36" t="s">
        <v>233</v>
      </c>
      <c r="CL193"/>
      <c r="CM193"/>
      <c r="CN193" s="36" t="s">
        <v>242</v>
      </c>
      <c r="CO193" s="36" t="s">
        <v>134</v>
      </c>
      <c r="CP193" s="36">
        <v>3</v>
      </c>
      <c r="CQ193" s="36">
        <v>3</v>
      </c>
      <c r="CR193" s="36" t="s">
        <v>248</v>
      </c>
      <c r="CS193" s="36">
        <v>3</v>
      </c>
      <c r="CT193" s="36">
        <v>4</v>
      </c>
      <c r="CU193" s="36">
        <v>4</v>
      </c>
      <c r="CV193" s="36">
        <v>4</v>
      </c>
      <c r="CW193" s="36">
        <v>2</v>
      </c>
      <c r="CX193" s="36">
        <v>3</v>
      </c>
      <c r="CY193" s="36">
        <v>3</v>
      </c>
      <c r="CZ193" s="36">
        <v>2</v>
      </c>
      <c r="DA193" s="36">
        <v>1</v>
      </c>
      <c r="DB193" s="36">
        <v>4</v>
      </c>
      <c r="DC193" s="36">
        <v>2</v>
      </c>
      <c r="DD193" s="36">
        <v>3</v>
      </c>
      <c r="DE193" s="36">
        <v>3</v>
      </c>
      <c r="DF193" s="36">
        <v>5</v>
      </c>
      <c r="DG193" s="36">
        <v>5</v>
      </c>
      <c r="DH193" s="36">
        <v>2</v>
      </c>
      <c r="DI193" s="36" t="s">
        <v>133</v>
      </c>
      <c r="DJ193" s="36" t="s">
        <v>133</v>
      </c>
      <c r="DK193" s="36" t="s">
        <v>254</v>
      </c>
      <c r="DL193" t="s">
        <v>255</v>
      </c>
      <c r="DM193"/>
      <c r="DN193"/>
      <c r="DO193" t="s">
        <v>257</v>
      </c>
      <c r="DP193"/>
      <c r="DQ193" s="36">
        <v>5</v>
      </c>
      <c r="DR193" s="36" t="s">
        <v>133</v>
      </c>
      <c r="DS193" s="36" t="s">
        <v>259</v>
      </c>
      <c r="DT193"/>
      <c r="DU193"/>
      <c r="DV193" t="s">
        <v>260</v>
      </c>
      <c r="DW193" t="s">
        <v>261</v>
      </c>
      <c r="DX193"/>
      <c r="DY193" s="36">
        <v>5</v>
      </c>
      <c r="DZ193" s="36" t="s">
        <v>133</v>
      </c>
      <c r="EA193" s="36">
        <v>5</v>
      </c>
      <c r="EB193" s="36" t="s">
        <v>263</v>
      </c>
      <c r="EC193" s="36" t="s">
        <v>265</v>
      </c>
      <c r="ED193" s="36">
        <v>31</v>
      </c>
      <c r="EE193" s="36" t="s">
        <v>768</v>
      </c>
      <c r="EF193" s="36" t="str">
        <f>Tabulacao!MC193</f>
        <v>São Cristóvão</v>
      </c>
      <c r="EG193" s="36" t="s">
        <v>768</v>
      </c>
      <c r="EH193" s="36" t="str">
        <f>Tabulacao!MG193</f>
        <v>São Cristóvão</v>
      </c>
      <c r="EI193" s="36" t="s">
        <v>768</v>
      </c>
      <c r="EJ193" s="36" t="str">
        <f>Tabulacao!MK193</f>
        <v>São Cristóvão</v>
      </c>
      <c r="EK193" s="36" t="s">
        <v>134</v>
      </c>
      <c r="EL193" s="36" t="s">
        <v>134</v>
      </c>
      <c r="EM193" s="36" t="s">
        <v>134</v>
      </c>
      <c r="EN193" s="36" t="s">
        <v>134</v>
      </c>
      <c r="EO193" s="36" t="s">
        <v>134</v>
      </c>
      <c r="EP193" s="36" t="s">
        <v>134</v>
      </c>
      <c r="EQ193" s="36" t="s">
        <v>273</v>
      </c>
      <c r="ER193" s="36" t="str">
        <f>IF(OR(EQ193=CaractAmostra!$BD$9,EQ193=CaractAmostra!$BD$10,EQ193=CaractAmostra!$BD$11,EQ193=CaractAmostra!$BD$12,EQ193=CaractAmostra!$BD$13),Respostas_Formatadas!EQ193,"Outros")</f>
        <v>Dividia residência com outras pessoas</v>
      </c>
      <c r="ES193" s="36" t="s">
        <v>278</v>
      </c>
      <c r="ET193" s="36" t="str">
        <f>IF(OR(ES193=CaractAmostra!$BH$9,ES193=CaractAmostra!$BH$10,ES193=CaractAmostra!$BH$11,ES193=CaractAmostra!$BH$12),Respostas_Formatadas!ES193,"Outros")</f>
        <v>Divido residência com outras pessoas</v>
      </c>
      <c r="EU193" s="36" t="s">
        <v>280</v>
      </c>
      <c r="EV193" s="36" t="s">
        <v>283</v>
      </c>
      <c r="EW193" s="36" t="s">
        <v>192</v>
      </c>
      <c r="FE193" s="47">
        <v>2018</v>
      </c>
      <c r="FF193" s="97">
        <v>6.1215999999999999</v>
      </c>
      <c r="FG193" s="47">
        <v>2018</v>
      </c>
      <c r="FH193" s="47">
        <f t="shared" si="7"/>
        <v>0</v>
      </c>
      <c r="FI193" s="47" t="str">
        <f t="shared" si="4"/>
        <v>Aracaju</v>
      </c>
      <c r="FJ193" s="47" t="str">
        <f t="shared" si="5"/>
        <v>Licenciatura</v>
      </c>
    </row>
    <row r="194" spans="1:166" s="36" customFormat="1" ht="15.75" customHeight="1" x14ac:dyDescent="0.2">
      <c r="A194" s="38">
        <v>43423.570009780087</v>
      </c>
      <c r="B194" s="41"/>
      <c r="C194" s="36" t="s">
        <v>127</v>
      </c>
      <c r="D194" s="47" t="s">
        <v>134</v>
      </c>
      <c r="M194" s="36" t="s">
        <v>146</v>
      </c>
      <c r="N194" s="36" t="s">
        <v>133</v>
      </c>
      <c r="O194" s="36" t="s">
        <v>133</v>
      </c>
      <c r="P194" s="36" t="s">
        <v>133</v>
      </c>
      <c r="Q194" s="36" t="s">
        <v>133</v>
      </c>
      <c r="R194" s="36" t="s">
        <v>151</v>
      </c>
      <c r="Y194" s="36" t="s">
        <v>165</v>
      </c>
      <c r="Z194" s="36" t="s">
        <v>167</v>
      </c>
      <c r="AA194" s="36" t="s">
        <v>171</v>
      </c>
      <c r="AB194" s="36" t="s">
        <v>181</v>
      </c>
      <c r="AD194" s="36" t="s">
        <v>769</v>
      </c>
      <c r="AE194" s="36">
        <v>5</v>
      </c>
      <c r="AF194" s="36" t="s">
        <v>189</v>
      </c>
      <c r="AG194" s="36" t="s">
        <v>189</v>
      </c>
      <c r="AH194" s="36" t="s">
        <v>133</v>
      </c>
      <c r="AI194" s="40">
        <v>1800</v>
      </c>
      <c r="AJ194" s="36">
        <v>5</v>
      </c>
      <c r="AK194" s="36">
        <v>5</v>
      </c>
      <c r="AL194" s="36" t="s">
        <v>134</v>
      </c>
      <c r="AM194" s="36" t="s">
        <v>169</v>
      </c>
      <c r="AN194" s="36">
        <v>1</v>
      </c>
      <c r="AO194" s="36" t="s">
        <v>134</v>
      </c>
      <c r="AQ194" s="40"/>
      <c r="BT194" s="36">
        <v>5</v>
      </c>
      <c r="BU194" s="36">
        <v>3</v>
      </c>
      <c r="BV194" s="36">
        <v>4</v>
      </c>
      <c r="BW194" s="36">
        <v>5</v>
      </c>
      <c r="BX194" s="36">
        <v>5</v>
      </c>
      <c r="BY194" s="36">
        <v>5</v>
      </c>
      <c r="BZ194" s="36">
        <v>5</v>
      </c>
      <c r="CA194" s="36">
        <v>5</v>
      </c>
      <c r="CB194" s="36">
        <v>5</v>
      </c>
      <c r="CC194" s="36">
        <v>5</v>
      </c>
      <c r="CD194" s="36">
        <v>5</v>
      </c>
      <c r="CE194" s="36">
        <v>4</v>
      </c>
      <c r="CF194" s="36">
        <v>3</v>
      </c>
      <c r="CG194" s="36">
        <v>5</v>
      </c>
      <c r="CH194" s="36" t="s">
        <v>222</v>
      </c>
      <c r="CI194"/>
      <c r="CJ194"/>
      <c r="CK194" s="36" t="s">
        <v>235</v>
      </c>
      <c r="CL194"/>
      <c r="CM194"/>
      <c r="CN194" s="36" t="s">
        <v>242</v>
      </c>
      <c r="CO194" s="36" t="s">
        <v>134</v>
      </c>
      <c r="CP194" s="36">
        <v>2</v>
      </c>
      <c r="CQ194" s="36">
        <v>5</v>
      </c>
      <c r="CR194" s="36" t="s">
        <v>248</v>
      </c>
      <c r="CS194" s="36">
        <v>3</v>
      </c>
      <c r="CT194" s="36">
        <v>4</v>
      </c>
      <c r="CU194" s="36">
        <v>2</v>
      </c>
      <c r="CV194" s="36">
        <v>1</v>
      </c>
      <c r="CW194" s="36">
        <v>3</v>
      </c>
      <c r="CX194" s="36">
        <v>3</v>
      </c>
      <c r="CY194" s="36">
        <v>4</v>
      </c>
      <c r="CZ194" s="36">
        <v>4</v>
      </c>
      <c r="DA194" s="36">
        <v>4</v>
      </c>
      <c r="DB194" s="36">
        <v>5</v>
      </c>
      <c r="DC194" s="36">
        <v>1</v>
      </c>
      <c r="DD194" s="36">
        <v>4</v>
      </c>
      <c r="DE194" s="36">
        <v>4</v>
      </c>
      <c r="DF194" s="36">
        <v>5</v>
      </c>
      <c r="DG194" s="36">
        <v>5</v>
      </c>
      <c r="DH194" s="36">
        <v>3</v>
      </c>
      <c r="DI194" s="36" t="s">
        <v>250</v>
      </c>
      <c r="DJ194" s="36" t="s">
        <v>133</v>
      </c>
      <c r="DK194" s="36" t="s">
        <v>254</v>
      </c>
      <c r="DL194"/>
      <c r="DM194"/>
      <c r="DN194"/>
      <c r="DO194"/>
      <c r="DP194"/>
      <c r="DQ194" s="36">
        <v>3</v>
      </c>
      <c r="DR194" s="36" t="s">
        <v>133</v>
      </c>
      <c r="DS194" s="36" t="s">
        <v>260</v>
      </c>
      <c r="DT194"/>
      <c r="DU194"/>
      <c r="DV194"/>
      <c r="DW194"/>
      <c r="DX194"/>
      <c r="DY194" s="36">
        <v>5</v>
      </c>
      <c r="DZ194" s="36" t="s">
        <v>134</v>
      </c>
      <c r="EB194" s="36" t="s">
        <v>262</v>
      </c>
      <c r="EC194" s="36" t="s">
        <v>265</v>
      </c>
      <c r="ED194" s="36">
        <v>34</v>
      </c>
      <c r="EE194" s="36" t="s">
        <v>770</v>
      </c>
      <c r="EF194" s="36" t="str">
        <f>Tabulacao!MC194</f>
        <v>Itabaiana</v>
      </c>
      <c r="EG194" s="36" t="s">
        <v>770</v>
      </c>
      <c r="EH194" s="36" t="str">
        <f>Tabulacao!MG194</f>
        <v>Itabaiana</v>
      </c>
      <c r="EI194" s="36" t="s">
        <v>770</v>
      </c>
      <c r="EJ194" s="36" t="str">
        <f>Tabulacao!MK194</f>
        <v>Itabaiana</v>
      </c>
      <c r="EK194" s="36" t="s">
        <v>134</v>
      </c>
      <c r="EL194" s="36" t="s">
        <v>134</v>
      </c>
      <c r="EM194" s="36" t="s">
        <v>134</v>
      </c>
      <c r="EN194" s="36" t="s">
        <v>134</v>
      </c>
      <c r="EO194" s="36" t="s">
        <v>134</v>
      </c>
      <c r="EP194" s="36" t="s">
        <v>134</v>
      </c>
      <c r="EQ194" s="36" t="s">
        <v>275</v>
      </c>
      <c r="ER194" s="36" t="str">
        <f>IF(OR(EQ194=CaractAmostra!$BD$9,EQ194=CaractAmostra!$BD$10,EQ194=CaractAmostra!$BD$11,EQ194=CaractAmostra!$BD$12,EQ194=CaractAmostra!$BD$13),Respostas_Formatadas!EQ194,"Outros")</f>
        <v>Com os pais</v>
      </c>
      <c r="ES194" s="36" t="s">
        <v>275</v>
      </c>
      <c r="ET194" s="36" t="str">
        <f>IF(OR(ES194=CaractAmostra!$BH$9,ES194=CaractAmostra!$BH$10,ES194=CaractAmostra!$BH$11,ES194=CaractAmostra!$BH$12),Respostas_Formatadas!ES194,"Outros")</f>
        <v>Com os pais</v>
      </c>
      <c r="EU194" s="36" t="s">
        <v>134</v>
      </c>
      <c r="EV194" s="36" t="s">
        <v>192</v>
      </c>
      <c r="EW194" s="36" t="s">
        <v>192</v>
      </c>
      <c r="FE194" s="47">
        <v>2018</v>
      </c>
      <c r="FF194" s="97">
        <v>7.8555999999999999</v>
      </c>
      <c r="FG194" s="47" t="s">
        <v>933</v>
      </c>
      <c r="FH194" s="47" t="e">
        <f t="shared" si="7"/>
        <v>#VALUE!</v>
      </c>
      <c r="FI194" s="47" t="str">
        <f t="shared" si="4"/>
        <v>Itabaiana</v>
      </c>
      <c r="FJ194" s="47" t="str">
        <f t="shared" si="5"/>
        <v>Tecnologia</v>
      </c>
    </row>
    <row r="195" spans="1:166" s="36" customFormat="1" ht="15.75" customHeight="1" x14ac:dyDescent="0.2">
      <c r="A195" s="38">
        <v>43423.613399305556</v>
      </c>
      <c r="B195" s="41"/>
      <c r="C195" s="36" t="s">
        <v>130</v>
      </c>
      <c r="D195" s="47" t="s">
        <v>133</v>
      </c>
      <c r="E195" s="36" t="s">
        <v>135</v>
      </c>
      <c r="H195" s="36" t="s">
        <v>141</v>
      </c>
      <c r="M195" s="36" t="s">
        <v>148</v>
      </c>
      <c r="N195" s="36" t="s">
        <v>133</v>
      </c>
      <c r="O195" s="36" t="s">
        <v>133</v>
      </c>
      <c r="P195" s="36" t="s">
        <v>133</v>
      </c>
      <c r="Q195" s="36" t="s">
        <v>133</v>
      </c>
      <c r="R195" s="36" t="s">
        <v>153</v>
      </c>
      <c r="S195" s="36" t="s">
        <v>942</v>
      </c>
      <c r="T195" s="36" t="s">
        <v>154</v>
      </c>
      <c r="U195" s="36" t="s">
        <v>158</v>
      </c>
      <c r="V195" s="36">
        <v>1</v>
      </c>
      <c r="W195" s="36">
        <v>3</v>
      </c>
      <c r="X195" s="36">
        <v>5</v>
      </c>
      <c r="Y195" s="36" t="s">
        <v>165</v>
      </c>
      <c r="Z195" s="36" t="s">
        <v>168</v>
      </c>
      <c r="AA195" s="36" t="s">
        <v>172</v>
      </c>
      <c r="AB195" s="36" t="s">
        <v>177</v>
      </c>
      <c r="AD195" s="36" t="s">
        <v>771</v>
      </c>
      <c r="AE195" s="36">
        <v>4</v>
      </c>
      <c r="AF195" s="36" t="s">
        <v>190</v>
      </c>
      <c r="AG195" s="36" t="s">
        <v>190</v>
      </c>
      <c r="AH195" s="36" t="s">
        <v>134</v>
      </c>
      <c r="AI195" s="40">
        <v>3100</v>
      </c>
      <c r="AJ195" s="36">
        <v>3</v>
      </c>
      <c r="AK195" s="36">
        <v>4</v>
      </c>
      <c r="AL195" s="36" t="s">
        <v>134</v>
      </c>
      <c r="AM195" s="36" t="s">
        <v>169</v>
      </c>
      <c r="AN195" s="36">
        <v>3</v>
      </c>
      <c r="AO195" s="36" t="s">
        <v>134</v>
      </c>
      <c r="AQ195" s="40"/>
      <c r="BT195" s="36">
        <v>2</v>
      </c>
      <c r="BU195" s="36">
        <v>4</v>
      </c>
      <c r="BV195" s="36">
        <v>3</v>
      </c>
      <c r="BW195" s="36">
        <v>3</v>
      </c>
      <c r="BX195" s="36">
        <v>4</v>
      </c>
      <c r="BY195" s="36">
        <v>4</v>
      </c>
      <c r="BZ195" s="36">
        <v>4</v>
      </c>
      <c r="CA195" s="36">
        <v>5</v>
      </c>
      <c r="CB195" s="36">
        <v>4</v>
      </c>
      <c r="CC195" s="36">
        <v>5</v>
      </c>
      <c r="CD195" s="36">
        <v>5</v>
      </c>
      <c r="CE195" s="36">
        <v>4</v>
      </c>
      <c r="CF195" s="36">
        <v>3</v>
      </c>
      <c r="CG195" s="36">
        <v>2</v>
      </c>
      <c r="CH195" s="36" t="s">
        <v>222</v>
      </c>
      <c r="CI195" t="s">
        <v>226</v>
      </c>
      <c r="CJ195" t="s">
        <v>230</v>
      </c>
      <c r="CK195" s="36" t="s">
        <v>234</v>
      </c>
      <c r="CL195" t="s">
        <v>235</v>
      </c>
      <c r="CM195" t="s">
        <v>239</v>
      </c>
      <c r="CN195" s="36" t="s">
        <v>241</v>
      </c>
      <c r="CO195" s="36" t="s">
        <v>134</v>
      </c>
      <c r="CP195" s="36">
        <v>3</v>
      </c>
      <c r="CQ195" s="36">
        <v>4</v>
      </c>
      <c r="CR195" s="36" t="s">
        <v>249</v>
      </c>
      <c r="CS195" s="36">
        <v>4</v>
      </c>
      <c r="CT195" s="36">
        <v>4</v>
      </c>
      <c r="CU195" s="36">
        <v>4</v>
      </c>
      <c r="CV195" s="36">
        <v>2</v>
      </c>
      <c r="CW195" s="36">
        <v>4</v>
      </c>
      <c r="CX195" s="36">
        <v>3</v>
      </c>
      <c r="CY195" s="36">
        <v>3</v>
      </c>
      <c r="CZ195" s="36">
        <v>5</v>
      </c>
      <c r="DA195" s="36">
        <v>3</v>
      </c>
      <c r="DB195" s="36">
        <v>4</v>
      </c>
      <c r="DC195" s="36">
        <v>5</v>
      </c>
      <c r="DD195" s="36">
        <v>1</v>
      </c>
      <c r="DE195" s="36">
        <v>1</v>
      </c>
      <c r="DF195" s="36">
        <v>1</v>
      </c>
      <c r="DG195" s="36">
        <v>2</v>
      </c>
      <c r="DH195" s="36">
        <v>2</v>
      </c>
      <c r="DI195" s="36" t="s">
        <v>252</v>
      </c>
      <c r="DJ195" s="36" t="s">
        <v>133</v>
      </c>
      <c r="DK195" s="36" t="s">
        <v>254</v>
      </c>
      <c r="DL195" t="s">
        <v>255</v>
      </c>
      <c r="DM195"/>
      <c r="DN195"/>
      <c r="DO195" t="s">
        <v>256</v>
      </c>
      <c r="DP195" t="s">
        <v>257</v>
      </c>
      <c r="DQ195" s="36">
        <v>5</v>
      </c>
      <c r="DR195" s="36" t="s">
        <v>133</v>
      </c>
      <c r="DS195" s="36" t="s">
        <v>258</v>
      </c>
      <c r="DT195" t="s">
        <v>259</v>
      </c>
      <c r="DU195"/>
      <c r="DV195"/>
      <c r="DW195" t="s">
        <v>260</v>
      </c>
      <c r="DX195" t="s">
        <v>261</v>
      </c>
      <c r="DY195" s="36">
        <v>4</v>
      </c>
      <c r="DZ195" s="36" t="s">
        <v>133</v>
      </c>
      <c r="EA195" s="36">
        <v>4</v>
      </c>
      <c r="EB195" s="36" t="s">
        <v>262</v>
      </c>
      <c r="EC195" s="36" t="s">
        <v>264</v>
      </c>
      <c r="ED195" s="36">
        <v>34</v>
      </c>
      <c r="EE195" s="36" t="s">
        <v>772</v>
      </c>
      <c r="EF195" s="36" t="str">
        <f>Tabulacao!MC195</f>
        <v>Irecê - BA</v>
      </c>
      <c r="EG195" s="36" t="s">
        <v>304</v>
      </c>
      <c r="EH195" s="36" t="str">
        <f>Tabulacao!MG195</f>
        <v>Aracaju</v>
      </c>
      <c r="EI195" s="36" t="s">
        <v>773</v>
      </c>
      <c r="EJ195" s="36" t="str">
        <f>Tabulacao!MK195</f>
        <v>Barra do Rio Grande - BA</v>
      </c>
      <c r="EK195" s="36" t="s">
        <v>134</v>
      </c>
      <c r="EL195" s="36" t="s">
        <v>134</v>
      </c>
      <c r="EM195" s="36" t="s">
        <v>134</v>
      </c>
      <c r="EN195" s="36" t="s">
        <v>134</v>
      </c>
      <c r="EO195" s="36" t="s">
        <v>134</v>
      </c>
      <c r="EP195" s="36" t="s">
        <v>134</v>
      </c>
      <c r="EQ195" s="36" t="s">
        <v>272</v>
      </c>
      <c r="ER195" s="36" t="str">
        <f>IF(OR(EQ195=CaractAmostra!$BD$9,EQ195=CaractAmostra!$BD$10,EQ195=CaractAmostra!$BD$11,EQ195=CaractAmostra!$BD$12,EQ195=CaractAmostra!$BD$13),Respostas_Formatadas!EQ195,"Outros")</f>
        <v>Morava sozinho</v>
      </c>
      <c r="ES195" s="36" t="s">
        <v>277</v>
      </c>
      <c r="ET195" s="36" t="str">
        <f>IF(OR(ES195=CaractAmostra!$BH$9,ES195=CaractAmostra!$BH$10,ES195=CaractAmostra!$BH$11,ES195=CaractAmostra!$BH$12),Respostas_Formatadas!ES195,"Outros")</f>
        <v>Sozinho</v>
      </c>
      <c r="EU195" s="36" t="s">
        <v>134</v>
      </c>
      <c r="EV195" s="36" t="s">
        <v>283</v>
      </c>
      <c r="EW195" s="36" t="s">
        <v>283</v>
      </c>
      <c r="FD195" s="36" t="s">
        <v>774</v>
      </c>
      <c r="FE195" s="47">
        <v>2015</v>
      </c>
      <c r="FF195" s="97">
        <v>7.3333000000000004</v>
      </c>
      <c r="FG195" s="47">
        <v>2016</v>
      </c>
      <c r="FH195" s="47">
        <f t="shared" si="7"/>
        <v>1</v>
      </c>
      <c r="FI195" s="47" t="str">
        <f t="shared" ref="FI195:FI258" si="8">VLOOKUP($C195,$FL$4:$FN$16,2,FALSE)</f>
        <v>São Cristóvão</v>
      </c>
      <c r="FJ195" s="47" t="str">
        <f t="shared" ref="FJ195:FJ258" si="9">VLOOKUP($C195,$FL$4:$FN$16,3,FALSE)</f>
        <v>Tecnologia</v>
      </c>
    </row>
    <row r="196" spans="1:166" s="36" customFormat="1" ht="15.75" customHeight="1" x14ac:dyDescent="0.2">
      <c r="A196" s="38">
        <v>43423.754584791663</v>
      </c>
      <c r="B196" s="41"/>
      <c r="C196" s="36" t="s">
        <v>119</v>
      </c>
      <c r="D196" s="47" t="s">
        <v>133</v>
      </c>
      <c r="E196" s="36" t="s">
        <v>135</v>
      </c>
      <c r="H196" s="36" t="s">
        <v>142</v>
      </c>
      <c r="M196" s="36" t="s">
        <v>146</v>
      </c>
      <c r="N196" s="36" t="s">
        <v>134</v>
      </c>
      <c r="O196" s="36" t="s">
        <v>133</v>
      </c>
      <c r="P196" s="36" t="s">
        <v>134</v>
      </c>
      <c r="Q196" s="36" t="s">
        <v>134</v>
      </c>
      <c r="R196" s="36" t="s">
        <v>151</v>
      </c>
      <c r="Y196" s="36" t="s">
        <v>165</v>
      </c>
      <c r="Z196" s="36" t="s">
        <v>168</v>
      </c>
      <c r="AA196" s="36" t="s">
        <v>172</v>
      </c>
      <c r="AB196" s="36" t="s">
        <v>181</v>
      </c>
      <c r="AD196" s="36" t="s">
        <v>775</v>
      </c>
      <c r="AE196" s="36">
        <v>5</v>
      </c>
      <c r="AF196" s="36" t="s">
        <v>189</v>
      </c>
      <c r="AG196" s="36" t="s">
        <v>189</v>
      </c>
      <c r="AH196" s="36" t="s">
        <v>133</v>
      </c>
      <c r="AI196" s="40">
        <v>3000</v>
      </c>
      <c r="AJ196" s="36">
        <v>5</v>
      </c>
      <c r="AK196" s="36">
        <v>1</v>
      </c>
      <c r="AL196" s="36" t="s">
        <v>134</v>
      </c>
      <c r="AM196" s="36" t="s">
        <v>167</v>
      </c>
      <c r="AN196" s="36">
        <v>6</v>
      </c>
      <c r="AO196" s="36" t="s">
        <v>191</v>
      </c>
      <c r="AP196" s="36" t="s">
        <v>363</v>
      </c>
      <c r="AQ196" s="40">
        <v>3000</v>
      </c>
      <c r="AR196" s="36">
        <v>2</v>
      </c>
      <c r="AS196" s="36">
        <v>4</v>
      </c>
      <c r="AT196" s="36">
        <v>5</v>
      </c>
      <c r="AU196" s="36">
        <v>4</v>
      </c>
      <c r="AV196" s="36">
        <v>5</v>
      </c>
      <c r="AW196" s="36" t="s">
        <v>192</v>
      </c>
      <c r="AX196" s="36" t="s">
        <v>207</v>
      </c>
      <c r="AY196" s="36" t="s">
        <v>211</v>
      </c>
      <c r="BG196" s="36">
        <v>5</v>
      </c>
      <c r="BH196" s="36">
        <v>1</v>
      </c>
      <c r="BI196" s="36">
        <v>5</v>
      </c>
      <c r="BJ196" s="36">
        <v>2</v>
      </c>
      <c r="BK196" s="36">
        <v>5</v>
      </c>
      <c r="BL196" s="36">
        <v>5</v>
      </c>
      <c r="BM196" s="36">
        <v>5</v>
      </c>
      <c r="BN196" s="36">
        <v>5</v>
      </c>
      <c r="BO196" s="36">
        <v>5</v>
      </c>
      <c r="BP196" s="36">
        <v>5</v>
      </c>
      <c r="BQ196" s="36">
        <v>5</v>
      </c>
      <c r="BR196" s="36">
        <v>5</v>
      </c>
      <c r="BS196" s="36">
        <v>1</v>
      </c>
      <c r="BT196" s="36">
        <v>3</v>
      </c>
      <c r="BU196" s="36">
        <v>1</v>
      </c>
      <c r="BV196" s="36">
        <v>4</v>
      </c>
      <c r="BW196" s="36">
        <v>2</v>
      </c>
      <c r="BX196" s="36">
        <v>4</v>
      </c>
      <c r="BY196" s="36">
        <v>3</v>
      </c>
      <c r="BZ196" s="36">
        <v>4</v>
      </c>
      <c r="CA196" s="36">
        <v>5</v>
      </c>
      <c r="CB196" s="36">
        <v>3</v>
      </c>
      <c r="CC196" s="36">
        <v>4</v>
      </c>
      <c r="CD196" s="36">
        <v>5</v>
      </c>
      <c r="CE196" s="36">
        <v>4</v>
      </c>
      <c r="CF196" s="36">
        <v>4</v>
      </c>
      <c r="CG196" s="36">
        <v>1</v>
      </c>
      <c r="CH196" s="36" t="s">
        <v>225</v>
      </c>
      <c r="CI196" t="s">
        <v>229</v>
      </c>
      <c r="CJ196"/>
      <c r="CK196" s="36" t="s">
        <v>234</v>
      </c>
      <c r="CL196" t="s">
        <v>235</v>
      </c>
      <c r="CM196" t="s">
        <v>240</v>
      </c>
      <c r="CN196" s="36" t="s">
        <v>246</v>
      </c>
      <c r="CO196" s="36" t="s">
        <v>134</v>
      </c>
      <c r="CP196" s="36">
        <v>1</v>
      </c>
      <c r="CQ196" s="36">
        <v>5</v>
      </c>
      <c r="CR196" s="36" t="s">
        <v>248</v>
      </c>
      <c r="CS196" s="36">
        <v>1</v>
      </c>
      <c r="CT196" s="36">
        <v>3</v>
      </c>
      <c r="CU196" s="36">
        <v>5</v>
      </c>
      <c r="CV196" s="36">
        <v>3</v>
      </c>
      <c r="CW196" s="36">
        <v>3</v>
      </c>
      <c r="CX196" s="36">
        <v>3</v>
      </c>
      <c r="CY196" s="36">
        <v>4</v>
      </c>
      <c r="CZ196" s="36">
        <v>5</v>
      </c>
      <c r="DA196" s="36">
        <v>3</v>
      </c>
      <c r="DB196" s="36">
        <v>2</v>
      </c>
      <c r="DC196" s="36">
        <v>3</v>
      </c>
      <c r="DD196" s="36">
        <v>5</v>
      </c>
      <c r="DE196" s="36">
        <v>5</v>
      </c>
      <c r="DF196" s="36">
        <v>5</v>
      </c>
      <c r="DG196" s="36">
        <v>5</v>
      </c>
      <c r="DH196" s="36">
        <v>5</v>
      </c>
      <c r="DI196" s="36" t="s">
        <v>133</v>
      </c>
      <c r="DJ196" s="36" t="s">
        <v>133</v>
      </c>
      <c r="DK196" s="36" t="s">
        <v>255</v>
      </c>
      <c r="DL196"/>
      <c r="DM196"/>
      <c r="DN196"/>
      <c r="DO196"/>
      <c r="DP196"/>
      <c r="DQ196" s="36">
        <v>1</v>
      </c>
      <c r="DR196" s="36" t="s">
        <v>134</v>
      </c>
      <c r="DT196"/>
      <c r="DU196"/>
      <c r="DV196"/>
      <c r="DW196"/>
      <c r="DX196"/>
      <c r="DZ196" s="36" t="s">
        <v>134</v>
      </c>
      <c r="EB196" s="36" t="s">
        <v>263</v>
      </c>
      <c r="EC196" s="36" t="s">
        <v>267</v>
      </c>
      <c r="ED196" s="36">
        <v>27</v>
      </c>
      <c r="EE196" s="36" t="s">
        <v>292</v>
      </c>
      <c r="EF196" s="36" t="str">
        <f>Tabulacao!MC196</f>
        <v>Aracaju</v>
      </c>
      <c r="EG196" s="36" t="s">
        <v>292</v>
      </c>
      <c r="EH196" s="36" t="str">
        <f>Tabulacao!MG196</f>
        <v>Aracaju</v>
      </c>
      <c r="EI196" s="36" t="s">
        <v>292</v>
      </c>
      <c r="EJ196" s="36" t="str">
        <f>Tabulacao!MK196</f>
        <v>Aracaju</v>
      </c>
      <c r="EK196" s="36" t="s">
        <v>134</v>
      </c>
      <c r="EL196" s="36" t="s">
        <v>134</v>
      </c>
      <c r="EM196" s="36" t="s">
        <v>134</v>
      </c>
      <c r="EN196" s="36" t="s">
        <v>134</v>
      </c>
      <c r="EO196" s="36" t="s">
        <v>134</v>
      </c>
      <c r="EP196" s="36" t="s">
        <v>134</v>
      </c>
      <c r="EQ196" s="36" t="s">
        <v>275</v>
      </c>
      <c r="ER196" s="36" t="str">
        <f>IF(OR(EQ196=CaractAmostra!$BD$9,EQ196=CaractAmostra!$BD$10,EQ196=CaractAmostra!$BD$11,EQ196=CaractAmostra!$BD$12,EQ196=CaractAmostra!$BD$13),Respostas_Formatadas!EQ196,"Outros")</f>
        <v>Com os pais</v>
      </c>
      <c r="ES196" s="36" t="s">
        <v>275</v>
      </c>
      <c r="ET196" s="36" t="str">
        <f>IF(OR(ES196=CaractAmostra!$BH$9,ES196=CaractAmostra!$BH$10,ES196=CaractAmostra!$BH$11,ES196=CaractAmostra!$BH$12),Respostas_Formatadas!ES196,"Outros")</f>
        <v>Com os pais</v>
      </c>
      <c r="EU196" s="36" t="s">
        <v>134</v>
      </c>
      <c r="EV196" s="36" t="s">
        <v>287</v>
      </c>
      <c r="EW196" s="36" t="s">
        <v>288</v>
      </c>
      <c r="FE196" s="47">
        <v>2015</v>
      </c>
      <c r="FF196" s="97">
        <v>7.9768999999999997</v>
      </c>
      <c r="FG196" s="47">
        <v>2015</v>
      </c>
      <c r="FH196" s="47">
        <f t="shared" si="7"/>
        <v>0</v>
      </c>
      <c r="FI196" s="47" t="str">
        <f t="shared" si="8"/>
        <v>Aracaju</v>
      </c>
      <c r="FJ196" s="47" t="str">
        <f t="shared" si="9"/>
        <v>Bacharelado</v>
      </c>
    </row>
    <row r="197" spans="1:166" s="36" customFormat="1" ht="15.75" customHeight="1" x14ac:dyDescent="0.2">
      <c r="A197" s="38">
        <v>43423.983499305556</v>
      </c>
      <c r="B197" s="41"/>
      <c r="C197" s="36" t="s">
        <v>125</v>
      </c>
      <c r="D197" s="47" t="s">
        <v>134</v>
      </c>
      <c r="M197" s="36" t="s">
        <v>146</v>
      </c>
      <c r="N197" s="36" t="s">
        <v>134</v>
      </c>
      <c r="O197" s="36" t="s">
        <v>134</v>
      </c>
      <c r="P197" s="36" t="s">
        <v>133</v>
      </c>
      <c r="Q197" s="36" t="s">
        <v>133</v>
      </c>
      <c r="R197" s="36" t="s">
        <v>151</v>
      </c>
      <c r="Y197" s="36" t="s">
        <v>134</v>
      </c>
      <c r="AI197" s="40"/>
      <c r="AQ197" s="40"/>
      <c r="BT197" s="36">
        <v>4</v>
      </c>
      <c r="BU197" s="36">
        <v>3</v>
      </c>
      <c r="BV197" s="36">
        <v>4</v>
      </c>
      <c r="BW197" s="36">
        <v>3</v>
      </c>
      <c r="BX197" s="36">
        <v>4</v>
      </c>
      <c r="BY197" s="36">
        <v>4</v>
      </c>
      <c r="BZ197" s="36">
        <v>3</v>
      </c>
      <c r="CA197" s="36">
        <v>5</v>
      </c>
      <c r="CB197" s="36">
        <v>4</v>
      </c>
      <c r="CC197" s="36">
        <v>4</v>
      </c>
      <c r="CD197" s="36">
        <v>3</v>
      </c>
      <c r="CE197" s="36">
        <v>3</v>
      </c>
      <c r="CF197" s="36">
        <v>3</v>
      </c>
      <c r="CG197" s="36">
        <v>2</v>
      </c>
      <c r="CH197" s="36" t="s">
        <v>222</v>
      </c>
      <c r="CI197" t="s">
        <v>226</v>
      </c>
      <c r="CJ197"/>
      <c r="CK197" s="36" t="s">
        <v>236</v>
      </c>
      <c r="CL197"/>
      <c r="CM197"/>
      <c r="CN197" s="36" t="s">
        <v>242</v>
      </c>
      <c r="CO197" s="36" t="s">
        <v>134</v>
      </c>
      <c r="CP197" s="36">
        <v>4</v>
      </c>
      <c r="CQ197" s="36">
        <v>5</v>
      </c>
      <c r="CR197" s="36" t="s">
        <v>248</v>
      </c>
      <c r="CS197" s="36">
        <v>3</v>
      </c>
      <c r="CT197" s="36">
        <v>2</v>
      </c>
      <c r="CU197" s="36">
        <v>5</v>
      </c>
      <c r="CV197" s="36">
        <v>4</v>
      </c>
      <c r="CW197" s="36">
        <v>4</v>
      </c>
      <c r="CX197" s="36">
        <v>5</v>
      </c>
      <c r="CY197" s="36">
        <v>5</v>
      </c>
      <c r="CZ197" s="36">
        <v>5</v>
      </c>
      <c r="DA197" s="36">
        <v>5</v>
      </c>
      <c r="DB197" s="36">
        <v>5</v>
      </c>
      <c r="DC197" s="36">
        <v>5</v>
      </c>
      <c r="DD197" s="36">
        <v>5</v>
      </c>
      <c r="DE197" s="36">
        <v>5</v>
      </c>
      <c r="DF197" s="36">
        <v>3</v>
      </c>
      <c r="DG197" s="36">
        <v>5</v>
      </c>
      <c r="DH197" s="36">
        <v>4</v>
      </c>
      <c r="DI197" s="36" t="s">
        <v>133</v>
      </c>
      <c r="DJ197" s="36" t="s">
        <v>133</v>
      </c>
      <c r="DK197" s="36" t="s">
        <v>255</v>
      </c>
      <c r="DL197"/>
      <c r="DM197"/>
      <c r="DN197"/>
      <c r="DO197"/>
      <c r="DP197"/>
      <c r="DQ197" s="36">
        <v>5</v>
      </c>
      <c r="DR197" s="36" t="s">
        <v>133</v>
      </c>
      <c r="DS197" s="36" t="s">
        <v>258</v>
      </c>
      <c r="DT197"/>
      <c r="DU197"/>
      <c r="DV197"/>
      <c r="DW197"/>
      <c r="DX197"/>
      <c r="DY197" s="36">
        <v>5</v>
      </c>
      <c r="DZ197" s="36" t="s">
        <v>133</v>
      </c>
      <c r="EA197" s="36">
        <v>5</v>
      </c>
      <c r="EB197" s="36" t="s">
        <v>263</v>
      </c>
      <c r="EC197" s="36" t="s">
        <v>267</v>
      </c>
      <c r="ED197" s="36">
        <v>49</v>
      </c>
      <c r="EE197" s="36" t="s">
        <v>292</v>
      </c>
      <c r="EF197" s="36" t="str">
        <f>Tabulacao!MC197</f>
        <v>Aracaju</v>
      </c>
      <c r="EG197" s="36" t="s">
        <v>292</v>
      </c>
      <c r="EH197" s="36" t="str">
        <f>Tabulacao!MG197</f>
        <v>Aracaju</v>
      </c>
      <c r="EI197" s="36" t="s">
        <v>292</v>
      </c>
      <c r="EJ197" s="36" t="str">
        <f>Tabulacao!MK197</f>
        <v>Aracaju</v>
      </c>
      <c r="EK197" s="36" t="s">
        <v>134</v>
      </c>
      <c r="EL197" s="36" t="s">
        <v>134</v>
      </c>
      <c r="EM197" s="36" t="s">
        <v>134</v>
      </c>
      <c r="EN197" s="36" t="s">
        <v>134</v>
      </c>
      <c r="EO197" s="36" t="s">
        <v>134</v>
      </c>
      <c r="EP197" s="36" t="s">
        <v>134</v>
      </c>
      <c r="EQ197" s="36" t="s">
        <v>272</v>
      </c>
      <c r="ER197" s="36" t="str">
        <f>IF(OR(EQ197=CaractAmostra!$BD$9,EQ197=CaractAmostra!$BD$10,EQ197=CaractAmostra!$BD$11,EQ197=CaractAmostra!$BD$12,EQ197=CaractAmostra!$BD$13),Respostas_Formatadas!EQ197,"Outros")</f>
        <v>Morava sozinho</v>
      </c>
      <c r="ES197" s="36" t="s">
        <v>277</v>
      </c>
      <c r="ET197" s="36" t="str">
        <f>IF(OR(ES197=CaractAmostra!$BH$9,ES197=CaractAmostra!$BH$10,ES197=CaractAmostra!$BH$11,ES197=CaractAmostra!$BH$12),Respostas_Formatadas!ES197,"Outros")</f>
        <v>Sozinho</v>
      </c>
      <c r="EU197" s="36" t="s">
        <v>134</v>
      </c>
      <c r="EV197" s="36" t="s">
        <v>282</v>
      </c>
      <c r="EW197" s="36" t="s">
        <v>282</v>
      </c>
      <c r="FE197" s="47">
        <v>2017</v>
      </c>
      <c r="FF197" s="97">
        <v>6.4977999999999998</v>
      </c>
      <c r="FG197" s="47">
        <v>2017</v>
      </c>
      <c r="FH197" s="47">
        <f t="shared" si="7"/>
        <v>0</v>
      </c>
      <c r="FI197" s="47" t="str">
        <f t="shared" si="8"/>
        <v>Aracaju</v>
      </c>
      <c r="FJ197" s="47" t="str">
        <f t="shared" si="9"/>
        <v>Tecnologia</v>
      </c>
    </row>
    <row r="198" spans="1:166" s="36" customFormat="1" ht="15.75" customHeight="1" x14ac:dyDescent="0.2">
      <c r="A198" s="38">
        <v>43424.393346469908</v>
      </c>
      <c r="B198" s="41"/>
      <c r="C198" s="36" t="s">
        <v>124</v>
      </c>
      <c r="D198" s="47" t="s">
        <v>133</v>
      </c>
      <c r="E198" s="36" t="s">
        <v>135</v>
      </c>
      <c r="H198" s="36" t="s">
        <v>141</v>
      </c>
      <c r="M198" s="36" t="s">
        <v>148</v>
      </c>
      <c r="N198" s="36" t="s">
        <v>134</v>
      </c>
      <c r="O198" s="36" t="s">
        <v>134</v>
      </c>
      <c r="P198" s="36" t="s">
        <v>133</v>
      </c>
      <c r="Q198" s="36" t="s">
        <v>133</v>
      </c>
      <c r="R198" s="36" t="s">
        <v>151</v>
      </c>
      <c r="Y198" s="36" t="s">
        <v>165</v>
      </c>
      <c r="Z198" s="36" t="s">
        <v>168</v>
      </c>
      <c r="AA198" s="36" t="s">
        <v>172</v>
      </c>
      <c r="AB198" s="36" t="s">
        <v>184</v>
      </c>
      <c r="AD198" s="36" t="s">
        <v>530</v>
      </c>
      <c r="AE198" s="36">
        <v>3</v>
      </c>
      <c r="AF198" s="36" t="s">
        <v>776</v>
      </c>
      <c r="AG198" s="36" t="s">
        <v>189</v>
      </c>
      <c r="AH198" s="36" t="s">
        <v>134</v>
      </c>
      <c r="AI198" s="40"/>
      <c r="AJ198" s="36">
        <v>3</v>
      </c>
      <c r="AK198" s="36">
        <v>2</v>
      </c>
      <c r="AL198" s="36" t="s">
        <v>134</v>
      </c>
      <c r="AM198" s="36" t="s">
        <v>168</v>
      </c>
      <c r="AN198" s="36">
        <v>1</v>
      </c>
      <c r="AO198" s="36" t="s">
        <v>133</v>
      </c>
      <c r="AP198" s="36" t="s">
        <v>530</v>
      </c>
      <c r="AQ198" s="40"/>
      <c r="AR198" s="36">
        <v>3</v>
      </c>
      <c r="AS198" s="36">
        <v>3</v>
      </c>
      <c r="AT198" s="36">
        <v>3</v>
      </c>
      <c r="AU198" s="36">
        <v>3</v>
      </c>
      <c r="AV198" s="36">
        <v>3</v>
      </c>
      <c r="AW198" s="36" t="s">
        <v>192</v>
      </c>
      <c r="AX198" s="36" t="s">
        <v>204</v>
      </c>
      <c r="AY198" s="36" t="s">
        <v>208</v>
      </c>
      <c r="AZ198" s="36" t="s">
        <v>133</v>
      </c>
      <c r="BA198" s="36" t="s">
        <v>170</v>
      </c>
      <c r="BB198" s="36" t="s">
        <v>292</v>
      </c>
      <c r="BC198" s="36" t="s">
        <v>292</v>
      </c>
      <c r="BD198" s="36" t="s">
        <v>190</v>
      </c>
      <c r="BG198" s="36">
        <v>4</v>
      </c>
      <c r="BH198" s="36">
        <v>3</v>
      </c>
      <c r="BI198" s="36">
        <v>4</v>
      </c>
      <c r="BJ198" s="36">
        <v>2</v>
      </c>
      <c r="BK198" s="36">
        <v>3</v>
      </c>
      <c r="BL198" s="36">
        <v>4</v>
      </c>
      <c r="BM198" s="36">
        <v>4</v>
      </c>
      <c r="BN198" s="36">
        <v>4</v>
      </c>
      <c r="BO198" s="36">
        <v>3</v>
      </c>
      <c r="BP198" s="36">
        <v>4</v>
      </c>
      <c r="BQ198" s="36">
        <v>4</v>
      </c>
      <c r="BR198" s="36">
        <v>4</v>
      </c>
      <c r="BS198" s="36">
        <v>2</v>
      </c>
      <c r="BT198" s="36">
        <v>4</v>
      </c>
      <c r="BU198" s="36">
        <v>3</v>
      </c>
      <c r="BV198" s="36">
        <v>4</v>
      </c>
      <c r="BW198" s="36">
        <v>4</v>
      </c>
      <c r="BX198" s="36">
        <v>4</v>
      </c>
      <c r="BY198" s="36">
        <v>4</v>
      </c>
      <c r="BZ198" s="36">
        <v>4</v>
      </c>
      <c r="CA198" s="36">
        <v>4</v>
      </c>
      <c r="CB198" s="36">
        <v>4</v>
      </c>
      <c r="CC198" s="36">
        <v>4</v>
      </c>
      <c r="CD198" s="36">
        <v>4</v>
      </c>
      <c r="CE198" s="36">
        <v>4</v>
      </c>
      <c r="CF198" s="36">
        <v>4</v>
      </c>
      <c r="CG198" s="36">
        <v>2</v>
      </c>
      <c r="CH198" s="36" t="s">
        <v>222</v>
      </c>
      <c r="CI198"/>
      <c r="CJ198"/>
      <c r="CK198" s="36" t="s">
        <v>777</v>
      </c>
      <c r="CL198"/>
      <c r="CM198"/>
      <c r="CN198" s="36" t="s">
        <v>242</v>
      </c>
      <c r="CO198" s="36" t="s">
        <v>134</v>
      </c>
      <c r="CP198" s="36">
        <v>2</v>
      </c>
      <c r="CQ198" s="36">
        <v>5</v>
      </c>
      <c r="CR198" s="36" t="s">
        <v>248</v>
      </c>
      <c r="CS198" s="36">
        <v>4</v>
      </c>
      <c r="CT198" s="36">
        <v>4</v>
      </c>
      <c r="CU198" s="36">
        <v>2</v>
      </c>
      <c r="CV198" s="36">
        <v>1</v>
      </c>
      <c r="CW198" s="36">
        <v>2</v>
      </c>
      <c r="CX198" s="36">
        <v>4</v>
      </c>
      <c r="CY198" s="36">
        <v>4</v>
      </c>
      <c r="CZ198" s="36">
        <v>4</v>
      </c>
      <c r="DA198" s="36">
        <v>1</v>
      </c>
      <c r="DB198" s="36">
        <v>4</v>
      </c>
      <c r="DC198" s="36">
        <v>4</v>
      </c>
      <c r="DD198" s="36">
        <v>3</v>
      </c>
      <c r="DE198" s="36">
        <v>4</v>
      </c>
      <c r="DF198" s="36">
        <v>3</v>
      </c>
      <c r="DG198" s="36">
        <v>3</v>
      </c>
      <c r="DH198" s="36">
        <v>3</v>
      </c>
      <c r="DI198" s="36" t="s">
        <v>133</v>
      </c>
      <c r="DJ198" s="36" t="s">
        <v>134</v>
      </c>
      <c r="DL198"/>
      <c r="DM198"/>
      <c r="DN198"/>
      <c r="DO198"/>
      <c r="DP198"/>
      <c r="DR198" s="36" t="s">
        <v>134</v>
      </c>
      <c r="DT198"/>
      <c r="DU198"/>
      <c r="DV198"/>
      <c r="DW198"/>
      <c r="DX198"/>
      <c r="DZ198" s="36" t="s">
        <v>134</v>
      </c>
      <c r="EB198" s="36" t="s">
        <v>263</v>
      </c>
      <c r="EC198" s="36" t="s">
        <v>267</v>
      </c>
      <c r="ED198" s="36">
        <v>31</v>
      </c>
      <c r="EE198" s="36" t="s">
        <v>458</v>
      </c>
      <c r="EF198" s="36" t="str">
        <f>Tabulacao!MC198</f>
        <v>Aracaju</v>
      </c>
      <c r="EG198" s="36" t="s">
        <v>292</v>
      </c>
      <c r="EH198" s="36" t="str">
        <f>Tabulacao!MG198</f>
        <v>Aracaju</v>
      </c>
      <c r="EI198" s="36" t="s">
        <v>778</v>
      </c>
      <c r="EJ198" s="36" t="str">
        <f>Tabulacao!MK198</f>
        <v>Barra dos Coqueiros</v>
      </c>
      <c r="EK198" s="36" t="s">
        <v>134</v>
      </c>
      <c r="EL198" s="36" t="s">
        <v>134</v>
      </c>
      <c r="EM198" s="36" t="s">
        <v>134</v>
      </c>
      <c r="EN198" s="36" t="s">
        <v>134</v>
      </c>
      <c r="EO198" s="36" t="s">
        <v>134</v>
      </c>
      <c r="EP198" s="36" t="s">
        <v>134</v>
      </c>
      <c r="EQ198" s="36" t="s">
        <v>275</v>
      </c>
      <c r="ER198" s="36" t="str">
        <f>IF(OR(EQ198=CaractAmostra!$BD$9,EQ198=CaractAmostra!$BD$10,EQ198=CaractAmostra!$BD$11,EQ198=CaractAmostra!$BD$12,EQ198=CaractAmostra!$BD$13),Respostas_Formatadas!EQ198,"Outros")</f>
        <v>Com os pais</v>
      </c>
      <c r="ES198" s="36" t="s">
        <v>274</v>
      </c>
      <c r="ET198" s="36" t="str">
        <f>IF(OR(ES198=CaractAmostra!$BH$9,ES198=CaractAmostra!$BH$10,ES198=CaractAmostra!$BH$11,ES198=CaractAmostra!$BH$12),Respostas_Formatadas!ES198,"Outros")</f>
        <v>Com um(a) parceiro(a)</v>
      </c>
      <c r="EU198" s="36" t="s">
        <v>280</v>
      </c>
      <c r="EV198" s="36" t="s">
        <v>192</v>
      </c>
      <c r="EW198" s="36" t="s">
        <v>192</v>
      </c>
      <c r="FE198" s="47">
        <v>2010</v>
      </c>
      <c r="FF198" s="97" t="s">
        <v>933</v>
      </c>
      <c r="FG198" s="47" t="s">
        <v>933</v>
      </c>
      <c r="FH198" s="47" t="e">
        <f t="shared" si="7"/>
        <v>#VALUE!</v>
      </c>
      <c r="FI198" s="47" t="str">
        <f t="shared" si="8"/>
        <v>Aracaju</v>
      </c>
      <c r="FJ198" s="47" t="str">
        <f t="shared" si="9"/>
        <v>Tecnologia</v>
      </c>
    </row>
    <row r="199" spans="1:166" s="36" customFormat="1" ht="15.75" customHeight="1" x14ac:dyDescent="0.2">
      <c r="A199" s="38">
        <v>43424.447319583334</v>
      </c>
      <c r="B199" s="41"/>
      <c r="C199" s="36" t="s">
        <v>122</v>
      </c>
      <c r="D199" s="47" t="s">
        <v>134</v>
      </c>
      <c r="M199" s="36" t="s">
        <v>146</v>
      </c>
      <c r="N199" s="36" t="s">
        <v>134</v>
      </c>
      <c r="O199" s="36" t="s">
        <v>133</v>
      </c>
      <c r="P199" s="36" t="s">
        <v>133</v>
      </c>
      <c r="Q199" s="36" t="s">
        <v>133</v>
      </c>
      <c r="R199" s="36" t="s">
        <v>152</v>
      </c>
      <c r="S199" s="36" t="s">
        <v>725</v>
      </c>
      <c r="T199" s="36" t="s">
        <v>154</v>
      </c>
      <c r="U199" s="36" t="s">
        <v>156</v>
      </c>
      <c r="V199" s="36">
        <v>1</v>
      </c>
      <c r="W199" s="36">
        <v>5</v>
      </c>
      <c r="X199" s="36">
        <v>3</v>
      </c>
      <c r="Y199" s="36" t="s">
        <v>165</v>
      </c>
      <c r="Z199" s="36" t="s">
        <v>167</v>
      </c>
      <c r="AA199" s="36" t="s">
        <v>171</v>
      </c>
      <c r="AB199" s="36" t="s">
        <v>178</v>
      </c>
      <c r="AD199" s="36" t="s">
        <v>388</v>
      </c>
      <c r="AE199" s="36">
        <v>5</v>
      </c>
      <c r="AF199" s="36" t="s">
        <v>189</v>
      </c>
      <c r="AG199" s="36" t="s">
        <v>189</v>
      </c>
      <c r="AH199" s="36" t="s">
        <v>134</v>
      </c>
      <c r="AI199" s="40">
        <v>1700</v>
      </c>
      <c r="AJ199" s="36">
        <v>5</v>
      </c>
      <c r="AK199" s="36">
        <v>4</v>
      </c>
      <c r="AL199" s="36" t="s">
        <v>134</v>
      </c>
      <c r="AM199" s="36" t="s">
        <v>169</v>
      </c>
      <c r="AN199" s="36">
        <v>2</v>
      </c>
      <c r="AO199" s="36" t="s">
        <v>133</v>
      </c>
      <c r="AP199" s="36" t="s">
        <v>779</v>
      </c>
      <c r="AQ199" s="40">
        <v>1200</v>
      </c>
      <c r="AR199" s="36">
        <v>5</v>
      </c>
      <c r="AS199" s="36">
        <v>5</v>
      </c>
      <c r="AT199" s="36">
        <v>5</v>
      </c>
      <c r="AU199" s="36">
        <v>4</v>
      </c>
      <c r="AV199" s="36">
        <v>4</v>
      </c>
      <c r="AW199" s="36" t="s">
        <v>192</v>
      </c>
      <c r="AX199" s="36" t="s">
        <v>203</v>
      </c>
      <c r="AY199" s="36" t="s">
        <v>211</v>
      </c>
      <c r="BG199" s="36">
        <v>4</v>
      </c>
      <c r="BH199" s="36">
        <v>1</v>
      </c>
      <c r="BI199" s="36">
        <v>5</v>
      </c>
      <c r="BJ199" s="36">
        <v>2</v>
      </c>
      <c r="BK199" s="36">
        <v>2</v>
      </c>
      <c r="BL199" s="36">
        <v>5</v>
      </c>
      <c r="BM199" s="36">
        <v>5</v>
      </c>
      <c r="BN199" s="36">
        <v>1</v>
      </c>
      <c r="BO199" s="36">
        <v>2</v>
      </c>
      <c r="BP199" s="36">
        <v>3</v>
      </c>
      <c r="BQ199" s="36">
        <v>1</v>
      </c>
      <c r="BR199" s="36">
        <v>1</v>
      </c>
      <c r="BS199" s="36">
        <v>1</v>
      </c>
      <c r="BT199" s="36">
        <v>5</v>
      </c>
      <c r="BU199" s="36">
        <v>4</v>
      </c>
      <c r="BV199" s="36">
        <v>5</v>
      </c>
      <c r="BW199" s="36">
        <v>1</v>
      </c>
      <c r="BX199" s="36">
        <v>3</v>
      </c>
      <c r="BY199" s="36">
        <v>2</v>
      </c>
      <c r="BZ199" s="36">
        <v>5</v>
      </c>
      <c r="CA199" s="36">
        <v>1</v>
      </c>
      <c r="CB199" s="36">
        <v>3</v>
      </c>
      <c r="CC199" s="36">
        <v>3</v>
      </c>
      <c r="CD199" s="36">
        <v>1</v>
      </c>
      <c r="CE199" s="36">
        <v>1</v>
      </c>
      <c r="CF199" s="36">
        <v>1</v>
      </c>
      <c r="CG199" s="36">
        <v>4</v>
      </c>
      <c r="CH199" s="36" t="s">
        <v>224</v>
      </c>
      <c r="CI199" t="s">
        <v>226</v>
      </c>
      <c r="CJ199" t="s">
        <v>229</v>
      </c>
      <c r="CK199" s="36" t="s">
        <v>232</v>
      </c>
      <c r="CL199"/>
      <c r="CM199"/>
      <c r="CN199" s="36" t="s">
        <v>241</v>
      </c>
      <c r="CO199" s="36" t="s">
        <v>134</v>
      </c>
      <c r="CP199" s="36">
        <v>5</v>
      </c>
      <c r="CQ199" s="36">
        <v>3</v>
      </c>
      <c r="CR199" s="36" t="s">
        <v>249</v>
      </c>
      <c r="CS199" s="36">
        <v>5</v>
      </c>
      <c r="CT199" s="36">
        <v>1</v>
      </c>
      <c r="CU199" s="36">
        <v>5</v>
      </c>
      <c r="CV199" s="36">
        <v>5</v>
      </c>
      <c r="CW199" s="36">
        <v>4</v>
      </c>
      <c r="CX199" s="36">
        <v>5</v>
      </c>
      <c r="CY199" s="36">
        <v>5</v>
      </c>
      <c r="CZ199" s="36">
        <v>5</v>
      </c>
      <c r="DA199" s="36">
        <v>5</v>
      </c>
      <c r="DB199" s="36">
        <v>5</v>
      </c>
      <c r="DC199" s="36">
        <v>5</v>
      </c>
      <c r="DD199" s="36">
        <v>4</v>
      </c>
      <c r="DE199" s="36">
        <v>4</v>
      </c>
      <c r="DF199" s="36">
        <v>4</v>
      </c>
      <c r="DG199" s="36">
        <v>4</v>
      </c>
      <c r="DH199" s="36">
        <v>3</v>
      </c>
      <c r="DI199" s="36" t="s">
        <v>250</v>
      </c>
      <c r="DJ199" s="36" t="s">
        <v>133</v>
      </c>
      <c r="DK199" s="36" t="s">
        <v>254</v>
      </c>
      <c r="DL199" t="s">
        <v>255</v>
      </c>
      <c r="DM199"/>
      <c r="DN199"/>
      <c r="DO199" t="s">
        <v>256</v>
      </c>
      <c r="DP199" t="s">
        <v>257</v>
      </c>
      <c r="DQ199" s="36">
        <v>5</v>
      </c>
      <c r="DR199" s="36" t="s">
        <v>133</v>
      </c>
      <c r="DS199" s="36" t="s">
        <v>259</v>
      </c>
      <c r="DT199"/>
      <c r="DU199"/>
      <c r="DV199"/>
      <c r="DW199"/>
      <c r="DX199"/>
      <c r="DY199" s="36">
        <v>5</v>
      </c>
      <c r="DZ199" s="36" t="s">
        <v>134</v>
      </c>
      <c r="EB199" s="36" t="s">
        <v>262</v>
      </c>
      <c r="EC199" s="36" t="s">
        <v>267</v>
      </c>
      <c r="ED199" s="36">
        <v>27</v>
      </c>
      <c r="EE199" s="36" t="s">
        <v>780</v>
      </c>
      <c r="EF199" s="36" t="str">
        <f>Tabulacao!MC199</f>
        <v>São Gonçalo - RJ</v>
      </c>
      <c r="EG199" s="36" t="s">
        <v>292</v>
      </c>
      <c r="EH199" s="36" t="str">
        <f>Tabulacao!MG199</f>
        <v>Aracaju</v>
      </c>
      <c r="EI199" s="36" t="s">
        <v>781</v>
      </c>
      <c r="EJ199" s="36" t="str">
        <f>Tabulacao!MK199</f>
        <v>Estância</v>
      </c>
      <c r="EK199" s="36" t="s">
        <v>134</v>
      </c>
      <c r="EL199" s="36" t="s">
        <v>134</v>
      </c>
      <c r="EM199" s="36" t="s">
        <v>134</v>
      </c>
      <c r="EN199" s="36" t="s">
        <v>134</v>
      </c>
      <c r="EO199" s="36" t="s">
        <v>134</v>
      </c>
      <c r="EP199" s="36" t="s">
        <v>134</v>
      </c>
      <c r="EQ199" s="36" t="s">
        <v>272</v>
      </c>
      <c r="ER199" s="36" t="str">
        <f>IF(OR(EQ199=CaractAmostra!$BD$9,EQ199=CaractAmostra!$BD$10,EQ199=CaractAmostra!$BD$11,EQ199=CaractAmostra!$BD$12,EQ199=CaractAmostra!$BD$13),Respostas_Formatadas!EQ199,"Outros")</f>
        <v>Morava sozinho</v>
      </c>
      <c r="ES199" s="36" t="s">
        <v>277</v>
      </c>
      <c r="ET199" s="36" t="str">
        <f>IF(OR(ES199=CaractAmostra!$BH$9,ES199=CaractAmostra!$BH$10,ES199=CaractAmostra!$BH$11,ES199=CaractAmostra!$BH$12),Respostas_Formatadas!ES199,"Outros")</f>
        <v>Sozinho</v>
      </c>
      <c r="EU199" s="36" t="s">
        <v>134</v>
      </c>
      <c r="EV199" s="36" t="s">
        <v>283</v>
      </c>
      <c r="EW199" s="36" t="s">
        <v>283</v>
      </c>
      <c r="FE199" s="47">
        <v>2015</v>
      </c>
      <c r="FF199" s="97">
        <v>7.4435000000000002</v>
      </c>
      <c r="FG199" s="47">
        <v>2015</v>
      </c>
      <c r="FH199" s="47">
        <f t="shared" si="7"/>
        <v>0</v>
      </c>
      <c r="FI199" s="47" t="str">
        <f t="shared" si="8"/>
        <v>Aracaju</v>
      </c>
      <c r="FJ199" s="47" t="str">
        <f t="shared" si="9"/>
        <v>Licenciatura</v>
      </c>
    </row>
    <row r="200" spans="1:166" s="36" customFormat="1" ht="15.75" customHeight="1" x14ac:dyDescent="0.2">
      <c r="A200" s="38">
        <v>43424.448894143519</v>
      </c>
      <c r="B200" s="41"/>
      <c r="C200" s="36" t="s">
        <v>119</v>
      </c>
      <c r="D200" s="47" t="s">
        <v>133</v>
      </c>
      <c r="E200" s="36" t="s">
        <v>138</v>
      </c>
      <c r="H200" s="36" t="s">
        <v>142</v>
      </c>
      <c r="I200" s="36" t="s">
        <v>143</v>
      </c>
      <c r="J200" s="36" t="s">
        <v>144</v>
      </c>
      <c r="M200" s="36" t="s">
        <v>147</v>
      </c>
      <c r="N200" s="36" t="s">
        <v>133</v>
      </c>
      <c r="O200" s="36" t="s">
        <v>133</v>
      </c>
      <c r="P200" s="36" t="s">
        <v>134</v>
      </c>
      <c r="Q200" s="36" t="s">
        <v>134</v>
      </c>
      <c r="R200" s="36" t="s">
        <v>151</v>
      </c>
      <c r="Y200" s="36" t="s">
        <v>165</v>
      </c>
      <c r="Z200" s="36" t="s">
        <v>168</v>
      </c>
      <c r="AA200" s="36" t="s">
        <v>173</v>
      </c>
      <c r="AB200" s="36" t="s">
        <v>181</v>
      </c>
      <c r="AD200" s="36" t="s">
        <v>584</v>
      </c>
      <c r="AE200" s="36">
        <v>5</v>
      </c>
      <c r="AF200" s="36" t="s">
        <v>782</v>
      </c>
      <c r="AG200" s="36" t="s">
        <v>187</v>
      </c>
      <c r="AH200" s="36" t="s">
        <v>134</v>
      </c>
      <c r="AI200" s="40">
        <v>2000</v>
      </c>
      <c r="AJ200" s="36">
        <v>4</v>
      </c>
      <c r="AK200" s="36">
        <v>5</v>
      </c>
      <c r="AL200" s="36" t="s">
        <v>133</v>
      </c>
      <c r="AP200" s="36" t="s">
        <v>783</v>
      </c>
      <c r="AQ200" s="40">
        <v>2000</v>
      </c>
      <c r="AR200" s="36">
        <v>3</v>
      </c>
      <c r="AS200" s="36">
        <v>5</v>
      </c>
      <c r="AT200" s="36">
        <v>5</v>
      </c>
      <c r="AU200" s="36">
        <v>3</v>
      </c>
      <c r="AV200" s="36">
        <v>5</v>
      </c>
      <c r="AW200" s="36" t="s">
        <v>192</v>
      </c>
      <c r="AX200" s="36" t="s">
        <v>203</v>
      </c>
      <c r="AY200" s="36" t="s">
        <v>209</v>
      </c>
      <c r="AZ200" s="36" t="s">
        <v>134</v>
      </c>
      <c r="BA200" s="36" t="s">
        <v>213</v>
      </c>
      <c r="BB200" s="36" t="s">
        <v>292</v>
      </c>
      <c r="BC200" s="36" t="s">
        <v>292</v>
      </c>
      <c r="BD200" s="36" t="s">
        <v>187</v>
      </c>
      <c r="BE200" s="36" t="s">
        <v>215</v>
      </c>
      <c r="BG200" s="36">
        <v>4</v>
      </c>
      <c r="BH200" s="36">
        <v>3</v>
      </c>
      <c r="BI200" s="36">
        <v>5</v>
      </c>
      <c r="BJ200" s="36">
        <v>3</v>
      </c>
      <c r="BK200" s="36">
        <v>4</v>
      </c>
      <c r="BL200" s="36">
        <v>5</v>
      </c>
      <c r="BM200" s="36">
        <v>5</v>
      </c>
      <c r="BN200" s="36">
        <v>5</v>
      </c>
      <c r="BO200" s="36">
        <v>5</v>
      </c>
      <c r="BP200" s="36">
        <v>3</v>
      </c>
      <c r="BQ200" s="36">
        <v>3</v>
      </c>
      <c r="BR200" s="36">
        <v>4</v>
      </c>
      <c r="BS200" s="36">
        <v>1</v>
      </c>
      <c r="BT200" s="36">
        <v>4</v>
      </c>
      <c r="BU200" s="36">
        <v>4</v>
      </c>
      <c r="BV200" s="36">
        <v>3</v>
      </c>
      <c r="BW200" s="36">
        <v>3</v>
      </c>
      <c r="BX200" s="36">
        <v>3</v>
      </c>
      <c r="BY200" s="36">
        <v>4</v>
      </c>
      <c r="BZ200" s="36">
        <v>4</v>
      </c>
      <c r="CA200" s="36">
        <v>5</v>
      </c>
      <c r="CB200" s="36">
        <v>4</v>
      </c>
      <c r="CC200" s="36">
        <v>3</v>
      </c>
      <c r="CD200" s="36">
        <v>4</v>
      </c>
      <c r="CE200" s="36">
        <v>3</v>
      </c>
      <c r="CF200" s="36">
        <v>3</v>
      </c>
      <c r="CG200" s="36">
        <v>3</v>
      </c>
      <c r="CH200" s="36" t="s">
        <v>222</v>
      </c>
      <c r="CI200" t="s">
        <v>225</v>
      </c>
      <c r="CJ200" t="s">
        <v>229</v>
      </c>
      <c r="CK200" s="36" t="s">
        <v>233</v>
      </c>
      <c r="CL200" t="s">
        <v>234</v>
      </c>
      <c r="CM200"/>
      <c r="CN200" s="36" t="s">
        <v>241</v>
      </c>
      <c r="CO200" s="36" t="s">
        <v>134</v>
      </c>
      <c r="CP200" s="36">
        <v>3</v>
      </c>
      <c r="CQ200" s="36">
        <v>4</v>
      </c>
      <c r="CR200" s="36" t="s">
        <v>248</v>
      </c>
      <c r="CS200" s="36">
        <v>3</v>
      </c>
      <c r="CT200" s="36">
        <v>4</v>
      </c>
      <c r="CU200" s="36">
        <v>4</v>
      </c>
      <c r="CV200" s="36">
        <v>2</v>
      </c>
      <c r="CW200" s="36">
        <v>3</v>
      </c>
      <c r="CX200" s="36">
        <v>4</v>
      </c>
      <c r="CY200" s="36">
        <v>4</v>
      </c>
      <c r="CZ200" s="36">
        <v>3</v>
      </c>
      <c r="DA200" s="36">
        <v>2</v>
      </c>
      <c r="DB200" s="36">
        <v>2</v>
      </c>
      <c r="DC200" s="36">
        <v>2</v>
      </c>
      <c r="DD200" s="36">
        <v>5</v>
      </c>
      <c r="DE200" s="36">
        <v>5</v>
      </c>
      <c r="DF200" s="36">
        <v>5</v>
      </c>
      <c r="DG200" s="36">
        <v>5</v>
      </c>
      <c r="DH200" s="36">
        <v>5</v>
      </c>
      <c r="DI200" s="36" t="s">
        <v>133</v>
      </c>
      <c r="DJ200" s="36" t="s">
        <v>133</v>
      </c>
      <c r="DK200" s="36" t="s">
        <v>254</v>
      </c>
      <c r="DL200" t="s">
        <v>257</v>
      </c>
      <c r="DM200"/>
      <c r="DN200"/>
      <c r="DO200"/>
      <c r="DP200"/>
      <c r="DQ200" s="36">
        <v>5</v>
      </c>
      <c r="DR200" s="36" t="s">
        <v>134</v>
      </c>
      <c r="DT200"/>
      <c r="DU200"/>
      <c r="DV200"/>
      <c r="DW200"/>
      <c r="DX200"/>
      <c r="DZ200" s="36" t="s">
        <v>133</v>
      </c>
      <c r="EA200" s="36">
        <v>5</v>
      </c>
      <c r="EB200" s="36" t="s">
        <v>262</v>
      </c>
      <c r="EC200" s="36" t="s">
        <v>267</v>
      </c>
      <c r="ED200" s="36">
        <v>25</v>
      </c>
      <c r="EE200" s="36" t="s">
        <v>784</v>
      </c>
      <c r="EF200" s="36" t="str">
        <f>Tabulacao!MC200</f>
        <v>Jeremoabo - BA</v>
      </c>
      <c r="EG200" s="36" t="s">
        <v>292</v>
      </c>
      <c r="EH200" s="36" t="str">
        <f>Tabulacao!MG200</f>
        <v>Aracaju</v>
      </c>
      <c r="EI200" s="36" t="s">
        <v>292</v>
      </c>
      <c r="EJ200" s="36" t="str">
        <f>Tabulacao!MK200</f>
        <v>Aracaju</v>
      </c>
      <c r="EK200" s="36" t="s">
        <v>134</v>
      </c>
      <c r="EL200" s="36" t="s">
        <v>134</v>
      </c>
      <c r="EM200" s="36" t="s">
        <v>134</v>
      </c>
      <c r="EN200" s="36" t="s">
        <v>134</v>
      </c>
      <c r="EO200" s="36" t="s">
        <v>134</v>
      </c>
      <c r="EP200" s="36" t="s">
        <v>134</v>
      </c>
      <c r="EQ200" s="36" t="s">
        <v>275</v>
      </c>
      <c r="ER200" s="36" t="str">
        <f>IF(OR(EQ200=CaractAmostra!$BD$9,EQ200=CaractAmostra!$BD$10,EQ200=CaractAmostra!$BD$11,EQ200=CaractAmostra!$BD$12,EQ200=CaractAmostra!$BD$13),Respostas_Formatadas!EQ200,"Outros")</f>
        <v>Com os pais</v>
      </c>
      <c r="ES200" s="36" t="s">
        <v>278</v>
      </c>
      <c r="ET200" s="36" t="str">
        <f>IF(OR(ES200=CaractAmostra!$BH$9,ES200=CaractAmostra!$BH$10,ES200=CaractAmostra!$BH$11,ES200=CaractAmostra!$BH$12),Respostas_Formatadas!ES200,"Outros")</f>
        <v>Divido residência com outras pessoas</v>
      </c>
      <c r="EU200" s="36" t="s">
        <v>134</v>
      </c>
      <c r="EV200" s="36" t="s">
        <v>192</v>
      </c>
      <c r="EW200" s="36" t="s">
        <v>282</v>
      </c>
      <c r="FE200" s="47">
        <v>2017</v>
      </c>
      <c r="FF200" s="97">
        <v>7.6749999999999998</v>
      </c>
      <c r="FG200" s="47">
        <v>2017</v>
      </c>
      <c r="FH200" s="47">
        <f t="shared" si="7"/>
        <v>0</v>
      </c>
      <c r="FI200" s="47" t="str">
        <f t="shared" si="8"/>
        <v>Aracaju</v>
      </c>
      <c r="FJ200" s="47" t="str">
        <f t="shared" si="9"/>
        <v>Bacharelado</v>
      </c>
    </row>
    <row r="201" spans="1:166" s="36" customFormat="1" ht="15.75" customHeight="1" x14ac:dyDescent="0.2">
      <c r="A201" s="38">
        <v>43424.462189918981</v>
      </c>
      <c r="B201" s="41"/>
      <c r="C201" s="36" t="s">
        <v>130</v>
      </c>
      <c r="D201" s="47" t="s">
        <v>134</v>
      </c>
      <c r="M201" s="36" t="s">
        <v>146</v>
      </c>
      <c r="N201" s="36" t="s">
        <v>134</v>
      </c>
      <c r="O201" s="36" t="s">
        <v>134</v>
      </c>
      <c r="P201" s="36" t="s">
        <v>133</v>
      </c>
      <c r="Q201" s="36" t="s">
        <v>133</v>
      </c>
      <c r="R201" s="36" t="s">
        <v>151</v>
      </c>
      <c r="Y201" s="36" t="s">
        <v>134</v>
      </c>
      <c r="AI201" s="40"/>
      <c r="AQ201" s="40"/>
      <c r="BT201" s="36">
        <v>5</v>
      </c>
      <c r="BU201" s="36">
        <v>4</v>
      </c>
      <c r="BV201" s="36">
        <v>4</v>
      </c>
      <c r="BW201" s="36">
        <v>5</v>
      </c>
      <c r="BX201" s="36">
        <v>5</v>
      </c>
      <c r="BY201" s="36">
        <v>5</v>
      </c>
      <c r="BZ201" s="36">
        <v>5</v>
      </c>
      <c r="CA201" s="36">
        <v>5</v>
      </c>
      <c r="CB201" s="36">
        <v>5</v>
      </c>
      <c r="CC201" s="36">
        <v>5</v>
      </c>
      <c r="CD201" s="36">
        <v>5</v>
      </c>
      <c r="CE201" s="36">
        <v>5</v>
      </c>
      <c r="CF201" s="36">
        <v>3</v>
      </c>
      <c r="CG201" s="36">
        <v>1</v>
      </c>
      <c r="CH201" s="36" t="s">
        <v>222</v>
      </c>
      <c r="CI201" t="s">
        <v>225</v>
      </c>
      <c r="CJ201" t="s">
        <v>230</v>
      </c>
      <c r="CK201" s="36" t="s">
        <v>233</v>
      </c>
      <c r="CL201" t="s">
        <v>234</v>
      </c>
      <c r="CM201"/>
      <c r="CN201" s="36" t="s">
        <v>241</v>
      </c>
      <c r="CO201" s="36" t="s">
        <v>134</v>
      </c>
      <c r="CP201" s="36">
        <v>1</v>
      </c>
      <c r="CQ201" s="36">
        <v>5</v>
      </c>
      <c r="CR201" s="36" t="s">
        <v>249</v>
      </c>
      <c r="CS201" s="36">
        <v>3</v>
      </c>
      <c r="CT201" s="36">
        <v>3</v>
      </c>
      <c r="CU201" s="36">
        <v>3</v>
      </c>
      <c r="CV201" s="36">
        <v>1</v>
      </c>
      <c r="CW201" s="36">
        <v>3</v>
      </c>
      <c r="CX201" s="36">
        <v>3</v>
      </c>
      <c r="CY201" s="36">
        <v>4</v>
      </c>
      <c r="CZ201" s="36">
        <v>4</v>
      </c>
      <c r="DA201" s="36">
        <v>1</v>
      </c>
      <c r="DB201" s="36">
        <v>4</v>
      </c>
      <c r="DC201" s="36">
        <v>3</v>
      </c>
      <c r="DD201" s="36">
        <v>2</v>
      </c>
      <c r="DE201" s="36">
        <v>2</v>
      </c>
      <c r="DF201" s="36">
        <v>2</v>
      </c>
      <c r="DG201" s="36">
        <v>5</v>
      </c>
      <c r="DH201" s="36">
        <v>5</v>
      </c>
      <c r="DI201" s="36" t="s">
        <v>250</v>
      </c>
      <c r="DJ201" s="36" t="s">
        <v>133</v>
      </c>
      <c r="DK201" s="36" t="s">
        <v>255</v>
      </c>
      <c r="DL201"/>
      <c r="DM201"/>
      <c r="DN201"/>
      <c r="DO201"/>
      <c r="DP201"/>
      <c r="DQ201" s="36">
        <v>5</v>
      </c>
      <c r="DR201" s="36" t="s">
        <v>134</v>
      </c>
      <c r="DT201"/>
      <c r="DU201"/>
      <c r="DV201"/>
      <c r="DW201"/>
      <c r="DX201"/>
      <c r="DZ201" s="36" t="s">
        <v>133</v>
      </c>
      <c r="EA201" s="36">
        <v>5</v>
      </c>
      <c r="EB201" s="36" t="s">
        <v>263</v>
      </c>
      <c r="EC201" s="36" t="s">
        <v>267</v>
      </c>
      <c r="ED201" s="36">
        <v>43</v>
      </c>
      <c r="EE201" s="36" t="s">
        <v>292</v>
      </c>
      <c r="EF201" s="36" t="str">
        <f>Tabulacao!MC201</f>
        <v>Aracaju</v>
      </c>
      <c r="EG201" s="36" t="s">
        <v>292</v>
      </c>
      <c r="EH201" s="36" t="str">
        <f>Tabulacao!MG201</f>
        <v>Aracaju</v>
      </c>
      <c r="EI201" s="36" t="s">
        <v>292</v>
      </c>
      <c r="EJ201" s="36" t="str">
        <f>Tabulacao!MK201</f>
        <v>Aracaju</v>
      </c>
      <c r="EK201" s="36" t="s">
        <v>134</v>
      </c>
      <c r="EL201" s="36" t="s">
        <v>134</v>
      </c>
      <c r="EM201" s="36" t="s">
        <v>134</v>
      </c>
      <c r="EN201" s="36" t="s">
        <v>134</v>
      </c>
      <c r="EO201" s="36" t="s">
        <v>134</v>
      </c>
      <c r="EP201" s="36" t="s">
        <v>134</v>
      </c>
      <c r="EQ201" s="36" t="s">
        <v>274</v>
      </c>
      <c r="ER201" s="36" t="str">
        <f>IF(OR(EQ201=CaractAmostra!$BD$9,EQ201=CaractAmostra!$BD$10,EQ201=CaractAmostra!$BD$11,EQ201=CaractAmostra!$BD$12,EQ201=CaractAmostra!$BD$13),Respostas_Formatadas!EQ201,"Outros")</f>
        <v>Com um(a) parceiro(a)</v>
      </c>
      <c r="ES201" s="36" t="s">
        <v>274</v>
      </c>
      <c r="ET201" s="36" t="str">
        <f>IF(OR(ES201=CaractAmostra!$BH$9,ES201=CaractAmostra!$BH$10,ES201=CaractAmostra!$BH$11,ES201=CaractAmostra!$BH$12),Respostas_Formatadas!ES201,"Outros")</f>
        <v>Com um(a) parceiro(a)</v>
      </c>
      <c r="EU201" s="36" t="s">
        <v>280</v>
      </c>
      <c r="EV201" s="36" t="s">
        <v>282</v>
      </c>
      <c r="EW201" s="36" t="s">
        <v>282</v>
      </c>
      <c r="FE201" s="47">
        <v>2016</v>
      </c>
      <c r="FF201" s="97">
        <v>7.0823999999999998</v>
      </c>
      <c r="FG201" s="47">
        <v>2016</v>
      </c>
      <c r="FH201" s="47">
        <f t="shared" si="7"/>
        <v>0</v>
      </c>
      <c r="FI201" s="47" t="str">
        <f t="shared" si="8"/>
        <v>São Cristóvão</v>
      </c>
      <c r="FJ201" s="47" t="str">
        <f t="shared" si="9"/>
        <v>Tecnologia</v>
      </c>
    </row>
    <row r="202" spans="1:166" s="36" customFormat="1" ht="15.75" customHeight="1" x14ac:dyDescent="0.2">
      <c r="A202" s="38">
        <v>43424.47178320602</v>
      </c>
      <c r="B202" s="41"/>
      <c r="C202" s="36" t="s">
        <v>121</v>
      </c>
      <c r="D202" s="47" t="s">
        <v>134</v>
      </c>
      <c r="M202" s="36" t="s">
        <v>147</v>
      </c>
      <c r="N202" s="36" t="s">
        <v>133</v>
      </c>
      <c r="O202" s="36" t="s">
        <v>133</v>
      </c>
      <c r="P202" s="36" t="s">
        <v>134</v>
      </c>
      <c r="Q202" s="36" t="s">
        <v>134</v>
      </c>
      <c r="R202" s="36" t="s">
        <v>151</v>
      </c>
      <c r="Y202" s="36" t="s">
        <v>134</v>
      </c>
      <c r="AI202" s="40"/>
      <c r="AQ202" s="40"/>
      <c r="BT202" s="36">
        <v>5</v>
      </c>
      <c r="BU202" s="36">
        <v>3</v>
      </c>
      <c r="BV202" s="36">
        <v>5</v>
      </c>
      <c r="BW202" s="36">
        <v>5</v>
      </c>
      <c r="BX202" s="36">
        <v>4</v>
      </c>
      <c r="BY202" s="36">
        <v>5</v>
      </c>
      <c r="BZ202" s="36">
        <v>5</v>
      </c>
      <c r="CA202" s="36">
        <v>4</v>
      </c>
      <c r="CB202" s="36">
        <v>4</v>
      </c>
      <c r="CC202" s="36">
        <v>5</v>
      </c>
      <c r="CD202" s="36">
        <v>4</v>
      </c>
      <c r="CE202" s="36">
        <v>4</v>
      </c>
      <c r="CF202" s="36">
        <v>2</v>
      </c>
      <c r="CG202" s="36">
        <v>5</v>
      </c>
      <c r="CH202" s="36" t="s">
        <v>222</v>
      </c>
      <c r="CI202" t="s">
        <v>225</v>
      </c>
      <c r="CJ202" t="s">
        <v>226</v>
      </c>
      <c r="CK202" s="36" t="s">
        <v>233</v>
      </c>
      <c r="CL202" t="s">
        <v>239</v>
      </c>
      <c r="CM202"/>
      <c r="CN202" s="36" t="s">
        <v>242</v>
      </c>
      <c r="CO202" s="36" t="s">
        <v>133</v>
      </c>
      <c r="CP202" s="36">
        <v>5</v>
      </c>
      <c r="CQ202" s="36">
        <v>5</v>
      </c>
      <c r="CR202" s="36" t="s">
        <v>248</v>
      </c>
      <c r="CS202" s="36">
        <v>4</v>
      </c>
      <c r="CT202" s="36">
        <v>4</v>
      </c>
      <c r="CU202" s="36">
        <v>4</v>
      </c>
      <c r="CV202" s="36">
        <v>5</v>
      </c>
      <c r="CW202" s="36">
        <v>4</v>
      </c>
      <c r="CX202" s="36">
        <v>4</v>
      </c>
      <c r="CY202" s="36">
        <v>4</v>
      </c>
      <c r="CZ202" s="36">
        <v>4</v>
      </c>
      <c r="DA202" s="36">
        <v>3</v>
      </c>
      <c r="DB202" s="36">
        <v>4</v>
      </c>
      <c r="DC202" s="36">
        <v>1</v>
      </c>
      <c r="DD202" s="36">
        <v>5</v>
      </c>
      <c r="DE202" s="36">
        <v>5</v>
      </c>
      <c r="DF202" s="36">
        <v>5</v>
      </c>
      <c r="DG202" s="36">
        <v>5</v>
      </c>
      <c r="DH202" s="36">
        <v>4</v>
      </c>
      <c r="DI202" s="36" t="s">
        <v>133</v>
      </c>
      <c r="DJ202" s="36" t="s">
        <v>134</v>
      </c>
      <c r="DL202"/>
      <c r="DM202"/>
      <c r="DN202"/>
      <c r="DO202"/>
      <c r="DP202"/>
      <c r="DR202" s="36" t="s">
        <v>134</v>
      </c>
      <c r="DT202"/>
      <c r="DU202"/>
      <c r="DV202"/>
      <c r="DW202"/>
      <c r="DX202"/>
      <c r="DZ202" s="36" t="s">
        <v>134</v>
      </c>
      <c r="EB202" s="36" t="s">
        <v>262</v>
      </c>
      <c r="EC202" s="36" t="s">
        <v>265</v>
      </c>
      <c r="ED202" s="36">
        <v>36</v>
      </c>
      <c r="EE202" s="36" t="s">
        <v>785</v>
      </c>
      <c r="EF202" s="36" t="str">
        <f>Tabulacao!MC202</f>
        <v>Aracaju</v>
      </c>
      <c r="EG202" s="36" t="s">
        <v>785</v>
      </c>
      <c r="EH202" s="36" t="str">
        <f>Tabulacao!MG202</f>
        <v>Aracaju</v>
      </c>
      <c r="EI202" s="36" t="s">
        <v>785</v>
      </c>
      <c r="EJ202" s="36" t="str">
        <f>Tabulacao!MK202</f>
        <v>Aracaju</v>
      </c>
      <c r="EK202" s="36" t="s">
        <v>134</v>
      </c>
      <c r="EL202" s="36" t="s">
        <v>134</v>
      </c>
      <c r="EM202" s="36" t="s">
        <v>134</v>
      </c>
      <c r="EN202" s="36" t="s">
        <v>134</v>
      </c>
      <c r="EO202" s="36" t="s">
        <v>134</v>
      </c>
      <c r="EP202" s="36" t="s">
        <v>134</v>
      </c>
      <c r="EQ202" s="36" t="s">
        <v>275</v>
      </c>
      <c r="ER202" s="36" t="str">
        <f>IF(OR(EQ202=CaractAmostra!$BD$9,EQ202=CaractAmostra!$BD$10,EQ202=CaractAmostra!$BD$11,EQ202=CaractAmostra!$BD$12,EQ202=CaractAmostra!$BD$13),Respostas_Formatadas!EQ202,"Outros")</f>
        <v>Com os pais</v>
      </c>
      <c r="ES202" s="36" t="s">
        <v>275</v>
      </c>
      <c r="ET202" s="36" t="str">
        <f>IF(OR(ES202=CaractAmostra!$BH$9,ES202=CaractAmostra!$BH$10,ES202=CaractAmostra!$BH$11,ES202=CaractAmostra!$BH$12),Respostas_Formatadas!ES202,"Outros")</f>
        <v>Com os pais</v>
      </c>
      <c r="EU202" s="36" t="s">
        <v>134</v>
      </c>
      <c r="EV202" s="36" t="s">
        <v>283</v>
      </c>
      <c r="EW202" s="36" t="s">
        <v>283</v>
      </c>
      <c r="FD202" s="36" t="s">
        <v>786</v>
      </c>
      <c r="FE202" s="47">
        <v>2017</v>
      </c>
      <c r="FF202" s="97">
        <v>6.9321000000000002</v>
      </c>
      <c r="FG202" s="47">
        <v>2017</v>
      </c>
      <c r="FH202" s="47">
        <f t="shared" si="7"/>
        <v>0</v>
      </c>
      <c r="FI202" s="47" t="str">
        <f t="shared" si="8"/>
        <v>Aracaju</v>
      </c>
      <c r="FJ202" s="47" t="str">
        <f t="shared" si="9"/>
        <v>Licenciatura</v>
      </c>
    </row>
    <row r="203" spans="1:166" s="36" customFormat="1" ht="15.75" customHeight="1" x14ac:dyDescent="0.2">
      <c r="A203" s="38">
        <v>43424.508940763888</v>
      </c>
      <c r="B203" s="41"/>
      <c r="C203" s="36" t="s">
        <v>119</v>
      </c>
      <c r="D203" s="47" t="s">
        <v>133</v>
      </c>
      <c r="E203" s="36" t="s">
        <v>136</v>
      </c>
      <c r="H203" s="36" t="s">
        <v>141</v>
      </c>
      <c r="I203" s="36" t="s">
        <v>142</v>
      </c>
      <c r="J203" s="36" t="s">
        <v>144</v>
      </c>
      <c r="M203" s="36" t="s">
        <v>148</v>
      </c>
      <c r="N203" s="36" t="s">
        <v>133</v>
      </c>
      <c r="O203" s="36" t="s">
        <v>133</v>
      </c>
      <c r="P203" s="36" t="s">
        <v>133</v>
      </c>
      <c r="Q203" s="36" t="s">
        <v>134</v>
      </c>
      <c r="R203" s="36" t="s">
        <v>151</v>
      </c>
      <c r="Y203" s="36" t="s">
        <v>166</v>
      </c>
      <c r="AC203" s="36" t="s">
        <v>185</v>
      </c>
      <c r="AD203" s="36" t="s">
        <v>657</v>
      </c>
      <c r="AE203" s="36">
        <v>5</v>
      </c>
      <c r="AF203" s="36" t="s">
        <v>190</v>
      </c>
      <c r="AG203" s="36" t="s">
        <v>190</v>
      </c>
      <c r="AH203" s="36" t="s">
        <v>134</v>
      </c>
      <c r="AI203" s="40">
        <v>2700</v>
      </c>
      <c r="AJ203" s="36">
        <v>4</v>
      </c>
      <c r="AK203" s="36">
        <v>4</v>
      </c>
      <c r="AL203" s="36" t="s">
        <v>133</v>
      </c>
      <c r="AP203" s="36" t="s">
        <v>424</v>
      </c>
      <c r="AQ203" s="40">
        <v>5000</v>
      </c>
      <c r="AR203" s="36">
        <v>5</v>
      </c>
      <c r="AS203" s="36">
        <v>3</v>
      </c>
      <c r="AT203" s="36">
        <v>4</v>
      </c>
      <c r="AU203" s="36">
        <v>4</v>
      </c>
      <c r="AV203" s="36">
        <v>4</v>
      </c>
      <c r="AW203" s="36" t="s">
        <v>192</v>
      </c>
      <c r="AX203" s="36" t="s">
        <v>207</v>
      </c>
      <c r="AY203" s="36" t="s">
        <v>208</v>
      </c>
      <c r="AZ203" s="36" t="s">
        <v>133</v>
      </c>
      <c r="BA203" s="36" t="s">
        <v>170</v>
      </c>
      <c r="BB203" s="36" t="s">
        <v>635</v>
      </c>
      <c r="BC203" s="36" t="s">
        <v>292</v>
      </c>
      <c r="BD203" s="36" t="s">
        <v>190</v>
      </c>
      <c r="BG203" s="36">
        <v>5</v>
      </c>
      <c r="BH203" s="36">
        <v>4</v>
      </c>
      <c r="BI203" s="36">
        <v>4</v>
      </c>
      <c r="BJ203" s="36">
        <v>5</v>
      </c>
      <c r="BK203" s="36">
        <v>5</v>
      </c>
      <c r="BL203" s="36">
        <v>4</v>
      </c>
      <c r="BM203" s="36">
        <v>5</v>
      </c>
      <c r="BN203" s="36">
        <v>5</v>
      </c>
      <c r="BO203" s="36">
        <v>4</v>
      </c>
      <c r="BP203" s="36">
        <v>4</v>
      </c>
      <c r="BQ203" s="36">
        <v>3</v>
      </c>
      <c r="BR203" s="36">
        <v>4</v>
      </c>
      <c r="BS203" s="36">
        <v>1</v>
      </c>
      <c r="BT203" s="36">
        <v>4</v>
      </c>
      <c r="BU203" s="36">
        <v>3</v>
      </c>
      <c r="BV203" s="36">
        <v>3</v>
      </c>
      <c r="BW203" s="36">
        <v>5</v>
      </c>
      <c r="BX203" s="36">
        <v>4</v>
      </c>
      <c r="BY203" s="36">
        <v>4</v>
      </c>
      <c r="BZ203" s="36">
        <v>4</v>
      </c>
      <c r="CA203" s="36">
        <v>4</v>
      </c>
      <c r="CB203" s="36">
        <v>4</v>
      </c>
      <c r="CC203" s="36">
        <v>4</v>
      </c>
      <c r="CD203" s="36">
        <v>4</v>
      </c>
      <c r="CE203" s="36">
        <v>5</v>
      </c>
      <c r="CF203" s="36">
        <v>2</v>
      </c>
      <c r="CG203" s="36">
        <v>3</v>
      </c>
      <c r="CH203" s="36" t="s">
        <v>222</v>
      </c>
      <c r="CI203" t="s">
        <v>225</v>
      </c>
      <c r="CJ203"/>
      <c r="CK203" s="36" t="s">
        <v>235</v>
      </c>
      <c r="CL203" t="s">
        <v>239</v>
      </c>
      <c r="CM203"/>
      <c r="CN203" s="36" t="s">
        <v>242</v>
      </c>
      <c r="CO203" s="36" t="s">
        <v>134</v>
      </c>
      <c r="CP203" s="36">
        <v>3</v>
      </c>
      <c r="CQ203" s="36">
        <v>3</v>
      </c>
      <c r="CR203" s="36" t="s">
        <v>248</v>
      </c>
      <c r="CS203" s="36">
        <v>2</v>
      </c>
      <c r="CT203" s="36">
        <v>3</v>
      </c>
      <c r="CU203" s="36">
        <v>2</v>
      </c>
      <c r="CV203" s="36">
        <v>2</v>
      </c>
      <c r="CW203" s="36">
        <v>2</v>
      </c>
      <c r="CX203" s="36">
        <v>4</v>
      </c>
      <c r="CY203" s="36">
        <v>4</v>
      </c>
      <c r="CZ203" s="36">
        <v>4</v>
      </c>
      <c r="DA203" s="36">
        <v>2</v>
      </c>
      <c r="DB203" s="36">
        <v>2</v>
      </c>
      <c r="DC203" s="36">
        <v>1</v>
      </c>
      <c r="DD203" s="36">
        <v>3</v>
      </c>
      <c r="DE203" s="36">
        <v>3</v>
      </c>
      <c r="DF203" s="36">
        <v>4</v>
      </c>
      <c r="DG203" s="36">
        <v>4</v>
      </c>
      <c r="DH203" s="36">
        <v>2</v>
      </c>
      <c r="DI203" s="36" t="s">
        <v>133</v>
      </c>
      <c r="DJ203" s="36" t="s">
        <v>134</v>
      </c>
      <c r="DL203"/>
      <c r="DM203"/>
      <c r="DN203"/>
      <c r="DO203"/>
      <c r="DP203"/>
      <c r="DR203" s="36" t="s">
        <v>133</v>
      </c>
      <c r="DS203" s="36" t="s">
        <v>260</v>
      </c>
      <c r="DT203" t="s">
        <v>261</v>
      </c>
      <c r="DU203"/>
      <c r="DV203"/>
      <c r="DW203"/>
      <c r="DX203"/>
      <c r="DY203" s="36">
        <v>3</v>
      </c>
      <c r="DZ203" s="36" t="s">
        <v>134</v>
      </c>
      <c r="EB203" s="36" t="s">
        <v>262</v>
      </c>
      <c r="EC203" s="36" t="s">
        <v>264</v>
      </c>
      <c r="ED203" s="36">
        <v>34</v>
      </c>
      <c r="EE203" s="36" t="s">
        <v>292</v>
      </c>
      <c r="EF203" s="36" t="str">
        <f>Tabulacao!MC203</f>
        <v>Aracaju</v>
      </c>
      <c r="EG203" s="36" t="s">
        <v>292</v>
      </c>
      <c r="EH203" s="36" t="str">
        <f>Tabulacao!MG203</f>
        <v>Aracaju</v>
      </c>
      <c r="EI203" s="36" t="s">
        <v>292</v>
      </c>
      <c r="EJ203" s="36" t="str">
        <f>Tabulacao!MK203</f>
        <v>Aracaju</v>
      </c>
      <c r="EK203" s="36" t="s">
        <v>134</v>
      </c>
      <c r="EL203" s="36" t="s">
        <v>134</v>
      </c>
      <c r="EM203" s="36" t="s">
        <v>134</v>
      </c>
      <c r="EN203" s="36" t="s">
        <v>134</v>
      </c>
      <c r="EO203" s="36" t="s">
        <v>134</v>
      </c>
      <c r="EP203" s="36" t="s">
        <v>134</v>
      </c>
      <c r="EQ203" s="36" t="s">
        <v>275</v>
      </c>
      <c r="ER203" s="36" t="str">
        <f>IF(OR(EQ203=CaractAmostra!$BD$9,EQ203=CaractAmostra!$BD$10,EQ203=CaractAmostra!$BD$11,EQ203=CaractAmostra!$BD$12,EQ203=CaractAmostra!$BD$13),Respostas_Formatadas!EQ203,"Outros")</f>
        <v>Com os pais</v>
      </c>
      <c r="ES203" s="36" t="s">
        <v>275</v>
      </c>
      <c r="ET203" s="36" t="str">
        <f>IF(OR(ES203=CaractAmostra!$BH$9,ES203=CaractAmostra!$BH$10,ES203=CaractAmostra!$BH$11,ES203=CaractAmostra!$BH$12),Respostas_Formatadas!ES203,"Outros")</f>
        <v>Com os pais</v>
      </c>
      <c r="EU203" s="36" t="s">
        <v>134</v>
      </c>
      <c r="EV203" s="36" t="s">
        <v>288</v>
      </c>
      <c r="EW203" s="36" t="s">
        <v>287</v>
      </c>
      <c r="FE203" s="47">
        <v>2016</v>
      </c>
      <c r="FF203" s="97">
        <v>7.53</v>
      </c>
      <c r="FG203" s="47">
        <v>2016</v>
      </c>
      <c r="FH203" s="47">
        <f t="shared" si="7"/>
        <v>0</v>
      </c>
      <c r="FI203" s="47" t="str">
        <f t="shared" si="8"/>
        <v>Aracaju</v>
      </c>
      <c r="FJ203" s="47" t="str">
        <f t="shared" si="9"/>
        <v>Bacharelado</v>
      </c>
    </row>
    <row r="204" spans="1:166" s="36" customFormat="1" ht="15.75" customHeight="1" x14ac:dyDescent="0.2">
      <c r="A204" s="38">
        <v>43424.554408715281</v>
      </c>
      <c r="C204" s="36" t="s">
        <v>129</v>
      </c>
      <c r="D204" s="47" t="s">
        <v>133</v>
      </c>
      <c r="E204" s="36" t="s">
        <v>135</v>
      </c>
      <c r="F204" s="36" t="s">
        <v>138</v>
      </c>
      <c r="G204" s="36" t="s">
        <v>139</v>
      </c>
      <c r="H204" s="36" t="s">
        <v>142</v>
      </c>
      <c r="I204" s="36" t="s">
        <v>144</v>
      </c>
      <c r="M204" s="36" t="s">
        <v>147</v>
      </c>
      <c r="N204" s="36" t="s">
        <v>134</v>
      </c>
      <c r="O204" s="36" t="s">
        <v>134</v>
      </c>
      <c r="P204" s="36" t="s">
        <v>133</v>
      </c>
      <c r="Q204" s="36" t="s">
        <v>134</v>
      </c>
      <c r="R204" s="36" t="s">
        <v>151</v>
      </c>
      <c r="Y204" s="36" t="s">
        <v>134</v>
      </c>
      <c r="AI204" s="40"/>
      <c r="AQ204" s="40"/>
      <c r="BT204" s="36">
        <v>5</v>
      </c>
      <c r="BU204" s="36">
        <v>5</v>
      </c>
      <c r="BV204" s="36">
        <v>5</v>
      </c>
      <c r="BW204" s="36">
        <v>5</v>
      </c>
      <c r="BX204" s="36">
        <v>5</v>
      </c>
      <c r="BY204" s="36">
        <v>5</v>
      </c>
      <c r="BZ204" s="36">
        <v>5</v>
      </c>
      <c r="CA204" s="36">
        <v>5</v>
      </c>
      <c r="CB204" s="36">
        <v>5</v>
      </c>
      <c r="CC204" s="36">
        <v>5</v>
      </c>
      <c r="CD204" s="36">
        <v>5</v>
      </c>
      <c r="CE204" s="36">
        <v>5</v>
      </c>
      <c r="CF204" s="36">
        <v>4</v>
      </c>
      <c r="CG204" s="36">
        <v>3</v>
      </c>
      <c r="CH204" s="36" t="s">
        <v>225</v>
      </c>
      <c r="CI204"/>
      <c r="CJ204"/>
      <c r="CK204" s="36" t="s">
        <v>233</v>
      </c>
      <c r="CL204"/>
      <c r="CM204"/>
      <c r="CN204" s="36" t="s">
        <v>242</v>
      </c>
      <c r="CO204" s="36" t="s">
        <v>134</v>
      </c>
      <c r="CP204" s="36">
        <v>1</v>
      </c>
      <c r="CQ204" s="36">
        <v>5</v>
      </c>
      <c r="CR204" s="36" t="s">
        <v>248</v>
      </c>
      <c r="CS204" s="36">
        <v>5</v>
      </c>
      <c r="CT204" s="36">
        <v>5</v>
      </c>
      <c r="CU204" s="36">
        <v>5</v>
      </c>
      <c r="CV204" s="36">
        <v>3</v>
      </c>
      <c r="CW204" s="36">
        <v>5</v>
      </c>
      <c r="CX204" s="36">
        <v>5</v>
      </c>
      <c r="CY204" s="36">
        <v>4</v>
      </c>
      <c r="CZ204" s="36">
        <v>5</v>
      </c>
      <c r="DA204" s="36">
        <v>3</v>
      </c>
      <c r="DB204" s="36">
        <v>4</v>
      </c>
      <c r="DC204" s="36">
        <v>3</v>
      </c>
      <c r="DD204" s="36">
        <v>5</v>
      </c>
      <c r="DE204" s="36">
        <v>5</v>
      </c>
      <c r="DF204" s="36">
        <v>5</v>
      </c>
      <c r="DG204" s="36">
        <v>5</v>
      </c>
      <c r="DH204" s="36">
        <v>5</v>
      </c>
      <c r="DI204" s="36" t="s">
        <v>133</v>
      </c>
      <c r="DJ204" s="36" t="s">
        <v>133</v>
      </c>
      <c r="DK204" s="36" t="s">
        <v>254</v>
      </c>
      <c r="DL204" t="s">
        <v>255</v>
      </c>
      <c r="DM204"/>
      <c r="DN204"/>
      <c r="DO204" t="s">
        <v>257</v>
      </c>
      <c r="DP204"/>
      <c r="DQ204" s="36">
        <v>5</v>
      </c>
      <c r="DR204" s="36" t="s">
        <v>133</v>
      </c>
      <c r="DS204" s="36" t="s">
        <v>258</v>
      </c>
      <c r="DT204" t="s">
        <v>260</v>
      </c>
      <c r="DU204" t="s">
        <v>261</v>
      </c>
      <c r="DV204"/>
      <c r="DW204"/>
      <c r="DX204"/>
      <c r="DY204" s="36">
        <v>5</v>
      </c>
      <c r="DZ204" s="36" t="s">
        <v>133</v>
      </c>
      <c r="EA204" s="36">
        <v>5</v>
      </c>
      <c r="EB204" s="36" t="s">
        <v>263</v>
      </c>
      <c r="EC204" s="36" t="s">
        <v>264</v>
      </c>
      <c r="ED204" s="36">
        <v>25</v>
      </c>
      <c r="EE204" s="36" t="s">
        <v>399</v>
      </c>
      <c r="EF204" s="36" t="str">
        <f>Tabulacao!MC204</f>
        <v>São Cristóvão</v>
      </c>
      <c r="EG204" s="36" t="s">
        <v>399</v>
      </c>
      <c r="EH204" s="36" t="str">
        <f>Tabulacao!MG204</f>
        <v>São Cristóvão</v>
      </c>
      <c r="EI204" s="36" t="s">
        <v>399</v>
      </c>
      <c r="EJ204" s="36" t="str">
        <f>Tabulacao!MK204</f>
        <v>São Cristóvão</v>
      </c>
      <c r="EK204" s="36" t="s">
        <v>134</v>
      </c>
      <c r="EL204" s="36" t="s">
        <v>134</v>
      </c>
      <c r="EM204" s="36" t="s">
        <v>134</v>
      </c>
      <c r="EN204" s="36" t="s">
        <v>134</v>
      </c>
      <c r="EO204" s="36" t="s">
        <v>134</v>
      </c>
      <c r="EP204" s="36" t="s">
        <v>134</v>
      </c>
      <c r="EQ204" s="36" t="s">
        <v>274</v>
      </c>
      <c r="ER204" s="36" t="str">
        <f>IF(OR(EQ204=CaractAmostra!$BD$9,EQ204=CaractAmostra!$BD$10,EQ204=CaractAmostra!$BD$11,EQ204=CaractAmostra!$BD$12,EQ204=CaractAmostra!$BD$13),Respostas_Formatadas!EQ204,"Outros")</f>
        <v>Com um(a) parceiro(a)</v>
      </c>
      <c r="ES204" s="36" t="s">
        <v>274</v>
      </c>
      <c r="ET204" s="36" t="str">
        <f>IF(OR(ES204=CaractAmostra!$BH$9,ES204=CaractAmostra!$BH$10,ES204=CaractAmostra!$BH$11,ES204=CaractAmostra!$BH$12),Respostas_Formatadas!ES204,"Outros")</f>
        <v>Com um(a) parceiro(a)</v>
      </c>
      <c r="EU204" s="36" t="s">
        <v>279</v>
      </c>
      <c r="EV204" s="36" t="s">
        <v>282</v>
      </c>
      <c r="EW204" s="36" t="s">
        <v>282</v>
      </c>
      <c r="FE204" s="47">
        <v>2016</v>
      </c>
      <c r="FF204" s="97">
        <v>8.3132999999999999</v>
      </c>
      <c r="FG204" s="47">
        <v>2016</v>
      </c>
      <c r="FH204" s="47">
        <f t="shared" si="7"/>
        <v>0</v>
      </c>
      <c r="FI204" s="47" t="str">
        <f t="shared" si="8"/>
        <v>São Cristóvão</v>
      </c>
      <c r="FJ204" s="47" t="str">
        <f t="shared" si="9"/>
        <v>Tecnologia</v>
      </c>
    </row>
    <row r="205" spans="1:166" s="36" customFormat="1" ht="15.75" customHeight="1" x14ac:dyDescent="0.2">
      <c r="A205" s="38">
        <v>43424.558751712961</v>
      </c>
      <c r="B205" s="41"/>
      <c r="C205" s="36" t="s">
        <v>122</v>
      </c>
      <c r="D205" s="47" t="s">
        <v>134</v>
      </c>
      <c r="M205" s="36" t="s">
        <v>147</v>
      </c>
      <c r="N205" s="36" t="s">
        <v>133</v>
      </c>
      <c r="O205" s="36" t="s">
        <v>134</v>
      </c>
      <c r="P205" s="36" t="s">
        <v>134</v>
      </c>
      <c r="Q205" s="36" t="s">
        <v>134</v>
      </c>
      <c r="R205" s="36" t="s">
        <v>151</v>
      </c>
      <c r="Y205" s="36" t="s">
        <v>166</v>
      </c>
      <c r="AC205" s="36" t="s">
        <v>186</v>
      </c>
      <c r="AD205" s="36" t="s">
        <v>787</v>
      </c>
      <c r="AE205" s="36">
        <v>2</v>
      </c>
      <c r="AF205" s="36" t="s">
        <v>190</v>
      </c>
      <c r="AG205" s="36" t="s">
        <v>190</v>
      </c>
      <c r="AH205" s="36" t="s">
        <v>134</v>
      </c>
      <c r="AI205" s="40">
        <v>2800</v>
      </c>
      <c r="AJ205" s="36">
        <v>3</v>
      </c>
      <c r="AK205" s="36">
        <v>3</v>
      </c>
      <c r="AL205" s="36" t="s">
        <v>133</v>
      </c>
      <c r="AP205" s="36" t="s">
        <v>409</v>
      </c>
      <c r="AQ205" s="40">
        <v>3000</v>
      </c>
      <c r="AR205" s="36">
        <v>3</v>
      </c>
      <c r="AS205" s="36">
        <v>3</v>
      </c>
      <c r="AT205" s="36">
        <v>2</v>
      </c>
      <c r="AU205" s="36">
        <v>3</v>
      </c>
      <c r="AV205" s="36">
        <v>2</v>
      </c>
      <c r="AW205" s="36" t="s">
        <v>193</v>
      </c>
      <c r="AX205" s="36" t="s">
        <v>206</v>
      </c>
      <c r="AY205" s="36" t="s">
        <v>208</v>
      </c>
      <c r="AZ205" s="36" t="s">
        <v>133</v>
      </c>
      <c r="BA205" s="36" t="s">
        <v>170</v>
      </c>
      <c r="BB205" s="36" t="s">
        <v>788</v>
      </c>
      <c r="BC205" s="36" t="s">
        <v>292</v>
      </c>
      <c r="BD205" s="36" t="s">
        <v>190</v>
      </c>
      <c r="BG205" s="36">
        <v>2</v>
      </c>
      <c r="BH205" s="36">
        <v>3</v>
      </c>
      <c r="BI205" s="36">
        <v>2</v>
      </c>
      <c r="BJ205" s="36">
        <v>2</v>
      </c>
      <c r="BK205" s="36">
        <v>3</v>
      </c>
      <c r="BL205" s="36">
        <v>3</v>
      </c>
      <c r="BM205" s="36">
        <v>3</v>
      </c>
      <c r="BN205" s="36">
        <v>4</v>
      </c>
      <c r="BO205" s="36">
        <v>3</v>
      </c>
      <c r="BP205" s="36">
        <v>2</v>
      </c>
      <c r="BQ205" s="36">
        <v>2</v>
      </c>
      <c r="BR205" s="36">
        <v>4</v>
      </c>
      <c r="BS205" s="36">
        <v>1</v>
      </c>
      <c r="BT205" s="36">
        <v>3</v>
      </c>
      <c r="BU205" s="36">
        <v>3</v>
      </c>
      <c r="BV205" s="36">
        <v>2</v>
      </c>
      <c r="BW205" s="36">
        <v>2</v>
      </c>
      <c r="BX205" s="36">
        <v>2</v>
      </c>
      <c r="BY205" s="36">
        <v>3</v>
      </c>
      <c r="BZ205" s="36">
        <v>2</v>
      </c>
      <c r="CA205" s="36">
        <v>4</v>
      </c>
      <c r="CB205" s="36">
        <v>2</v>
      </c>
      <c r="CC205" s="36">
        <v>2</v>
      </c>
      <c r="CD205" s="36">
        <v>2</v>
      </c>
      <c r="CE205" s="36">
        <v>3</v>
      </c>
      <c r="CF205" s="36">
        <v>2</v>
      </c>
      <c r="CG205" s="36">
        <v>2</v>
      </c>
      <c r="CH205" s="36" t="s">
        <v>224</v>
      </c>
      <c r="CI205"/>
      <c r="CJ205"/>
      <c r="CK205" t="s">
        <v>231</v>
      </c>
      <c r="CL205"/>
      <c r="CM205"/>
      <c r="CN205" s="36" t="s">
        <v>242</v>
      </c>
      <c r="CO205" s="36" t="s">
        <v>134</v>
      </c>
      <c r="CP205" s="36">
        <v>2</v>
      </c>
      <c r="CQ205" s="36">
        <v>4</v>
      </c>
      <c r="CR205" s="36" t="s">
        <v>249</v>
      </c>
      <c r="CS205" s="36">
        <v>3</v>
      </c>
      <c r="CT205" s="36">
        <v>2</v>
      </c>
      <c r="CU205" s="36">
        <v>3</v>
      </c>
      <c r="CV205" s="36">
        <v>4</v>
      </c>
      <c r="CW205" s="36">
        <v>3</v>
      </c>
      <c r="CX205" s="36">
        <v>3</v>
      </c>
      <c r="CY205" s="36">
        <v>3</v>
      </c>
      <c r="CZ205" s="36">
        <v>3</v>
      </c>
      <c r="DA205" s="36">
        <v>3</v>
      </c>
      <c r="DB205" s="36">
        <v>2</v>
      </c>
      <c r="DC205" s="36">
        <v>4</v>
      </c>
      <c r="DD205" s="36">
        <v>3</v>
      </c>
      <c r="DE205" s="36">
        <v>3</v>
      </c>
      <c r="DF205" s="36">
        <v>3</v>
      </c>
      <c r="DG205" s="36">
        <v>4</v>
      </c>
      <c r="DH205" s="36">
        <v>2</v>
      </c>
      <c r="DI205" s="36" t="s">
        <v>133</v>
      </c>
      <c r="DJ205" s="36" t="s">
        <v>133</v>
      </c>
      <c r="DK205" s="36" t="s">
        <v>254</v>
      </c>
      <c r="DL205"/>
      <c r="DM205"/>
      <c r="DN205"/>
      <c r="DO205"/>
      <c r="DP205"/>
      <c r="DQ205" s="36">
        <v>2</v>
      </c>
      <c r="DR205" s="36" t="s">
        <v>134</v>
      </c>
      <c r="DT205"/>
      <c r="DU205"/>
      <c r="DV205"/>
      <c r="DW205"/>
      <c r="DX205"/>
      <c r="DZ205" s="36" t="s">
        <v>133</v>
      </c>
      <c r="EA205" s="36">
        <v>4</v>
      </c>
      <c r="EB205" s="36" t="s">
        <v>262</v>
      </c>
      <c r="EC205" s="36" t="s">
        <v>265</v>
      </c>
      <c r="ED205" s="36">
        <v>42</v>
      </c>
      <c r="EE205" s="36" t="s">
        <v>358</v>
      </c>
      <c r="EF205" s="36" t="str">
        <f>Tabulacao!MC205</f>
        <v>Nossa Senhora do Socorro</v>
      </c>
      <c r="EG205" s="36" t="s">
        <v>358</v>
      </c>
      <c r="EH205" s="36" t="str">
        <f>Tabulacao!MG205</f>
        <v>Nossa Senhora do Socorro</v>
      </c>
      <c r="EI205" s="36" t="s">
        <v>358</v>
      </c>
      <c r="EJ205" s="36" t="str">
        <f>Tabulacao!MK205</f>
        <v>Nossa Senhora do Socorro</v>
      </c>
      <c r="EK205" s="36" t="s">
        <v>134</v>
      </c>
      <c r="EL205" s="36" t="s">
        <v>134</v>
      </c>
      <c r="EM205" s="36" t="s">
        <v>134</v>
      </c>
      <c r="EN205" s="36" t="s">
        <v>134</v>
      </c>
      <c r="EO205" s="36" t="s">
        <v>134</v>
      </c>
      <c r="EP205" s="36" t="s">
        <v>134</v>
      </c>
      <c r="EQ205" s="36" t="s">
        <v>274</v>
      </c>
      <c r="ER205" s="36" t="str">
        <f>IF(OR(EQ205=CaractAmostra!$BD$9,EQ205=CaractAmostra!$BD$10,EQ205=CaractAmostra!$BD$11,EQ205=CaractAmostra!$BD$12,EQ205=CaractAmostra!$BD$13),Respostas_Formatadas!EQ205,"Outros")</f>
        <v>Com um(a) parceiro(a)</v>
      </c>
      <c r="ES205" s="36" t="s">
        <v>274</v>
      </c>
      <c r="ET205" s="36" t="str">
        <f>IF(OR(ES205=CaractAmostra!$BH$9,ES205=CaractAmostra!$BH$10,ES205=CaractAmostra!$BH$11,ES205=CaractAmostra!$BH$12),Respostas_Formatadas!ES205,"Outros")</f>
        <v>Com um(a) parceiro(a)</v>
      </c>
      <c r="EU205" s="36" t="s">
        <v>280</v>
      </c>
      <c r="EV205" s="36" t="s">
        <v>284</v>
      </c>
      <c r="EW205" s="36" t="s">
        <v>284</v>
      </c>
      <c r="FE205" s="47">
        <v>2018</v>
      </c>
      <c r="FF205" s="97">
        <v>7.8282999999999996</v>
      </c>
      <c r="FG205" s="47">
        <v>2017</v>
      </c>
      <c r="FH205" s="47">
        <f t="shared" si="7"/>
        <v>-1</v>
      </c>
      <c r="FI205" s="47" t="str">
        <f t="shared" si="8"/>
        <v>Aracaju</v>
      </c>
      <c r="FJ205" s="47" t="str">
        <f t="shared" si="9"/>
        <v>Licenciatura</v>
      </c>
    </row>
    <row r="206" spans="1:166" s="36" customFormat="1" ht="15.75" customHeight="1" x14ac:dyDescent="0.2">
      <c r="A206" s="38">
        <v>43424.568469120371</v>
      </c>
      <c r="B206" s="41"/>
      <c r="C206" s="36" t="s">
        <v>119</v>
      </c>
      <c r="D206" s="47" t="s">
        <v>134</v>
      </c>
      <c r="M206" s="36" t="s">
        <v>146</v>
      </c>
      <c r="N206" s="36" t="s">
        <v>134</v>
      </c>
      <c r="O206" s="36" t="s">
        <v>133</v>
      </c>
      <c r="P206" s="36" t="s">
        <v>134</v>
      </c>
      <c r="Q206" s="36" t="s">
        <v>134</v>
      </c>
      <c r="R206" s="36" t="s">
        <v>151</v>
      </c>
      <c r="Y206" s="36" t="s">
        <v>134</v>
      </c>
      <c r="AI206" s="40"/>
      <c r="AQ206" s="40"/>
      <c r="BT206" s="36">
        <v>3</v>
      </c>
      <c r="BU206" s="36">
        <v>3</v>
      </c>
      <c r="BV206" s="36">
        <v>4</v>
      </c>
      <c r="BW206" s="36">
        <v>2</v>
      </c>
      <c r="BX206" s="36">
        <v>3</v>
      </c>
      <c r="BY206" s="36">
        <v>5</v>
      </c>
      <c r="BZ206" s="36">
        <v>5</v>
      </c>
      <c r="CA206" s="36">
        <v>5</v>
      </c>
      <c r="CB206" s="36">
        <v>2</v>
      </c>
      <c r="CC206" s="36">
        <v>4</v>
      </c>
      <c r="CD206" s="36">
        <v>5</v>
      </c>
      <c r="CE206" s="36">
        <v>3</v>
      </c>
      <c r="CF206" s="36">
        <v>3</v>
      </c>
      <c r="CG206" s="36">
        <v>3</v>
      </c>
      <c r="CH206" s="36" t="s">
        <v>222</v>
      </c>
      <c r="CI206" t="s">
        <v>226</v>
      </c>
      <c r="CJ206" t="s">
        <v>229</v>
      </c>
      <c r="CK206" s="36" t="s">
        <v>233</v>
      </c>
      <c r="CL206"/>
      <c r="CM206"/>
      <c r="CN206" s="36" t="s">
        <v>242</v>
      </c>
      <c r="CO206" s="36" t="s">
        <v>134</v>
      </c>
      <c r="CP206" s="36">
        <v>3</v>
      </c>
      <c r="CQ206" s="36">
        <v>3</v>
      </c>
      <c r="CR206" s="36" t="s">
        <v>248</v>
      </c>
      <c r="CS206" s="36">
        <v>2</v>
      </c>
      <c r="CT206" s="36">
        <v>3</v>
      </c>
      <c r="CU206" s="36">
        <v>1</v>
      </c>
      <c r="CV206" s="36">
        <v>2</v>
      </c>
      <c r="CW206" s="36">
        <v>2</v>
      </c>
      <c r="CX206" s="36">
        <v>4</v>
      </c>
      <c r="CY206" s="36">
        <v>4</v>
      </c>
      <c r="CZ206" s="36">
        <v>5</v>
      </c>
      <c r="DA206" s="36">
        <v>2</v>
      </c>
      <c r="DB206" s="36">
        <v>2</v>
      </c>
      <c r="DC206" s="36">
        <v>2</v>
      </c>
      <c r="DD206" s="36">
        <v>4</v>
      </c>
      <c r="DE206" s="36">
        <v>3</v>
      </c>
      <c r="DF206" s="36">
        <v>4</v>
      </c>
      <c r="DG206" s="36">
        <v>4</v>
      </c>
      <c r="DH206" s="36">
        <v>3</v>
      </c>
      <c r="DI206" s="36" t="s">
        <v>251</v>
      </c>
      <c r="DJ206" s="36" t="s">
        <v>134</v>
      </c>
      <c r="DL206"/>
      <c r="DM206"/>
      <c r="DN206"/>
      <c r="DO206"/>
      <c r="DP206"/>
      <c r="DR206" s="36" t="s">
        <v>134</v>
      </c>
      <c r="DT206"/>
      <c r="DU206"/>
      <c r="DV206"/>
      <c r="DW206"/>
      <c r="DX206"/>
      <c r="DZ206" s="36" t="s">
        <v>134</v>
      </c>
      <c r="EB206" s="36" t="s">
        <v>262</v>
      </c>
      <c r="EC206" s="36" t="s">
        <v>264</v>
      </c>
      <c r="ED206" s="36">
        <v>24</v>
      </c>
      <c r="EE206" s="36" t="s">
        <v>292</v>
      </c>
      <c r="EF206" s="36" t="str">
        <f>Tabulacao!MC206</f>
        <v>Aracaju</v>
      </c>
      <c r="EG206" s="36" t="s">
        <v>292</v>
      </c>
      <c r="EH206" s="36" t="str">
        <f>Tabulacao!MG206</f>
        <v>Aracaju</v>
      </c>
      <c r="EI206" s="36" t="s">
        <v>292</v>
      </c>
      <c r="EJ206" s="36" t="str">
        <f>Tabulacao!MK206</f>
        <v>Aracaju</v>
      </c>
      <c r="EK206" s="36" t="s">
        <v>134</v>
      </c>
      <c r="EL206" s="36" t="s">
        <v>134</v>
      </c>
      <c r="EM206" s="36" t="s">
        <v>134</v>
      </c>
      <c r="EN206" s="36" t="s">
        <v>134</v>
      </c>
      <c r="EO206" s="36" t="s">
        <v>134</v>
      </c>
      <c r="EP206" s="36" t="s">
        <v>134</v>
      </c>
      <c r="EQ206" s="36" t="s">
        <v>275</v>
      </c>
      <c r="ER206" s="36" t="str">
        <f>IF(OR(EQ206=CaractAmostra!$BD$9,EQ206=CaractAmostra!$BD$10,EQ206=CaractAmostra!$BD$11,EQ206=CaractAmostra!$BD$12,EQ206=CaractAmostra!$BD$13),Respostas_Formatadas!EQ206,"Outros")</f>
        <v>Com os pais</v>
      </c>
      <c r="ES206" s="36" t="s">
        <v>275</v>
      </c>
      <c r="ET206" s="36" t="str">
        <f>IF(OR(ES206=CaractAmostra!$BH$9,ES206=CaractAmostra!$BH$10,ES206=CaractAmostra!$BH$11,ES206=CaractAmostra!$BH$12),Respostas_Formatadas!ES206,"Outros")</f>
        <v>Com os pais</v>
      </c>
      <c r="EU206" s="36" t="s">
        <v>134</v>
      </c>
      <c r="EV206" s="36" t="s">
        <v>286</v>
      </c>
      <c r="EW206" s="36" t="s">
        <v>285</v>
      </c>
      <c r="FE206" s="47">
        <v>2017</v>
      </c>
      <c r="FF206" s="97">
        <v>7.5388000000000002</v>
      </c>
      <c r="FG206" s="47">
        <v>2017</v>
      </c>
      <c r="FH206" s="47">
        <f t="shared" si="7"/>
        <v>0</v>
      </c>
      <c r="FI206" s="47" t="str">
        <f t="shared" si="8"/>
        <v>Aracaju</v>
      </c>
      <c r="FJ206" s="47" t="str">
        <f t="shared" si="9"/>
        <v>Bacharelado</v>
      </c>
    </row>
    <row r="207" spans="1:166" s="36" customFormat="1" ht="15.75" customHeight="1" x14ac:dyDescent="0.2">
      <c r="A207" s="38">
        <v>43424.621248148149</v>
      </c>
      <c r="B207" s="41"/>
      <c r="C207" s="36" t="s">
        <v>125</v>
      </c>
      <c r="D207" s="47" t="s">
        <v>134</v>
      </c>
      <c r="M207" s="36" t="s">
        <v>146</v>
      </c>
      <c r="N207" s="36" t="s">
        <v>133</v>
      </c>
      <c r="O207" s="36" t="s">
        <v>133</v>
      </c>
      <c r="P207" s="36" t="s">
        <v>133</v>
      </c>
      <c r="Q207" s="36" t="s">
        <v>134</v>
      </c>
      <c r="R207" s="36" t="s">
        <v>151</v>
      </c>
      <c r="Y207" s="36" t="s">
        <v>165</v>
      </c>
      <c r="Z207" s="36" t="s">
        <v>169</v>
      </c>
      <c r="AA207" s="36" t="s">
        <v>173</v>
      </c>
      <c r="AB207" s="36" t="s">
        <v>178</v>
      </c>
      <c r="AD207" s="36" t="s">
        <v>789</v>
      </c>
      <c r="AE207" s="36">
        <v>5</v>
      </c>
      <c r="AF207" s="36" t="s">
        <v>790</v>
      </c>
      <c r="AG207" s="36" t="s">
        <v>189</v>
      </c>
      <c r="AH207" s="36" t="s">
        <v>134</v>
      </c>
      <c r="AI207" s="40">
        <v>850</v>
      </c>
      <c r="AJ207" s="36">
        <v>3</v>
      </c>
      <c r="AK207" s="36">
        <v>2</v>
      </c>
      <c r="AL207" s="36" t="s">
        <v>133</v>
      </c>
      <c r="AP207" s="36" t="s">
        <v>791</v>
      </c>
      <c r="AQ207" s="40">
        <v>1700</v>
      </c>
      <c r="AR207" s="36">
        <v>4</v>
      </c>
      <c r="AS207" s="36">
        <v>3</v>
      </c>
      <c r="AT207" s="36">
        <v>1</v>
      </c>
      <c r="AU207" s="36">
        <v>4</v>
      </c>
      <c r="AV207" s="36">
        <v>5</v>
      </c>
      <c r="AW207" s="36" t="s">
        <v>192</v>
      </c>
      <c r="AX207" s="36" t="s">
        <v>207</v>
      </c>
      <c r="AY207" s="36" t="s">
        <v>210</v>
      </c>
      <c r="AZ207" s="36" t="s">
        <v>134</v>
      </c>
      <c r="BA207" s="36" t="s">
        <v>170</v>
      </c>
      <c r="BB207" s="36" t="s">
        <v>522</v>
      </c>
      <c r="BC207" s="36" t="s">
        <v>292</v>
      </c>
      <c r="BD207" s="36" t="s">
        <v>189</v>
      </c>
      <c r="BF207" s="36" t="s">
        <v>220</v>
      </c>
      <c r="BG207" s="36">
        <v>5</v>
      </c>
      <c r="BH207" s="36">
        <v>3</v>
      </c>
      <c r="BI207" s="36">
        <v>3</v>
      </c>
      <c r="BJ207" s="36">
        <v>5</v>
      </c>
      <c r="BK207" s="36">
        <v>5</v>
      </c>
      <c r="BL207" s="36">
        <v>5</v>
      </c>
      <c r="BM207" s="36">
        <v>5</v>
      </c>
      <c r="BN207" s="36">
        <v>5</v>
      </c>
      <c r="BO207" s="36">
        <v>4</v>
      </c>
      <c r="BP207" s="36">
        <v>2</v>
      </c>
      <c r="BQ207" s="36">
        <v>1</v>
      </c>
      <c r="BR207" s="36">
        <v>1</v>
      </c>
      <c r="BS207" s="36">
        <v>3</v>
      </c>
      <c r="BT207" s="36">
        <v>5</v>
      </c>
      <c r="BU207" s="36">
        <v>3</v>
      </c>
      <c r="BV207" s="36">
        <v>3</v>
      </c>
      <c r="BW207" s="36">
        <v>5</v>
      </c>
      <c r="BX207" s="36">
        <v>4</v>
      </c>
      <c r="BY207" s="36">
        <v>5</v>
      </c>
      <c r="BZ207" s="36">
        <v>5</v>
      </c>
      <c r="CA207" s="36">
        <v>5</v>
      </c>
      <c r="CB207" s="36">
        <v>3</v>
      </c>
      <c r="CC207" s="36">
        <v>3</v>
      </c>
      <c r="CD207" s="36">
        <v>2</v>
      </c>
      <c r="CE207" s="36">
        <v>5</v>
      </c>
      <c r="CF207" s="36">
        <v>3</v>
      </c>
      <c r="CG207" s="36">
        <v>4</v>
      </c>
      <c r="CH207" s="36" t="s">
        <v>222</v>
      </c>
      <c r="CI207" t="s">
        <v>225</v>
      </c>
      <c r="CJ207" t="s">
        <v>229</v>
      </c>
      <c r="CK207" s="36" t="s">
        <v>233</v>
      </c>
      <c r="CL207" t="s">
        <v>236</v>
      </c>
      <c r="CM207"/>
      <c r="CN207" s="36" t="s">
        <v>242</v>
      </c>
      <c r="CO207" s="36" t="s">
        <v>134</v>
      </c>
      <c r="CP207" s="36">
        <v>1</v>
      </c>
      <c r="CQ207" s="36">
        <v>2</v>
      </c>
      <c r="CR207" s="36" t="s">
        <v>248</v>
      </c>
      <c r="CS207" s="36">
        <v>3</v>
      </c>
      <c r="CT207" s="36">
        <v>3</v>
      </c>
      <c r="CU207" s="36">
        <v>4</v>
      </c>
      <c r="CV207" s="36">
        <v>4</v>
      </c>
      <c r="CW207" s="36">
        <v>5</v>
      </c>
      <c r="CX207" s="36">
        <v>4</v>
      </c>
      <c r="CY207" s="36">
        <v>5</v>
      </c>
      <c r="CZ207" s="36">
        <v>4</v>
      </c>
      <c r="DA207" s="36">
        <v>2</v>
      </c>
      <c r="DB207" s="36">
        <v>3</v>
      </c>
      <c r="DC207" s="36">
        <v>3</v>
      </c>
      <c r="DD207" s="36">
        <v>4</v>
      </c>
      <c r="DE207" s="36">
        <v>3</v>
      </c>
      <c r="DF207" s="36">
        <v>5</v>
      </c>
      <c r="DG207" s="36">
        <v>5</v>
      </c>
      <c r="DH207" s="36">
        <v>5</v>
      </c>
      <c r="DI207" s="36" t="s">
        <v>252</v>
      </c>
      <c r="DJ207" s="36" t="s">
        <v>133</v>
      </c>
      <c r="DK207" s="36" t="s">
        <v>255</v>
      </c>
      <c r="DL207"/>
      <c r="DM207"/>
      <c r="DN207" t="s">
        <v>257</v>
      </c>
      <c r="DO207"/>
      <c r="DP207"/>
      <c r="DQ207" s="36">
        <v>5</v>
      </c>
      <c r="DR207" s="36" t="s">
        <v>133</v>
      </c>
      <c r="DS207" s="36" t="s">
        <v>259</v>
      </c>
      <c r="DT207"/>
      <c r="DU207"/>
      <c r="DV207" t="s">
        <v>260</v>
      </c>
      <c r="DW207" t="s">
        <v>261</v>
      </c>
      <c r="DX207"/>
      <c r="DY207" s="36">
        <v>5</v>
      </c>
      <c r="DZ207" s="36" t="s">
        <v>133</v>
      </c>
      <c r="EA207" s="36">
        <v>5</v>
      </c>
      <c r="EB207" s="36" t="s">
        <v>263</v>
      </c>
      <c r="EC207" s="36" t="s">
        <v>267</v>
      </c>
      <c r="ED207" s="36">
        <v>34</v>
      </c>
      <c r="EE207" s="36" t="s">
        <v>292</v>
      </c>
      <c r="EF207" s="36" t="str">
        <f>Tabulacao!MC207</f>
        <v>Aracaju</v>
      </c>
      <c r="EG207" s="36" t="s">
        <v>292</v>
      </c>
      <c r="EH207" s="36" t="str">
        <f>Tabulacao!MG207</f>
        <v>Aracaju</v>
      </c>
      <c r="EI207" s="36" t="s">
        <v>292</v>
      </c>
      <c r="EJ207" s="36" t="str">
        <f>Tabulacao!MK207</f>
        <v>Aracaju</v>
      </c>
      <c r="EK207" s="36" t="s">
        <v>134</v>
      </c>
      <c r="EL207" s="36" t="s">
        <v>134</v>
      </c>
      <c r="EM207" s="36" t="s">
        <v>134</v>
      </c>
      <c r="EN207" s="36" t="s">
        <v>134</v>
      </c>
      <c r="EO207" s="36" t="s">
        <v>134</v>
      </c>
      <c r="EP207" s="36" t="s">
        <v>134</v>
      </c>
      <c r="EQ207" s="36" t="s">
        <v>273</v>
      </c>
      <c r="ER207" s="36" t="str">
        <f>IF(OR(EQ207=CaractAmostra!$BD$9,EQ207=CaractAmostra!$BD$10,EQ207=CaractAmostra!$BD$11,EQ207=CaractAmostra!$BD$12,EQ207=CaractAmostra!$BD$13),Respostas_Formatadas!EQ207,"Outros")</f>
        <v>Dividia residência com outras pessoas</v>
      </c>
      <c r="ES207" s="36" t="s">
        <v>274</v>
      </c>
      <c r="ET207" s="36" t="str">
        <f>IF(OR(ES207=CaractAmostra!$BH$9,ES207=CaractAmostra!$BH$10,ES207=CaractAmostra!$BH$11,ES207=CaractAmostra!$BH$12),Respostas_Formatadas!ES207,"Outros")</f>
        <v>Com um(a) parceiro(a)</v>
      </c>
      <c r="EU207" s="36" t="s">
        <v>134</v>
      </c>
      <c r="EV207" s="36" t="s">
        <v>282</v>
      </c>
      <c r="EW207" s="36" t="s">
        <v>282</v>
      </c>
      <c r="FD207" s="36" t="s">
        <v>792</v>
      </c>
      <c r="FE207" s="47">
        <v>2013</v>
      </c>
      <c r="FF207" s="97">
        <v>7.8567999999999998</v>
      </c>
      <c r="FG207" s="47">
        <v>2013</v>
      </c>
      <c r="FH207" s="47">
        <f t="shared" si="7"/>
        <v>0</v>
      </c>
      <c r="FI207" s="47" t="str">
        <f t="shared" si="8"/>
        <v>Aracaju</v>
      </c>
      <c r="FJ207" s="47" t="str">
        <f t="shared" si="9"/>
        <v>Tecnologia</v>
      </c>
    </row>
    <row r="208" spans="1:166" s="36" customFormat="1" ht="15.75" customHeight="1" x14ac:dyDescent="0.2">
      <c r="A208" s="38">
        <v>43424.877524166666</v>
      </c>
      <c r="B208" s="41"/>
      <c r="C208" s="36" t="s">
        <v>120</v>
      </c>
      <c r="D208" s="47" t="s">
        <v>134</v>
      </c>
      <c r="M208" s="36" t="s">
        <v>146</v>
      </c>
      <c r="N208" s="36" t="s">
        <v>134</v>
      </c>
      <c r="O208" s="36" t="s">
        <v>133</v>
      </c>
      <c r="P208" s="36" t="s">
        <v>133</v>
      </c>
      <c r="Q208" s="36" t="s">
        <v>134</v>
      </c>
      <c r="R208" s="36" t="s">
        <v>151</v>
      </c>
      <c r="Y208" s="36" t="s">
        <v>165</v>
      </c>
      <c r="Z208" s="36" t="s">
        <v>167</v>
      </c>
      <c r="AA208" s="36" t="s">
        <v>174</v>
      </c>
      <c r="AB208" s="36" t="s">
        <v>180</v>
      </c>
      <c r="AD208" s="36" t="s">
        <v>793</v>
      </c>
      <c r="AE208" s="36">
        <v>5</v>
      </c>
      <c r="AF208" s="36" t="s">
        <v>189</v>
      </c>
      <c r="AG208" s="36" t="s">
        <v>189</v>
      </c>
      <c r="AH208" s="36" t="s">
        <v>134</v>
      </c>
      <c r="AI208" s="40">
        <v>1500</v>
      </c>
      <c r="AJ208" s="36">
        <v>4</v>
      </c>
      <c r="AK208" s="36">
        <v>2</v>
      </c>
      <c r="AL208" s="36" t="s">
        <v>134</v>
      </c>
      <c r="AM208" s="36" t="s">
        <v>168</v>
      </c>
      <c r="AN208" s="36">
        <v>2</v>
      </c>
      <c r="AO208" s="36" t="s">
        <v>133</v>
      </c>
      <c r="AP208" s="36" t="s">
        <v>794</v>
      </c>
      <c r="AQ208" s="40">
        <v>2600</v>
      </c>
      <c r="AR208" s="36">
        <v>4</v>
      </c>
      <c r="AS208" s="36">
        <v>5</v>
      </c>
      <c r="AT208" s="36">
        <v>3</v>
      </c>
      <c r="AU208" s="36">
        <v>4</v>
      </c>
      <c r="AV208" s="36">
        <v>5</v>
      </c>
      <c r="AW208" s="36" t="s">
        <v>192</v>
      </c>
      <c r="AX208" s="36" t="s">
        <v>206</v>
      </c>
      <c r="AY208" s="36" t="s">
        <v>210</v>
      </c>
      <c r="AZ208" s="36" t="s">
        <v>134</v>
      </c>
      <c r="BA208" s="36" t="s">
        <v>213</v>
      </c>
      <c r="BB208" s="36" t="s">
        <v>795</v>
      </c>
      <c r="BC208" s="36" t="s">
        <v>292</v>
      </c>
      <c r="BD208" s="36" t="s">
        <v>189</v>
      </c>
      <c r="BF208" s="36" t="s">
        <v>219</v>
      </c>
      <c r="BG208" s="36">
        <v>5</v>
      </c>
      <c r="BH208" s="36">
        <v>3</v>
      </c>
      <c r="BI208" s="36">
        <v>5</v>
      </c>
      <c r="BJ208" s="36">
        <v>2</v>
      </c>
      <c r="BK208" s="36">
        <v>3</v>
      </c>
      <c r="BL208" s="36">
        <v>4</v>
      </c>
      <c r="BM208" s="36">
        <v>5</v>
      </c>
      <c r="BN208" s="36">
        <v>5</v>
      </c>
      <c r="BO208" s="36">
        <v>4</v>
      </c>
      <c r="BP208" s="36">
        <v>5</v>
      </c>
      <c r="BQ208" s="36">
        <v>2</v>
      </c>
      <c r="BR208" s="36">
        <v>1</v>
      </c>
      <c r="BS208" s="36">
        <v>1</v>
      </c>
      <c r="BT208" s="36">
        <v>3</v>
      </c>
      <c r="BU208" s="36">
        <v>3</v>
      </c>
      <c r="BV208" s="36">
        <v>4</v>
      </c>
      <c r="BW208" s="36">
        <v>1</v>
      </c>
      <c r="BX208" s="36">
        <v>1</v>
      </c>
      <c r="BY208" s="36">
        <v>4</v>
      </c>
      <c r="BZ208" s="36">
        <v>4</v>
      </c>
      <c r="CA208" s="36">
        <v>5</v>
      </c>
      <c r="CB208" s="36">
        <v>4</v>
      </c>
      <c r="CC208" s="36">
        <v>5</v>
      </c>
      <c r="CD208" s="36">
        <v>1</v>
      </c>
      <c r="CE208" s="36">
        <v>3</v>
      </c>
      <c r="CF208" s="36">
        <v>1</v>
      </c>
      <c r="CG208" s="36">
        <v>3</v>
      </c>
      <c r="CH208" s="36" t="s">
        <v>229</v>
      </c>
      <c r="CI208"/>
      <c r="CJ208"/>
      <c r="CK208" s="36" t="s">
        <v>232</v>
      </c>
      <c r="CL208" t="s">
        <v>235</v>
      </c>
      <c r="CM208"/>
      <c r="CN208" s="36" t="s">
        <v>242</v>
      </c>
      <c r="CO208" s="36" t="s">
        <v>134</v>
      </c>
      <c r="CP208" s="36">
        <v>2</v>
      </c>
      <c r="CQ208" s="36">
        <v>4</v>
      </c>
      <c r="CR208" s="36" t="s">
        <v>249</v>
      </c>
      <c r="CS208" s="36">
        <v>2</v>
      </c>
      <c r="CT208" s="36">
        <v>2</v>
      </c>
      <c r="CU208" s="36">
        <v>4</v>
      </c>
      <c r="CV208" s="36">
        <v>3</v>
      </c>
      <c r="CW208" s="36">
        <v>5</v>
      </c>
      <c r="CX208" s="36">
        <v>5</v>
      </c>
      <c r="CY208" s="36">
        <v>5</v>
      </c>
      <c r="CZ208" s="36">
        <v>3</v>
      </c>
      <c r="DA208" s="36">
        <v>5</v>
      </c>
      <c r="DB208" s="36">
        <v>3</v>
      </c>
      <c r="DC208" s="36">
        <v>4</v>
      </c>
      <c r="DD208" s="36">
        <v>5</v>
      </c>
      <c r="DE208" s="36">
        <v>5</v>
      </c>
      <c r="DF208" s="36">
        <v>5</v>
      </c>
      <c r="DG208" s="36">
        <v>5</v>
      </c>
      <c r="DH208" s="36">
        <v>3</v>
      </c>
      <c r="DI208" s="36" t="s">
        <v>252</v>
      </c>
      <c r="DJ208" s="36" t="s">
        <v>133</v>
      </c>
      <c r="DK208" s="36" t="s">
        <v>255</v>
      </c>
      <c r="DL208"/>
      <c r="DM208"/>
      <c r="DN208"/>
      <c r="DO208"/>
      <c r="DP208"/>
      <c r="DQ208" s="36">
        <v>5</v>
      </c>
      <c r="DR208" s="36" t="s">
        <v>134</v>
      </c>
      <c r="DT208"/>
      <c r="DU208"/>
      <c r="DV208"/>
      <c r="DW208"/>
      <c r="DX208"/>
      <c r="DZ208" s="36" t="s">
        <v>133</v>
      </c>
      <c r="EA208" s="36">
        <v>3</v>
      </c>
      <c r="EB208" s="36" t="s">
        <v>262</v>
      </c>
      <c r="EC208" s="36" t="s">
        <v>264</v>
      </c>
      <c r="ED208" s="36">
        <v>26</v>
      </c>
      <c r="EE208" s="36" t="s">
        <v>796</v>
      </c>
      <c r="EF208" s="36" t="str">
        <f>Tabulacao!MC208</f>
        <v>Tobias Barreto</v>
      </c>
      <c r="EG208" s="36" t="s">
        <v>796</v>
      </c>
      <c r="EH208" s="36" t="str">
        <f>Tabulacao!MG208</f>
        <v>Tobias Barreto</v>
      </c>
      <c r="EI208" s="36" t="s">
        <v>292</v>
      </c>
      <c r="EJ208" s="36" t="str">
        <f>Tabulacao!MK208</f>
        <v>Aracaju</v>
      </c>
      <c r="EK208" s="36" t="s">
        <v>134</v>
      </c>
      <c r="EL208" s="36" t="s">
        <v>134</v>
      </c>
      <c r="EM208" s="36" t="s">
        <v>134</v>
      </c>
      <c r="EN208" s="36" t="s">
        <v>134</v>
      </c>
      <c r="EO208" s="36" t="s">
        <v>134</v>
      </c>
      <c r="EP208" s="36" t="s">
        <v>134</v>
      </c>
      <c r="EQ208" s="36" t="s">
        <v>273</v>
      </c>
      <c r="ER208" s="36" t="str">
        <f>IF(OR(EQ208=CaractAmostra!$BD$9,EQ208=CaractAmostra!$BD$10,EQ208=CaractAmostra!$BD$11,EQ208=CaractAmostra!$BD$12,EQ208=CaractAmostra!$BD$13),Respostas_Formatadas!EQ208,"Outros")</f>
        <v>Dividia residência com outras pessoas</v>
      </c>
      <c r="ES208" s="36" t="s">
        <v>278</v>
      </c>
      <c r="ET208" s="36" t="str">
        <f>IF(OR(ES208=CaractAmostra!$BH$9,ES208=CaractAmostra!$BH$10,ES208=CaractAmostra!$BH$11,ES208=CaractAmostra!$BH$12),Respostas_Formatadas!ES208,"Outros")</f>
        <v>Divido residência com outras pessoas</v>
      </c>
      <c r="EU208" s="36" t="s">
        <v>134</v>
      </c>
      <c r="EV208" s="36" t="s">
        <v>283</v>
      </c>
      <c r="EW208" s="36" t="s">
        <v>287</v>
      </c>
      <c r="FE208" s="47">
        <v>2017</v>
      </c>
      <c r="FF208" s="97">
        <v>8.3117999999999999</v>
      </c>
      <c r="FG208" s="47">
        <v>2017</v>
      </c>
      <c r="FH208" s="47">
        <f t="shared" si="7"/>
        <v>0</v>
      </c>
      <c r="FI208" s="47" t="str">
        <f t="shared" si="8"/>
        <v>Lagarto</v>
      </c>
      <c r="FJ208" s="47" t="str">
        <f t="shared" si="9"/>
        <v>Bacharelado</v>
      </c>
    </row>
    <row r="209" spans="1:166" s="36" customFormat="1" ht="15.75" customHeight="1" x14ac:dyDescent="0.2">
      <c r="A209" s="38">
        <v>43424.916605277773</v>
      </c>
      <c r="B209" s="41"/>
      <c r="C209" s="36" t="s">
        <v>128</v>
      </c>
      <c r="D209" s="47" t="s">
        <v>134</v>
      </c>
      <c r="M209" s="36" t="s">
        <v>148</v>
      </c>
      <c r="N209" s="36" t="s">
        <v>134</v>
      </c>
      <c r="O209" s="36" t="s">
        <v>134</v>
      </c>
      <c r="P209" s="36" t="s">
        <v>133</v>
      </c>
      <c r="Q209" s="36" t="s">
        <v>133</v>
      </c>
      <c r="R209" s="36" t="s">
        <v>151</v>
      </c>
      <c r="Y209" s="36" t="s">
        <v>166</v>
      </c>
      <c r="AC209" s="36" t="s">
        <v>178</v>
      </c>
      <c r="AD209" s="36" t="s">
        <v>797</v>
      </c>
      <c r="AE209" s="36">
        <v>1</v>
      </c>
      <c r="AF209" s="36" t="s">
        <v>189</v>
      </c>
      <c r="AG209" s="36" t="s">
        <v>189</v>
      </c>
      <c r="AH209" s="36" t="s">
        <v>134</v>
      </c>
      <c r="AI209" s="40">
        <v>400</v>
      </c>
      <c r="AJ209" s="36">
        <v>1</v>
      </c>
      <c r="AK209" s="36">
        <v>1</v>
      </c>
      <c r="AL209" s="36" t="s">
        <v>133</v>
      </c>
      <c r="AP209" s="36" t="s">
        <v>798</v>
      </c>
      <c r="AQ209" s="40">
        <v>954</v>
      </c>
      <c r="AR209" s="36">
        <v>1</v>
      </c>
      <c r="AS209" s="36">
        <v>2</v>
      </c>
      <c r="AT209" s="36">
        <v>2</v>
      </c>
      <c r="AU209" s="36">
        <v>2</v>
      </c>
      <c r="AV209" s="36">
        <v>2</v>
      </c>
      <c r="AW209" s="36" t="s">
        <v>193</v>
      </c>
      <c r="AX209" s="36" t="s">
        <v>206</v>
      </c>
      <c r="AY209" s="36" t="s">
        <v>210</v>
      </c>
      <c r="AZ209" s="36" t="s">
        <v>133</v>
      </c>
      <c r="BA209" s="36" t="s">
        <v>170</v>
      </c>
      <c r="BB209" s="36" t="s">
        <v>328</v>
      </c>
      <c r="BC209" s="36" t="s">
        <v>328</v>
      </c>
      <c r="BD209" s="36" t="s">
        <v>189</v>
      </c>
      <c r="BF209" s="36" t="s">
        <v>218</v>
      </c>
      <c r="BG209" s="36">
        <v>2</v>
      </c>
      <c r="BH209" s="36">
        <v>1</v>
      </c>
      <c r="BI209" s="36">
        <v>2</v>
      </c>
      <c r="BJ209" s="36">
        <v>5</v>
      </c>
      <c r="BK209" s="36">
        <v>5</v>
      </c>
      <c r="BL209" s="36">
        <v>5</v>
      </c>
      <c r="BM209" s="36">
        <v>5</v>
      </c>
      <c r="BN209" s="36">
        <v>5</v>
      </c>
      <c r="BO209" s="36">
        <v>5</v>
      </c>
      <c r="BP209" s="36">
        <v>5</v>
      </c>
      <c r="BQ209" s="36">
        <v>5</v>
      </c>
      <c r="BR209" s="36">
        <v>5</v>
      </c>
      <c r="BS209" s="36">
        <v>2</v>
      </c>
      <c r="BT209" s="36">
        <v>2</v>
      </c>
      <c r="BU209" s="36">
        <v>1</v>
      </c>
      <c r="BV209" s="36">
        <v>5</v>
      </c>
      <c r="BW209" s="36">
        <v>5</v>
      </c>
      <c r="BX209" s="36">
        <v>5</v>
      </c>
      <c r="BY209" s="36">
        <v>5</v>
      </c>
      <c r="BZ209" s="36">
        <v>5</v>
      </c>
      <c r="CA209" s="36">
        <v>5</v>
      </c>
      <c r="CB209" s="36">
        <v>5</v>
      </c>
      <c r="CC209" s="36">
        <v>5</v>
      </c>
      <c r="CD209" s="36">
        <v>5</v>
      </c>
      <c r="CE209" s="36">
        <v>5</v>
      </c>
      <c r="CF209" s="36">
        <v>2</v>
      </c>
      <c r="CG209" s="36">
        <v>5</v>
      </c>
      <c r="CH209" s="36" t="s">
        <v>799</v>
      </c>
      <c r="CI209"/>
      <c r="CJ209"/>
      <c r="CK209" s="36" t="s">
        <v>234</v>
      </c>
      <c r="CL209"/>
      <c r="CM209"/>
      <c r="CN209" s="36" t="s">
        <v>242</v>
      </c>
      <c r="CO209" s="36" t="s">
        <v>133</v>
      </c>
      <c r="CP209" s="36">
        <v>5</v>
      </c>
      <c r="CQ209" s="36">
        <v>5</v>
      </c>
      <c r="CR209" s="36" t="s">
        <v>248</v>
      </c>
      <c r="CS209" s="36">
        <v>5</v>
      </c>
      <c r="CT209" s="36">
        <v>4</v>
      </c>
      <c r="CU209" s="36">
        <v>4</v>
      </c>
      <c r="CV209" s="36">
        <v>3</v>
      </c>
      <c r="CW209" s="36">
        <v>5</v>
      </c>
      <c r="CX209" s="36">
        <v>5</v>
      </c>
      <c r="CY209" s="36">
        <v>5</v>
      </c>
      <c r="CZ209" s="36">
        <v>5</v>
      </c>
      <c r="DA209" s="36">
        <v>1</v>
      </c>
      <c r="DB209" s="36">
        <v>5</v>
      </c>
      <c r="DC209" s="36">
        <v>5</v>
      </c>
      <c r="DD209" s="36">
        <v>1</v>
      </c>
      <c r="DE209" s="36">
        <v>2</v>
      </c>
      <c r="DF209" s="36">
        <v>3</v>
      </c>
      <c r="DG209" s="36">
        <v>5</v>
      </c>
      <c r="DH209" s="36">
        <v>5</v>
      </c>
      <c r="DI209" s="36" t="s">
        <v>250</v>
      </c>
      <c r="DJ209" s="36" t="s">
        <v>134</v>
      </c>
      <c r="DL209"/>
      <c r="DM209"/>
      <c r="DN209"/>
      <c r="DO209"/>
      <c r="DP209"/>
      <c r="DR209" s="36" t="s">
        <v>133</v>
      </c>
      <c r="DS209" s="36" t="s">
        <v>259</v>
      </c>
      <c r="DT209"/>
      <c r="DU209"/>
      <c r="DV209" t="s">
        <v>260</v>
      </c>
      <c r="DW209" t="s">
        <v>261</v>
      </c>
      <c r="DX209"/>
      <c r="DY209" s="36">
        <v>5</v>
      </c>
      <c r="DZ209" s="36" t="s">
        <v>133</v>
      </c>
      <c r="EA209" s="36">
        <v>5</v>
      </c>
      <c r="EB209" s="36" t="s">
        <v>262</v>
      </c>
      <c r="EC209" s="36" t="s">
        <v>267</v>
      </c>
      <c r="ED209" s="36">
        <v>25</v>
      </c>
      <c r="EE209" s="36" t="s">
        <v>800</v>
      </c>
      <c r="EF209" s="36" t="str">
        <f>Tabulacao!MC209</f>
        <v>Graccho Cardoso</v>
      </c>
      <c r="EG209" s="36" t="s">
        <v>800</v>
      </c>
      <c r="EH209" s="36" t="str">
        <f>Tabulacao!MG209</f>
        <v>Graccho Cardoso</v>
      </c>
      <c r="EI209" s="36" t="s">
        <v>328</v>
      </c>
      <c r="EJ209" s="36" t="str">
        <f>Tabulacao!MK209</f>
        <v>Nossa Senhora da Glória</v>
      </c>
      <c r="EK209" s="36" t="s">
        <v>134</v>
      </c>
      <c r="EL209" s="36" t="s">
        <v>134</v>
      </c>
      <c r="EM209" s="36" t="s">
        <v>134</v>
      </c>
      <c r="EN209" s="36" t="s">
        <v>134</v>
      </c>
      <c r="EO209" s="36" t="s">
        <v>134</v>
      </c>
      <c r="EP209" s="36" t="s">
        <v>134</v>
      </c>
      <c r="EQ209" s="36" t="s">
        <v>275</v>
      </c>
      <c r="ER209" s="36" t="str">
        <f>IF(OR(EQ209=CaractAmostra!$BD$9,EQ209=CaractAmostra!$BD$10,EQ209=CaractAmostra!$BD$11,EQ209=CaractAmostra!$BD$12,EQ209=CaractAmostra!$BD$13),Respostas_Formatadas!EQ209,"Outros")</f>
        <v>Com os pais</v>
      </c>
      <c r="ES209" s="36" t="s">
        <v>801</v>
      </c>
      <c r="ET209" s="36" t="str">
        <f>IF(OR(ES209=CaractAmostra!$BH$9,ES209=CaractAmostra!$BH$10,ES209=CaractAmostra!$BH$11,ES209=CaractAmostra!$BH$12),Respostas_Formatadas!ES209,"Outros")</f>
        <v>Outros</v>
      </c>
      <c r="EU209" s="36" t="s">
        <v>279</v>
      </c>
      <c r="EV209" s="36" t="s">
        <v>282</v>
      </c>
      <c r="EW209" s="36" t="s">
        <v>283</v>
      </c>
      <c r="FD209" s="36" t="s">
        <v>802</v>
      </c>
      <c r="FE209" s="47">
        <v>2014</v>
      </c>
      <c r="FF209" s="97">
        <v>7.0087000000000002</v>
      </c>
      <c r="FG209" s="47">
        <v>2015</v>
      </c>
      <c r="FH209" s="47">
        <f t="shared" si="7"/>
        <v>1</v>
      </c>
      <c r="FI209" s="47" t="str">
        <f t="shared" si="8"/>
        <v>Nossa Senhora da Glória</v>
      </c>
      <c r="FJ209" s="47" t="str">
        <f t="shared" si="9"/>
        <v>Tecnologia</v>
      </c>
    </row>
    <row r="210" spans="1:166" s="36" customFormat="1" ht="15.75" customHeight="1" x14ac:dyDescent="0.2">
      <c r="A210" s="38">
        <v>43424.936149780093</v>
      </c>
      <c r="C210" s="36" t="s">
        <v>126</v>
      </c>
      <c r="D210" s="47" t="s">
        <v>134</v>
      </c>
      <c r="M210" s="36" t="s">
        <v>146</v>
      </c>
      <c r="N210" s="36" t="s">
        <v>134</v>
      </c>
      <c r="O210" s="36" t="s">
        <v>133</v>
      </c>
      <c r="P210" s="36" t="s">
        <v>133</v>
      </c>
      <c r="Q210" s="36" t="s">
        <v>133</v>
      </c>
      <c r="R210" s="36" t="s">
        <v>151</v>
      </c>
      <c r="Y210" s="36" t="s">
        <v>165</v>
      </c>
      <c r="Z210" s="36" t="s">
        <v>167</v>
      </c>
      <c r="AA210" s="36" t="s">
        <v>171</v>
      </c>
      <c r="AB210" s="36" t="s">
        <v>181</v>
      </c>
      <c r="AD210" s="36" t="s">
        <v>388</v>
      </c>
      <c r="AE210" s="36">
        <v>5</v>
      </c>
      <c r="AF210" s="36" t="s">
        <v>189</v>
      </c>
      <c r="AG210" s="36" t="s">
        <v>189</v>
      </c>
      <c r="AH210" s="36" t="s">
        <v>134</v>
      </c>
      <c r="AI210" s="40">
        <v>800</v>
      </c>
      <c r="AJ210" s="36">
        <v>5</v>
      </c>
      <c r="AK210" s="36">
        <v>4</v>
      </c>
      <c r="AL210" s="36" t="s">
        <v>134</v>
      </c>
      <c r="AM210" s="36" t="s">
        <v>168</v>
      </c>
      <c r="AN210" s="36">
        <v>3</v>
      </c>
      <c r="AO210" s="36" t="s">
        <v>134</v>
      </c>
      <c r="AQ210" s="40"/>
      <c r="BT210" s="36">
        <v>3</v>
      </c>
      <c r="BU210" s="36">
        <v>3</v>
      </c>
      <c r="BV210" s="36">
        <v>4</v>
      </c>
      <c r="BW210" s="36">
        <v>4</v>
      </c>
      <c r="BX210" s="36">
        <v>5</v>
      </c>
      <c r="BY210" s="36">
        <v>5</v>
      </c>
      <c r="BZ210" s="36">
        <v>5</v>
      </c>
      <c r="CA210" s="36">
        <v>5</v>
      </c>
      <c r="CB210" s="36">
        <v>4</v>
      </c>
      <c r="CC210" s="36">
        <v>4</v>
      </c>
      <c r="CD210" s="36">
        <v>4</v>
      </c>
      <c r="CE210" s="36">
        <v>4</v>
      </c>
      <c r="CF210" s="36">
        <v>2</v>
      </c>
      <c r="CG210" s="36">
        <v>3</v>
      </c>
      <c r="CH210" s="36" t="s">
        <v>222</v>
      </c>
      <c r="CI210" t="s">
        <v>225</v>
      </c>
      <c r="CJ210"/>
      <c r="CK210" s="36" t="s">
        <v>235</v>
      </c>
      <c r="CL210" t="s">
        <v>240</v>
      </c>
      <c r="CM210"/>
      <c r="CN210" s="36" t="s">
        <v>242</v>
      </c>
      <c r="CO210" s="36" t="s">
        <v>134</v>
      </c>
      <c r="CP210" s="36">
        <v>4</v>
      </c>
      <c r="CQ210" s="36">
        <v>3</v>
      </c>
      <c r="CR210" s="36" t="s">
        <v>249</v>
      </c>
      <c r="CS210" s="36">
        <v>4</v>
      </c>
      <c r="CT210" s="36">
        <v>3</v>
      </c>
      <c r="CU210" s="36">
        <v>4</v>
      </c>
      <c r="CV210" s="36">
        <v>4</v>
      </c>
      <c r="CW210" s="36">
        <v>4</v>
      </c>
      <c r="CX210" s="36">
        <v>3</v>
      </c>
      <c r="CY210" s="36">
        <v>3</v>
      </c>
      <c r="CZ210" s="36">
        <v>4</v>
      </c>
      <c r="DA210" s="36">
        <v>3</v>
      </c>
      <c r="DB210" s="36">
        <v>4</v>
      </c>
      <c r="DC210" s="36">
        <v>4</v>
      </c>
      <c r="DD210" s="36">
        <v>3</v>
      </c>
      <c r="DE210" s="36">
        <v>4</v>
      </c>
      <c r="DF210" s="36">
        <v>3</v>
      </c>
      <c r="DG210" s="36">
        <v>4</v>
      </c>
      <c r="DH210" s="36">
        <v>3</v>
      </c>
      <c r="DI210" s="36" t="s">
        <v>250</v>
      </c>
      <c r="DJ210" s="36" t="s">
        <v>133</v>
      </c>
      <c r="DK210" s="36" t="s">
        <v>255</v>
      </c>
      <c r="DL210"/>
      <c r="DM210"/>
      <c r="DN210" t="s">
        <v>256</v>
      </c>
      <c r="DO210"/>
      <c r="DP210"/>
      <c r="DQ210" s="36">
        <v>4</v>
      </c>
      <c r="DR210" s="36" t="s">
        <v>133</v>
      </c>
      <c r="DS210" s="36" t="s">
        <v>260</v>
      </c>
      <c r="DT210" t="s">
        <v>261</v>
      </c>
      <c r="DU210"/>
      <c r="DV210"/>
      <c r="DW210"/>
      <c r="DX210"/>
      <c r="DY210" s="36">
        <v>4</v>
      </c>
      <c r="DZ210" s="36" t="s">
        <v>133</v>
      </c>
      <c r="EA210" s="36">
        <v>5</v>
      </c>
      <c r="EB210" s="36" t="s">
        <v>263</v>
      </c>
      <c r="EC210" s="36" t="s">
        <v>267</v>
      </c>
      <c r="ED210" s="36">
        <v>32</v>
      </c>
      <c r="EE210" s="36" t="s">
        <v>292</v>
      </c>
      <c r="EF210" s="36" t="str">
        <f>Tabulacao!MC210</f>
        <v>Aracaju</v>
      </c>
      <c r="EG210" s="36" t="s">
        <v>291</v>
      </c>
      <c r="EH210" s="36" t="str">
        <f>Tabulacao!MG210</f>
        <v>Lagarto</v>
      </c>
      <c r="EI210" s="36" t="s">
        <v>292</v>
      </c>
      <c r="EJ210" s="36" t="str">
        <f>Tabulacao!MK210</f>
        <v>Aracaju</v>
      </c>
      <c r="EK210" s="36" t="s">
        <v>134</v>
      </c>
      <c r="EL210" s="36" t="s">
        <v>134</v>
      </c>
      <c r="EM210" s="36" t="s">
        <v>134</v>
      </c>
      <c r="EN210" s="36" t="s">
        <v>134</v>
      </c>
      <c r="EO210" s="36" t="s">
        <v>134</v>
      </c>
      <c r="EP210" s="36" t="s">
        <v>134</v>
      </c>
      <c r="EQ210" s="36" t="s">
        <v>273</v>
      </c>
      <c r="ER210" s="36" t="str">
        <f>IF(OR(EQ210=CaractAmostra!$BD$9,EQ210=CaractAmostra!$BD$10,EQ210=CaractAmostra!$BD$11,EQ210=CaractAmostra!$BD$12,EQ210=CaractAmostra!$BD$13),Respostas_Formatadas!EQ210,"Outros")</f>
        <v>Dividia residência com outras pessoas</v>
      </c>
      <c r="ES210" s="36" t="s">
        <v>274</v>
      </c>
      <c r="ET210" s="36" t="str">
        <f>IF(OR(ES210=CaractAmostra!$BH$9,ES210=CaractAmostra!$BH$10,ES210=CaractAmostra!$BH$11,ES210=CaractAmostra!$BH$12),Respostas_Formatadas!ES210,"Outros")</f>
        <v>Com um(a) parceiro(a)</v>
      </c>
      <c r="EU210" s="36" t="s">
        <v>280</v>
      </c>
      <c r="EV210" s="36" t="s">
        <v>283</v>
      </c>
      <c r="EW210" s="36" t="s">
        <v>282</v>
      </c>
      <c r="FE210" s="47">
        <v>2015</v>
      </c>
      <c r="FF210" s="97">
        <v>7.2595999999999998</v>
      </c>
      <c r="FG210" s="47">
        <v>2015</v>
      </c>
      <c r="FH210" s="47">
        <f t="shared" si="7"/>
        <v>0</v>
      </c>
      <c r="FI210" s="47" t="str">
        <f t="shared" si="8"/>
        <v>Lagarto</v>
      </c>
      <c r="FJ210" s="47" t="str">
        <f t="shared" si="9"/>
        <v>Tecnologia</v>
      </c>
    </row>
    <row r="211" spans="1:166" s="36" customFormat="1" ht="15.75" customHeight="1" x14ac:dyDescent="0.2">
      <c r="A211" s="38">
        <v>43424.958612268514</v>
      </c>
      <c r="B211" s="41"/>
      <c r="C211" s="36" t="s">
        <v>127</v>
      </c>
      <c r="D211" s="47" t="s">
        <v>134</v>
      </c>
      <c r="M211" s="36" t="s">
        <v>146</v>
      </c>
      <c r="N211" s="36" t="s">
        <v>133</v>
      </c>
      <c r="O211" s="36" t="s">
        <v>133</v>
      </c>
      <c r="P211" s="36" t="s">
        <v>133</v>
      </c>
      <c r="Q211" s="36" t="s">
        <v>134</v>
      </c>
      <c r="R211" s="36" t="s">
        <v>151</v>
      </c>
      <c r="Y211" s="36" t="s">
        <v>166</v>
      </c>
      <c r="AC211" s="36" t="s">
        <v>181</v>
      </c>
      <c r="AD211" s="36" t="s">
        <v>803</v>
      </c>
      <c r="AE211" s="36">
        <v>4</v>
      </c>
      <c r="AF211" s="36" t="s">
        <v>187</v>
      </c>
      <c r="AG211" s="36" t="s">
        <v>187</v>
      </c>
      <c r="AH211" s="36" t="s">
        <v>133</v>
      </c>
      <c r="AI211" s="66">
        <v>880</v>
      </c>
      <c r="AJ211" s="36">
        <v>4</v>
      </c>
      <c r="AK211" s="36">
        <v>4</v>
      </c>
      <c r="AL211" s="36" t="s">
        <v>134</v>
      </c>
      <c r="AM211" s="36" t="s">
        <v>167</v>
      </c>
      <c r="AN211" s="36">
        <v>1</v>
      </c>
      <c r="AO211" s="36" t="s">
        <v>133</v>
      </c>
      <c r="AP211" s="36" t="s">
        <v>803</v>
      </c>
      <c r="AQ211" s="40">
        <v>954</v>
      </c>
      <c r="AR211" s="36">
        <v>1</v>
      </c>
      <c r="AS211" s="36">
        <v>5</v>
      </c>
      <c r="AT211" s="36">
        <v>4</v>
      </c>
      <c r="AU211" s="36">
        <v>4</v>
      </c>
      <c r="AV211" s="36">
        <v>3</v>
      </c>
      <c r="AW211" s="36" t="s">
        <v>193</v>
      </c>
      <c r="AX211" s="36" t="s">
        <v>206</v>
      </c>
      <c r="AY211" s="36" t="s">
        <v>210</v>
      </c>
      <c r="AZ211" s="36" t="s">
        <v>134</v>
      </c>
      <c r="BA211" s="36" t="s">
        <v>170</v>
      </c>
      <c r="BB211" s="36" t="s">
        <v>804</v>
      </c>
      <c r="BC211" s="36" t="s">
        <v>1292</v>
      </c>
      <c r="BD211" s="36" t="s">
        <v>187</v>
      </c>
      <c r="BE211" s="36" t="s">
        <v>215</v>
      </c>
      <c r="BG211" s="36">
        <v>5</v>
      </c>
      <c r="BH211" s="36">
        <v>4</v>
      </c>
      <c r="BI211" s="36">
        <v>4</v>
      </c>
      <c r="BJ211" s="36">
        <v>5</v>
      </c>
      <c r="BK211" s="36">
        <v>5</v>
      </c>
      <c r="BL211" s="36">
        <v>5</v>
      </c>
      <c r="BM211" s="36">
        <v>5</v>
      </c>
      <c r="BN211" s="36">
        <v>4</v>
      </c>
      <c r="BO211" s="36">
        <v>5</v>
      </c>
      <c r="BP211" s="36">
        <v>5</v>
      </c>
      <c r="BQ211" s="36">
        <v>4</v>
      </c>
      <c r="BR211" s="36">
        <v>5</v>
      </c>
      <c r="BS211" s="36">
        <v>3</v>
      </c>
      <c r="BT211" s="36">
        <v>5</v>
      </c>
      <c r="BU211" s="36">
        <v>4</v>
      </c>
      <c r="BV211" s="36">
        <v>4</v>
      </c>
      <c r="BW211" s="36">
        <v>5</v>
      </c>
      <c r="BX211" s="36">
        <v>5</v>
      </c>
      <c r="BY211" s="36">
        <v>5</v>
      </c>
      <c r="BZ211" s="36">
        <v>4</v>
      </c>
      <c r="CA211" s="36">
        <v>4</v>
      </c>
      <c r="CB211" s="36">
        <v>5</v>
      </c>
      <c r="CC211" s="36">
        <v>4</v>
      </c>
      <c r="CD211" s="36">
        <v>4</v>
      </c>
      <c r="CE211" s="36">
        <v>5</v>
      </c>
      <c r="CF211" s="36">
        <v>3</v>
      </c>
      <c r="CG211" s="36">
        <v>4</v>
      </c>
      <c r="CH211" s="36" t="s">
        <v>222</v>
      </c>
      <c r="CI211" t="s">
        <v>225</v>
      </c>
      <c r="CJ211" t="s">
        <v>226</v>
      </c>
      <c r="CK211" s="36" t="s">
        <v>233</v>
      </c>
      <c r="CL211" t="s">
        <v>234</v>
      </c>
      <c r="CM211" t="s">
        <v>235</v>
      </c>
      <c r="CN211" s="36" t="s">
        <v>242</v>
      </c>
      <c r="CO211" s="36" t="s">
        <v>134</v>
      </c>
      <c r="CP211" s="36">
        <v>1</v>
      </c>
      <c r="CQ211" s="36">
        <v>5</v>
      </c>
      <c r="CR211" s="36" t="s">
        <v>248</v>
      </c>
      <c r="CS211" s="36">
        <v>4</v>
      </c>
      <c r="CT211" s="36">
        <v>5</v>
      </c>
      <c r="CU211" s="36">
        <v>5</v>
      </c>
      <c r="CV211" s="36">
        <v>1</v>
      </c>
      <c r="CW211" s="36">
        <v>5</v>
      </c>
      <c r="CX211" s="36">
        <v>5</v>
      </c>
      <c r="CY211" s="36">
        <v>4</v>
      </c>
      <c r="CZ211" s="36">
        <v>5</v>
      </c>
      <c r="DA211" s="36">
        <v>4</v>
      </c>
      <c r="DB211" s="36">
        <v>4</v>
      </c>
      <c r="DC211" s="36">
        <v>4</v>
      </c>
      <c r="DD211" s="36">
        <v>5</v>
      </c>
      <c r="DE211" s="36">
        <v>5</v>
      </c>
      <c r="DF211" s="36">
        <v>5</v>
      </c>
      <c r="DG211" s="36">
        <v>5</v>
      </c>
      <c r="DH211" s="36">
        <v>5</v>
      </c>
      <c r="DI211" s="36" t="s">
        <v>133</v>
      </c>
      <c r="DJ211" s="36" t="s">
        <v>133</v>
      </c>
      <c r="DK211" s="36" t="s">
        <v>254</v>
      </c>
      <c r="DL211"/>
      <c r="DM211"/>
      <c r="DN211"/>
      <c r="DO211"/>
      <c r="DP211"/>
      <c r="DQ211" s="36">
        <v>5</v>
      </c>
      <c r="DR211" s="36" t="s">
        <v>133</v>
      </c>
      <c r="DS211" s="36" t="s">
        <v>258</v>
      </c>
      <c r="DT211" t="s">
        <v>260</v>
      </c>
      <c r="DU211"/>
      <c r="DV211"/>
      <c r="DW211"/>
      <c r="DX211"/>
      <c r="DY211" s="36">
        <v>5</v>
      </c>
      <c r="DZ211" s="36" t="s">
        <v>133</v>
      </c>
      <c r="EA211" s="36">
        <v>5</v>
      </c>
      <c r="EB211" s="36" t="s">
        <v>262</v>
      </c>
      <c r="EC211" s="36" t="s">
        <v>267</v>
      </c>
      <c r="ED211" s="36">
        <v>21</v>
      </c>
      <c r="EE211" s="36" t="s">
        <v>805</v>
      </c>
      <c r="EF211" s="36" t="str">
        <f>Tabulacao!MC211</f>
        <v>Campo do Brito</v>
      </c>
      <c r="EG211" s="36" t="s">
        <v>805</v>
      </c>
      <c r="EH211" s="36" t="str">
        <f>Tabulacao!MG211</f>
        <v>Campo do Brito</v>
      </c>
      <c r="EI211" s="36" t="s">
        <v>805</v>
      </c>
      <c r="EJ211" s="36" t="str">
        <f>Tabulacao!MK211</f>
        <v>Campo do Brito</v>
      </c>
      <c r="EK211" s="36" t="s">
        <v>134</v>
      </c>
      <c r="EL211" s="36" t="s">
        <v>134</v>
      </c>
      <c r="EM211" s="36" t="s">
        <v>134</v>
      </c>
      <c r="EN211" s="36" t="s">
        <v>134</v>
      </c>
      <c r="EO211" s="36" t="s">
        <v>134</v>
      </c>
      <c r="EP211" s="36" t="s">
        <v>134</v>
      </c>
      <c r="EQ211" s="36" t="s">
        <v>275</v>
      </c>
      <c r="ER211" s="36" t="str">
        <f>IF(OR(EQ211=CaractAmostra!$BD$9,EQ211=CaractAmostra!$BD$10,EQ211=CaractAmostra!$BD$11,EQ211=CaractAmostra!$BD$12,EQ211=CaractAmostra!$BD$13),Respostas_Formatadas!EQ211,"Outros")</f>
        <v>Com os pais</v>
      </c>
      <c r="ES211" s="36" t="s">
        <v>275</v>
      </c>
      <c r="ET211" s="36" t="str">
        <f>IF(OR(ES211=CaractAmostra!$BH$9,ES211=CaractAmostra!$BH$10,ES211=CaractAmostra!$BH$11,ES211=CaractAmostra!$BH$12),Respostas_Formatadas!ES211,"Outros")</f>
        <v>Com os pais</v>
      </c>
      <c r="EU211" s="36" t="s">
        <v>134</v>
      </c>
      <c r="EV211" s="36" t="s">
        <v>282</v>
      </c>
      <c r="EW211" s="36" t="s">
        <v>282</v>
      </c>
      <c r="FE211" s="47">
        <v>2017</v>
      </c>
      <c r="FF211" s="97">
        <v>7.2750000000000004</v>
      </c>
      <c r="FG211" s="47">
        <v>2017</v>
      </c>
      <c r="FH211" s="47">
        <f t="shared" ref="FH211:FH242" si="10">FG211-FE211</f>
        <v>0</v>
      </c>
      <c r="FI211" s="47" t="str">
        <f t="shared" si="8"/>
        <v>Itabaiana</v>
      </c>
      <c r="FJ211" s="47" t="str">
        <f t="shared" si="9"/>
        <v>Tecnologia</v>
      </c>
    </row>
    <row r="212" spans="1:166" s="36" customFormat="1" ht="15.75" customHeight="1" x14ac:dyDescent="0.2">
      <c r="A212" s="38">
        <v>43424.980372604172</v>
      </c>
      <c r="C212" s="36" t="s">
        <v>122</v>
      </c>
      <c r="D212" s="47" t="s">
        <v>133</v>
      </c>
      <c r="E212" s="36" t="s">
        <v>135</v>
      </c>
      <c r="H212" s="36" t="s">
        <v>142</v>
      </c>
      <c r="M212" s="36" t="s">
        <v>148</v>
      </c>
      <c r="N212" s="36" t="s">
        <v>134</v>
      </c>
      <c r="O212" s="36" t="s">
        <v>133</v>
      </c>
      <c r="P212" s="36" t="s">
        <v>133</v>
      </c>
      <c r="Q212" s="36" t="s">
        <v>133</v>
      </c>
      <c r="R212" s="36" t="s">
        <v>153</v>
      </c>
      <c r="S212" s="36" t="s">
        <v>806</v>
      </c>
      <c r="T212" s="36" t="s">
        <v>154</v>
      </c>
      <c r="U212" s="36" t="s">
        <v>157</v>
      </c>
      <c r="V212" s="36">
        <v>1</v>
      </c>
      <c r="W212" s="36">
        <v>4</v>
      </c>
      <c r="X212" s="36">
        <v>1</v>
      </c>
      <c r="Y212" s="36" t="s">
        <v>165</v>
      </c>
      <c r="Z212" s="36" t="s">
        <v>167</v>
      </c>
      <c r="AA212" s="36" t="s">
        <v>174</v>
      </c>
      <c r="AB212" s="36" t="s">
        <v>180</v>
      </c>
      <c r="AD212" s="36" t="s">
        <v>651</v>
      </c>
      <c r="AE212" s="36">
        <v>1</v>
      </c>
      <c r="AF212" s="36" t="s">
        <v>187</v>
      </c>
      <c r="AG212" s="36" t="s">
        <v>187</v>
      </c>
      <c r="AH212" s="36" t="s">
        <v>134</v>
      </c>
      <c r="AI212" s="40"/>
      <c r="AJ212" s="36">
        <v>3</v>
      </c>
      <c r="AK212" s="36">
        <v>3</v>
      </c>
      <c r="AL212" s="36" t="s">
        <v>134</v>
      </c>
      <c r="AM212" s="36" t="s">
        <v>170</v>
      </c>
      <c r="AN212" s="36">
        <v>2</v>
      </c>
      <c r="AO212" s="36" t="s">
        <v>133</v>
      </c>
      <c r="AP212" s="36" t="s">
        <v>797</v>
      </c>
      <c r="AQ212" s="40"/>
      <c r="AR212" s="36">
        <v>3</v>
      </c>
      <c r="AS212" s="36">
        <v>3</v>
      </c>
      <c r="AT212" s="36">
        <v>3</v>
      </c>
      <c r="AU212" s="36">
        <v>3</v>
      </c>
      <c r="AV212" s="36">
        <v>3</v>
      </c>
      <c r="AW212" s="36" t="s">
        <v>198</v>
      </c>
      <c r="AX212" s="36" t="s">
        <v>204</v>
      </c>
      <c r="AY212" s="36" t="s">
        <v>208</v>
      </c>
      <c r="AZ212" s="36" t="s">
        <v>133</v>
      </c>
      <c r="BA212" s="36" t="s">
        <v>170</v>
      </c>
      <c r="BB212" s="36" t="s">
        <v>399</v>
      </c>
      <c r="BD212" s="36" t="s">
        <v>190</v>
      </c>
      <c r="BG212" s="36">
        <v>2</v>
      </c>
      <c r="BH212" s="36">
        <v>4</v>
      </c>
      <c r="BI212" s="36">
        <v>4</v>
      </c>
      <c r="BJ212" s="36">
        <v>1</v>
      </c>
      <c r="BK212" s="36">
        <v>2</v>
      </c>
      <c r="BL212" s="36">
        <v>4</v>
      </c>
      <c r="BM212" s="36">
        <v>3</v>
      </c>
      <c r="BN212" s="36">
        <v>5</v>
      </c>
      <c r="BO212" s="36">
        <v>3</v>
      </c>
      <c r="BP212" s="36">
        <v>3</v>
      </c>
      <c r="BQ212" s="36">
        <v>3</v>
      </c>
      <c r="BR212" s="36">
        <v>4</v>
      </c>
      <c r="BS212" s="36">
        <v>1</v>
      </c>
      <c r="BT212" s="36">
        <v>3</v>
      </c>
      <c r="BU212" s="36">
        <v>3</v>
      </c>
      <c r="BV212" s="36">
        <v>3</v>
      </c>
      <c r="BW212" s="36">
        <v>3</v>
      </c>
      <c r="BX212" s="36">
        <v>3</v>
      </c>
      <c r="BY212" s="36">
        <v>3</v>
      </c>
      <c r="BZ212" s="36">
        <v>3</v>
      </c>
      <c r="CA212" s="36">
        <v>5</v>
      </c>
      <c r="CB212" s="36">
        <v>3</v>
      </c>
      <c r="CC212" s="36">
        <v>3</v>
      </c>
      <c r="CD212" s="36">
        <v>3</v>
      </c>
      <c r="CE212" s="36">
        <v>4</v>
      </c>
      <c r="CF212" s="36">
        <v>1</v>
      </c>
      <c r="CG212" s="36">
        <v>4</v>
      </c>
      <c r="CH212" s="36" t="s">
        <v>229</v>
      </c>
      <c r="CI212"/>
      <c r="CJ212"/>
      <c r="CK212" s="36" t="s">
        <v>240</v>
      </c>
      <c r="CL212"/>
      <c r="CM212"/>
      <c r="CN212" s="36" t="s">
        <v>242</v>
      </c>
      <c r="CO212" s="36" t="s">
        <v>134</v>
      </c>
      <c r="CP212" s="36">
        <v>2</v>
      </c>
      <c r="CQ212" s="36">
        <v>5</v>
      </c>
      <c r="CR212" s="36" t="s">
        <v>249</v>
      </c>
      <c r="CS212" s="36">
        <v>5</v>
      </c>
      <c r="CT212" s="36">
        <v>5</v>
      </c>
      <c r="CU212" s="36">
        <v>5</v>
      </c>
      <c r="CV212" s="36">
        <v>5</v>
      </c>
      <c r="CW212" s="36">
        <v>4</v>
      </c>
      <c r="CX212" s="36">
        <v>4</v>
      </c>
      <c r="CY212" s="36">
        <v>5</v>
      </c>
      <c r="CZ212" s="36">
        <v>3</v>
      </c>
      <c r="DA212" s="36">
        <v>3</v>
      </c>
      <c r="DB212" s="36">
        <v>4</v>
      </c>
      <c r="DC212" s="36">
        <v>2</v>
      </c>
      <c r="DD212" s="36">
        <v>5</v>
      </c>
      <c r="DE212" s="36">
        <v>4</v>
      </c>
      <c r="DF212" s="36">
        <v>4</v>
      </c>
      <c r="DG212" s="36">
        <v>4</v>
      </c>
      <c r="DH212" s="36">
        <v>4</v>
      </c>
      <c r="DI212" s="36" t="s">
        <v>250</v>
      </c>
      <c r="DJ212" s="36" t="s">
        <v>134</v>
      </c>
      <c r="DL212"/>
      <c r="DM212"/>
      <c r="DN212"/>
      <c r="DO212"/>
      <c r="DP212"/>
      <c r="DR212" s="36" t="s">
        <v>133</v>
      </c>
      <c r="DS212" s="36" t="s">
        <v>261</v>
      </c>
      <c r="DT212"/>
      <c r="DU212"/>
      <c r="DV212"/>
      <c r="DW212"/>
      <c r="DX212"/>
      <c r="DY212" s="36">
        <v>5</v>
      </c>
      <c r="DZ212" s="36" t="s">
        <v>133</v>
      </c>
      <c r="EA212" s="36">
        <v>5</v>
      </c>
      <c r="EB212" s="36" t="s">
        <v>263</v>
      </c>
      <c r="EC212" s="36" t="s">
        <v>267</v>
      </c>
      <c r="ED212" s="36">
        <v>28</v>
      </c>
      <c r="EE212" s="36" t="s">
        <v>399</v>
      </c>
      <c r="EF212" s="36" t="str">
        <f>Tabulacao!MC212</f>
        <v>São Cristóvão</v>
      </c>
      <c r="EG212" s="36" t="s">
        <v>459</v>
      </c>
      <c r="EH212" s="36" t="str">
        <f>Tabulacao!MG212</f>
        <v>São Cristóvão</v>
      </c>
      <c r="EI212" s="36" t="s">
        <v>292</v>
      </c>
      <c r="EJ212" s="36" t="str">
        <f>Tabulacao!MK212</f>
        <v>Aracaju</v>
      </c>
      <c r="EK212" s="36" t="s">
        <v>134</v>
      </c>
      <c r="EL212" s="36" t="s">
        <v>134</v>
      </c>
      <c r="EM212" s="36" t="s">
        <v>134</v>
      </c>
      <c r="EN212" s="36" t="s">
        <v>134</v>
      </c>
      <c r="EO212" s="36" t="s">
        <v>134</v>
      </c>
      <c r="EP212" s="36" t="s">
        <v>134</v>
      </c>
      <c r="EQ212" s="36" t="s">
        <v>272</v>
      </c>
      <c r="ER212" s="36" t="str">
        <f>IF(OR(EQ212=CaractAmostra!$BD$9,EQ212=CaractAmostra!$BD$10,EQ212=CaractAmostra!$BD$11,EQ212=CaractAmostra!$BD$12,EQ212=CaractAmostra!$BD$13),Respostas_Formatadas!EQ212,"Outros")</f>
        <v>Morava sozinho</v>
      </c>
      <c r="ES212" s="36" t="s">
        <v>277</v>
      </c>
      <c r="ET212" s="36" t="str">
        <f>IF(OR(ES212=CaractAmostra!$BH$9,ES212=CaractAmostra!$BH$10,ES212=CaractAmostra!$BH$11,ES212=CaractAmostra!$BH$12),Respostas_Formatadas!ES212,"Outros")</f>
        <v>Sozinho</v>
      </c>
      <c r="EU212" s="36" t="s">
        <v>134</v>
      </c>
      <c r="EV212" s="36" t="s">
        <v>285</v>
      </c>
      <c r="EW212" s="36" t="s">
        <v>285</v>
      </c>
      <c r="FE212" s="47">
        <v>2012</v>
      </c>
      <c r="FF212" s="97">
        <v>7.9340000000000002</v>
      </c>
      <c r="FG212" s="47">
        <v>2013</v>
      </c>
      <c r="FH212" s="47">
        <f t="shared" si="10"/>
        <v>1</v>
      </c>
      <c r="FI212" s="47" t="str">
        <f t="shared" si="8"/>
        <v>Aracaju</v>
      </c>
      <c r="FJ212" s="47" t="str">
        <f t="shared" si="9"/>
        <v>Licenciatura</v>
      </c>
    </row>
    <row r="213" spans="1:166" s="36" customFormat="1" ht="15.75" customHeight="1" x14ac:dyDescent="0.2">
      <c r="A213" s="38">
        <v>43424.982487326386</v>
      </c>
      <c r="B213" s="41"/>
      <c r="C213" s="36" t="s">
        <v>119</v>
      </c>
      <c r="D213" s="47" t="s">
        <v>134</v>
      </c>
      <c r="M213" s="36" t="s">
        <v>146</v>
      </c>
      <c r="N213" s="36" t="s">
        <v>134</v>
      </c>
      <c r="O213" s="36" t="s">
        <v>133</v>
      </c>
      <c r="P213" s="36" t="s">
        <v>134</v>
      </c>
      <c r="Q213" s="36" t="s">
        <v>134</v>
      </c>
      <c r="R213" s="36" t="s">
        <v>151</v>
      </c>
      <c r="Y213" s="36" t="s">
        <v>134</v>
      </c>
      <c r="AI213" s="40"/>
      <c r="AQ213" s="40"/>
      <c r="BT213" s="36">
        <v>4</v>
      </c>
      <c r="BU213" s="36">
        <v>3</v>
      </c>
      <c r="BV213" s="36">
        <v>3</v>
      </c>
      <c r="BW213" s="36">
        <v>5</v>
      </c>
      <c r="BX213" s="36">
        <v>5</v>
      </c>
      <c r="BY213" s="36">
        <v>5</v>
      </c>
      <c r="BZ213" s="36">
        <v>5</v>
      </c>
      <c r="CA213" s="36">
        <v>4</v>
      </c>
      <c r="CB213" s="36">
        <v>4</v>
      </c>
      <c r="CC213" s="36">
        <v>5</v>
      </c>
      <c r="CD213" s="36">
        <v>4</v>
      </c>
      <c r="CE213" s="36">
        <v>4</v>
      </c>
      <c r="CF213" s="36">
        <v>3</v>
      </c>
      <c r="CG213" s="36">
        <v>3</v>
      </c>
      <c r="CH213" s="36" t="s">
        <v>229</v>
      </c>
      <c r="CI213" t="s">
        <v>1011</v>
      </c>
      <c r="CJ213"/>
      <c r="CK213" s="36" t="s">
        <v>234</v>
      </c>
      <c r="CL213"/>
      <c r="CM213"/>
      <c r="CN213" s="36" t="s">
        <v>242</v>
      </c>
      <c r="CO213" s="36" t="s">
        <v>134</v>
      </c>
      <c r="CP213" s="36">
        <v>4</v>
      </c>
      <c r="CQ213" s="36">
        <v>4</v>
      </c>
      <c r="CR213" s="36" t="s">
        <v>248</v>
      </c>
      <c r="CS213" s="36">
        <v>2</v>
      </c>
      <c r="CT213" s="36">
        <v>2</v>
      </c>
      <c r="CU213" s="36">
        <v>2</v>
      </c>
      <c r="CV213" s="36">
        <v>2</v>
      </c>
      <c r="CW213" s="36">
        <v>2</v>
      </c>
      <c r="CX213" s="36">
        <v>4</v>
      </c>
      <c r="CY213" s="36">
        <v>4</v>
      </c>
      <c r="CZ213" s="36">
        <v>5</v>
      </c>
      <c r="DA213" s="36">
        <v>1</v>
      </c>
      <c r="DB213" s="36">
        <v>2</v>
      </c>
      <c r="DC213" s="36">
        <v>2</v>
      </c>
      <c r="DD213" s="36">
        <v>3</v>
      </c>
      <c r="DE213" s="36">
        <v>3</v>
      </c>
      <c r="DF213" s="36">
        <v>3</v>
      </c>
      <c r="DG213" s="36">
        <v>4</v>
      </c>
      <c r="DH213" s="36">
        <v>3</v>
      </c>
      <c r="DI213" s="36" t="s">
        <v>133</v>
      </c>
      <c r="DJ213" s="36" t="s">
        <v>133</v>
      </c>
      <c r="DK213" s="36" t="s">
        <v>255</v>
      </c>
      <c r="DL213"/>
      <c r="DM213"/>
      <c r="DN213"/>
      <c r="DO213"/>
      <c r="DP213"/>
      <c r="DQ213" s="36">
        <v>3</v>
      </c>
      <c r="DR213" s="36" t="s">
        <v>133</v>
      </c>
      <c r="DS213" s="36" t="s">
        <v>259</v>
      </c>
      <c r="DT213"/>
      <c r="DU213"/>
      <c r="DV213"/>
      <c r="DW213"/>
      <c r="DX213"/>
      <c r="DY213" s="36">
        <v>2</v>
      </c>
      <c r="DZ213" s="36" t="s">
        <v>134</v>
      </c>
      <c r="EB213" s="36" t="s">
        <v>263</v>
      </c>
      <c r="EC213" s="36" t="s">
        <v>267</v>
      </c>
      <c r="ED213" s="36">
        <v>25</v>
      </c>
      <c r="EE213" s="36" t="s">
        <v>304</v>
      </c>
      <c r="EF213" s="36" t="str">
        <f>Tabulacao!MC213</f>
        <v>Aracaju</v>
      </c>
      <c r="EG213" s="36" t="s">
        <v>304</v>
      </c>
      <c r="EH213" s="36" t="str">
        <f>Tabulacao!MG213</f>
        <v>Aracaju</v>
      </c>
      <c r="EI213" s="36" t="s">
        <v>304</v>
      </c>
      <c r="EJ213" s="36" t="str">
        <f>Tabulacao!MK213</f>
        <v>Aracaju</v>
      </c>
      <c r="EK213" s="36" t="s">
        <v>134</v>
      </c>
      <c r="EL213" s="36" t="s">
        <v>134</v>
      </c>
      <c r="EM213" s="36" t="s">
        <v>134</v>
      </c>
      <c r="EN213" s="36" t="s">
        <v>134</v>
      </c>
      <c r="EO213" s="36" t="s">
        <v>134</v>
      </c>
      <c r="EP213" s="36" t="s">
        <v>134</v>
      </c>
      <c r="EQ213" s="36" t="s">
        <v>275</v>
      </c>
      <c r="ER213" s="36" t="str">
        <f>IF(OR(EQ213=CaractAmostra!$BD$9,EQ213=CaractAmostra!$BD$10,EQ213=CaractAmostra!$BD$11,EQ213=CaractAmostra!$BD$12,EQ213=CaractAmostra!$BD$13),Respostas_Formatadas!EQ213,"Outros")</f>
        <v>Com os pais</v>
      </c>
      <c r="ES213" s="36" t="s">
        <v>275</v>
      </c>
      <c r="ET213" s="36" t="str">
        <f>IF(OR(ES213=CaractAmostra!$BH$9,ES213=CaractAmostra!$BH$10,ES213=CaractAmostra!$BH$11,ES213=CaractAmostra!$BH$12),Respostas_Formatadas!ES213,"Outros")</f>
        <v>Com os pais</v>
      </c>
      <c r="EU213" s="36" t="s">
        <v>134</v>
      </c>
      <c r="EV213" s="36" t="s">
        <v>287</v>
      </c>
      <c r="EW213" s="36" t="s">
        <v>283</v>
      </c>
      <c r="FE213" s="47">
        <v>2017</v>
      </c>
      <c r="FF213" s="97">
        <v>7.5511999999999997</v>
      </c>
      <c r="FG213" s="47">
        <v>2017</v>
      </c>
      <c r="FH213" s="47">
        <f t="shared" si="10"/>
        <v>0</v>
      </c>
      <c r="FI213" s="47" t="str">
        <f t="shared" si="8"/>
        <v>Aracaju</v>
      </c>
      <c r="FJ213" s="47" t="str">
        <f t="shared" si="9"/>
        <v>Bacharelado</v>
      </c>
    </row>
    <row r="214" spans="1:166" s="36" customFormat="1" ht="15.75" customHeight="1" x14ac:dyDescent="0.2">
      <c r="A214" s="38">
        <v>43425.039251180555</v>
      </c>
      <c r="C214" s="36" t="s">
        <v>124</v>
      </c>
      <c r="D214" s="47" t="s">
        <v>133</v>
      </c>
      <c r="E214" s="36" t="s">
        <v>136</v>
      </c>
      <c r="H214" s="36" t="s">
        <v>142</v>
      </c>
      <c r="M214" s="36" t="s">
        <v>148</v>
      </c>
      <c r="N214" s="36" t="s">
        <v>134</v>
      </c>
      <c r="O214" s="36" t="s">
        <v>133</v>
      </c>
      <c r="P214" s="36" t="s">
        <v>133</v>
      </c>
      <c r="Q214" s="36" t="s">
        <v>133</v>
      </c>
      <c r="R214" s="36" t="s">
        <v>151</v>
      </c>
      <c r="Y214" s="36" t="s">
        <v>166</v>
      </c>
      <c r="AC214" s="36" t="s">
        <v>182</v>
      </c>
      <c r="AD214" s="36" t="s">
        <v>526</v>
      </c>
      <c r="AE214" s="36">
        <v>4</v>
      </c>
      <c r="AF214" s="36" t="s">
        <v>189</v>
      </c>
      <c r="AG214" s="36" t="s">
        <v>189</v>
      </c>
      <c r="AH214" s="36" t="s">
        <v>134</v>
      </c>
      <c r="AI214" s="40">
        <v>1600</v>
      </c>
      <c r="AJ214" s="36">
        <v>3</v>
      </c>
      <c r="AK214" s="36">
        <v>4</v>
      </c>
      <c r="AL214" s="36" t="s">
        <v>134</v>
      </c>
      <c r="AM214" s="36" t="s">
        <v>170</v>
      </c>
      <c r="AN214" s="36">
        <v>2</v>
      </c>
      <c r="AO214" s="36" t="s">
        <v>133</v>
      </c>
      <c r="AP214" s="36" t="s">
        <v>807</v>
      </c>
      <c r="AQ214" s="40">
        <v>7500</v>
      </c>
      <c r="AR214" s="36">
        <v>5</v>
      </c>
      <c r="AS214" s="36">
        <v>3</v>
      </c>
      <c r="AT214" s="36">
        <v>3</v>
      </c>
      <c r="AU214" s="36">
        <v>5</v>
      </c>
      <c r="AV214" s="36">
        <v>5</v>
      </c>
      <c r="AW214" s="36" t="s">
        <v>192</v>
      </c>
      <c r="AX214" s="36" t="s">
        <v>206</v>
      </c>
      <c r="AY214" s="36" t="s">
        <v>210</v>
      </c>
      <c r="AZ214" s="36" t="s">
        <v>133</v>
      </c>
      <c r="BA214" s="36" t="s">
        <v>170</v>
      </c>
      <c r="BB214" s="36" t="s">
        <v>808</v>
      </c>
      <c r="BC214" s="36" t="s">
        <v>754</v>
      </c>
      <c r="BD214" s="36" t="s">
        <v>189</v>
      </c>
      <c r="BF214" s="36" t="s">
        <v>221</v>
      </c>
      <c r="BG214" s="36">
        <v>4</v>
      </c>
      <c r="BH214" s="36">
        <v>4</v>
      </c>
      <c r="BI214" s="36">
        <v>4</v>
      </c>
      <c r="BJ214" s="36">
        <v>5</v>
      </c>
      <c r="BK214" s="36">
        <v>5</v>
      </c>
      <c r="BL214" s="36">
        <v>5</v>
      </c>
      <c r="BM214" s="36">
        <v>5</v>
      </c>
      <c r="BN214" s="36">
        <v>5</v>
      </c>
      <c r="BO214" s="36">
        <v>5</v>
      </c>
      <c r="BP214" s="36">
        <v>5</v>
      </c>
      <c r="BQ214" s="36">
        <v>5</v>
      </c>
      <c r="BR214" s="36">
        <v>5</v>
      </c>
      <c r="BS214" s="36">
        <v>3</v>
      </c>
      <c r="BT214" s="36">
        <v>5</v>
      </c>
      <c r="BU214" s="36">
        <v>4</v>
      </c>
      <c r="BV214" s="36">
        <v>5</v>
      </c>
      <c r="BW214" s="36">
        <v>5</v>
      </c>
      <c r="BX214" s="36">
        <v>5</v>
      </c>
      <c r="BY214" s="36">
        <v>5</v>
      </c>
      <c r="BZ214" s="36">
        <v>4</v>
      </c>
      <c r="CA214" s="36">
        <v>4</v>
      </c>
      <c r="CB214" s="36">
        <v>5</v>
      </c>
      <c r="CC214" s="36">
        <v>5</v>
      </c>
      <c r="CD214" s="36">
        <v>4</v>
      </c>
      <c r="CE214" s="36">
        <v>4</v>
      </c>
      <c r="CF214" s="36">
        <v>3</v>
      </c>
      <c r="CG214" s="36">
        <v>5</v>
      </c>
      <c r="CH214" s="36" t="s">
        <v>226</v>
      </c>
      <c r="CI214"/>
      <c r="CJ214"/>
      <c r="CK214" s="36" t="s">
        <v>239</v>
      </c>
      <c r="CL214"/>
      <c r="CM214"/>
      <c r="CN214" s="36" t="s">
        <v>242</v>
      </c>
      <c r="CO214" s="36" t="s">
        <v>134</v>
      </c>
      <c r="CP214" s="36">
        <v>4</v>
      </c>
      <c r="CQ214" s="36">
        <v>4</v>
      </c>
      <c r="CR214" s="36" t="s">
        <v>249</v>
      </c>
      <c r="CS214" s="36">
        <v>3</v>
      </c>
      <c r="CT214" s="36">
        <v>3</v>
      </c>
      <c r="CU214" s="36">
        <v>3</v>
      </c>
      <c r="CV214" s="36">
        <v>2</v>
      </c>
      <c r="CW214" s="36">
        <v>3</v>
      </c>
      <c r="CX214" s="36">
        <v>3</v>
      </c>
      <c r="CY214" s="36">
        <v>3</v>
      </c>
      <c r="CZ214" s="36">
        <v>4</v>
      </c>
      <c r="DA214" s="36">
        <v>2</v>
      </c>
      <c r="DB214" s="36">
        <v>2</v>
      </c>
      <c r="DC214" s="36">
        <v>3</v>
      </c>
      <c r="DD214" s="36">
        <v>4</v>
      </c>
      <c r="DE214" s="36">
        <v>4</v>
      </c>
      <c r="DF214" s="36">
        <v>4</v>
      </c>
      <c r="DG214" s="36">
        <v>4</v>
      </c>
      <c r="DH214" s="36">
        <v>4</v>
      </c>
      <c r="DI214" s="36" t="s">
        <v>133</v>
      </c>
      <c r="DJ214" s="36" t="s">
        <v>134</v>
      </c>
      <c r="DL214"/>
      <c r="DM214"/>
      <c r="DN214"/>
      <c r="DO214"/>
      <c r="DP214"/>
      <c r="DR214" s="36" t="s">
        <v>134</v>
      </c>
      <c r="DT214"/>
      <c r="DU214"/>
      <c r="DV214"/>
      <c r="DW214"/>
      <c r="DX214"/>
      <c r="DZ214" s="36" t="s">
        <v>134</v>
      </c>
      <c r="EB214" s="36" t="s">
        <v>263</v>
      </c>
      <c r="EC214" s="36" t="s">
        <v>267</v>
      </c>
      <c r="ED214" s="36">
        <v>34</v>
      </c>
      <c r="EE214" s="36" t="s">
        <v>292</v>
      </c>
      <c r="EF214" s="36" t="str">
        <f>Tabulacao!MC214</f>
        <v>Aracaju</v>
      </c>
      <c r="EG214" s="36" t="s">
        <v>809</v>
      </c>
      <c r="EH214" s="36" t="str">
        <f>Tabulacao!MG214</f>
        <v>Aracaju</v>
      </c>
      <c r="EI214" s="36" t="s">
        <v>638</v>
      </c>
      <c r="EJ214" s="36" t="str">
        <f>Tabulacao!MK214</f>
        <v>Recife - PE</v>
      </c>
      <c r="EK214" s="36" t="s">
        <v>134</v>
      </c>
      <c r="EL214" s="36" t="s">
        <v>134</v>
      </c>
      <c r="EM214" s="36" t="s">
        <v>134</v>
      </c>
      <c r="EN214" s="36" t="s">
        <v>134</v>
      </c>
      <c r="EO214" s="36" t="s">
        <v>134</v>
      </c>
      <c r="EP214" s="36" t="s">
        <v>134</v>
      </c>
      <c r="EQ214" s="36" t="s">
        <v>275</v>
      </c>
      <c r="ER214" s="36" t="str">
        <f>IF(OR(EQ214=CaractAmostra!$BD$9,EQ214=CaractAmostra!$BD$10,EQ214=CaractAmostra!$BD$11,EQ214=CaractAmostra!$BD$12,EQ214=CaractAmostra!$BD$13),Respostas_Formatadas!EQ214,"Outros")</f>
        <v>Com os pais</v>
      </c>
      <c r="ES214" s="36" t="s">
        <v>274</v>
      </c>
      <c r="ET214" s="36" t="str">
        <f>IF(OR(ES214=CaractAmostra!$BH$9,ES214=CaractAmostra!$BH$10,ES214=CaractAmostra!$BH$11,ES214=CaractAmostra!$BH$12),Respostas_Formatadas!ES214,"Outros")</f>
        <v>Com um(a) parceiro(a)</v>
      </c>
      <c r="EU214" s="36" t="s">
        <v>134</v>
      </c>
      <c r="EV214" s="36" t="s">
        <v>282</v>
      </c>
      <c r="EW214" s="36" t="s">
        <v>283</v>
      </c>
      <c r="FE214" s="47">
        <v>2011</v>
      </c>
      <c r="FF214" s="97">
        <v>6.8803999999999998</v>
      </c>
      <c r="FG214" s="47" t="s">
        <v>933</v>
      </c>
      <c r="FH214" s="47" t="e">
        <f t="shared" si="10"/>
        <v>#VALUE!</v>
      </c>
      <c r="FI214" s="47" t="str">
        <f t="shared" si="8"/>
        <v>Aracaju</v>
      </c>
      <c r="FJ214" s="47" t="str">
        <f t="shared" si="9"/>
        <v>Tecnologia</v>
      </c>
    </row>
    <row r="215" spans="1:166" s="36" customFormat="1" ht="15.75" customHeight="1" x14ac:dyDescent="0.2">
      <c r="A215" s="38">
        <v>43425.357189722221</v>
      </c>
      <c r="C215" s="36" t="s">
        <v>128</v>
      </c>
      <c r="D215" s="47" t="s">
        <v>134</v>
      </c>
      <c r="M215" s="36" t="s">
        <v>146</v>
      </c>
      <c r="N215" s="36" t="s">
        <v>133</v>
      </c>
      <c r="O215" s="36" t="s">
        <v>134</v>
      </c>
      <c r="P215" s="36" t="s">
        <v>134</v>
      </c>
      <c r="Q215" s="36" t="s">
        <v>134</v>
      </c>
      <c r="R215" s="36" t="s">
        <v>151</v>
      </c>
      <c r="Y215" s="36" t="s">
        <v>165</v>
      </c>
      <c r="Z215" s="36" t="s">
        <v>167</v>
      </c>
      <c r="AA215" s="36" t="s">
        <v>171</v>
      </c>
      <c r="AB215" s="36" t="s">
        <v>178</v>
      </c>
      <c r="AD215" s="36" t="s">
        <v>810</v>
      </c>
      <c r="AE215" s="36">
        <v>5</v>
      </c>
      <c r="AF215" s="36" t="s">
        <v>187</v>
      </c>
      <c r="AG215" s="36" t="s">
        <v>187</v>
      </c>
      <c r="AH215" s="36" t="s">
        <v>134</v>
      </c>
      <c r="AI215" s="40">
        <v>1000</v>
      </c>
      <c r="AJ215" s="36">
        <v>5</v>
      </c>
      <c r="AK215" s="36">
        <v>4</v>
      </c>
      <c r="AL215" s="36" t="s">
        <v>134</v>
      </c>
      <c r="AM215" s="36" t="s">
        <v>167</v>
      </c>
      <c r="AN215" s="36">
        <v>2</v>
      </c>
      <c r="AO215" s="36" t="s">
        <v>133</v>
      </c>
      <c r="AP215" s="36" t="s">
        <v>418</v>
      </c>
      <c r="AQ215" s="40">
        <v>2000</v>
      </c>
      <c r="AR215" s="36">
        <v>5</v>
      </c>
      <c r="AS215" s="36">
        <v>5</v>
      </c>
      <c r="AT215" s="36">
        <v>5</v>
      </c>
      <c r="AU215" s="36">
        <v>4</v>
      </c>
      <c r="AV215" s="36">
        <v>5</v>
      </c>
      <c r="AW215" s="36" t="s">
        <v>192</v>
      </c>
      <c r="AX215" s="36" t="s">
        <v>206</v>
      </c>
      <c r="AY215" s="36" t="s">
        <v>210</v>
      </c>
      <c r="AZ215" s="36" t="s">
        <v>133</v>
      </c>
      <c r="BA215" s="36" t="s">
        <v>170</v>
      </c>
      <c r="BB215" s="36" t="s">
        <v>811</v>
      </c>
      <c r="BC215" s="36" t="s">
        <v>328</v>
      </c>
      <c r="BD215" s="36" t="s">
        <v>187</v>
      </c>
      <c r="BE215" s="36" t="s">
        <v>217</v>
      </c>
      <c r="BG215" s="36">
        <v>4</v>
      </c>
      <c r="BH215" s="36">
        <v>4</v>
      </c>
      <c r="BI215" s="36">
        <v>4</v>
      </c>
      <c r="BJ215" s="36">
        <v>3</v>
      </c>
      <c r="BK215" s="36">
        <v>5</v>
      </c>
      <c r="BL215" s="36">
        <v>4</v>
      </c>
      <c r="BM215" s="36">
        <v>4</v>
      </c>
      <c r="BN215" s="36">
        <v>4</v>
      </c>
      <c r="BO215" s="36">
        <v>4</v>
      </c>
      <c r="BP215" s="36">
        <v>4</v>
      </c>
      <c r="BQ215" s="36">
        <v>3</v>
      </c>
      <c r="BR215" s="36">
        <v>2</v>
      </c>
      <c r="BS215" s="36">
        <v>1</v>
      </c>
      <c r="BT215" s="36">
        <v>4</v>
      </c>
      <c r="BU215" s="36">
        <v>3</v>
      </c>
      <c r="BV215" s="36">
        <v>3</v>
      </c>
      <c r="BW215" s="36">
        <v>3</v>
      </c>
      <c r="BX215" s="36">
        <v>4</v>
      </c>
      <c r="BY215" s="36">
        <v>4</v>
      </c>
      <c r="BZ215" s="36">
        <v>4</v>
      </c>
      <c r="CA215" s="36">
        <v>4</v>
      </c>
      <c r="CB215" s="36">
        <v>4</v>
      </c>
      <c r="CC215" s="36">
        <v>4</v>
      </c>
      <c r="CD215" s="36">
        <v>4</v>
      </c>
      <c r="CE215" s="36">
        <v>4</v>
      </c>
      <c r="CF215" s="36">
        <v>3</v>
      </c>
      <c r="CG215" s="36">
        <v>4</v>
      </c>
      <c r="CH215" s="36" t="s">
        <v>222</v>
      </c>
      <c r="CI215"/>
      <c r="CJ215"/>
      <c r="CK215" s="36" t="s">
        <v>239</v>
      </c>
      <c r="CL215"/>
      <c r="CM215"/>
      <c r="CN215" s="36" t="s">
        <v>242</v>
      </c>
      <c r="CO215" s="36" t="s">
        <v>134</v>
      </c>
      <c r="CP215" s="36">
        <v>4</v>
      </c>
      <c r="CQ215" s="36">
        <v>4</v>
      </c>
      <c r="CR215" s="36" t="s">
        <v>248</v>
      </c>
      <c r="CS215" s="36">
        <v>4</v>
      </c>
      <c r="CT215" s="36">
        <v>4</v>
      </c>
      <c r="CU215" s="36">
        <v>4</v>
      </c>
      <c r="CV215" s="36">
        <v>1</v>
      </c>
      <c r="CW215" s="36">
        <v>4</v>
      </c>
      <c r="CX215" s="36">
        <v>4</v>
      </c>
      <c r="CY215" s="36">
        <v>5</v>
      </c>
      <c r="CZ215" s="36">
        <v>4</v>
      </c>
      <c r="DA215" s="36">
        <v>4</v>
      </c>
      <c r="DB215" s="36">
        <v>4</v>
      </c>
      <c r="DC215" s="36">
        <v>4</v>
      </c>
      <c r="DD215" s="36">
        <v>4</v>
      </c>
      <c r="DE215" s="36">
        <v>4</v>
      </c>
      <c r="DF215" s="36">
        <v>5</v>
      </c>
      <c r="DG215" s="36">
        <v>4</v>
      </c>
      <c r="DH215" s="36">
        <v>4</v>
      </c>
      <c r="DI215" s="36" t="s">
        <v>133</v>
      </c>
      <c r="DJ215" s="36" t="s">
        <v>133</v>
      </c>
      <c r="DK215" s="36" t="s">
        <v>255</v>
      </c>
      <c r="DL215"/>
      <c r="DM215"/>
      <c r="DN215"/>
      <c r="DO215"/>
      <c r="DP215"/>
      <c r="DQ215" s="36">
        <v>4</v>
      </c>
      <c r="DR215" s="36" t="s">
        <v>133</v>
      </c>
      <c r="DS215" s="36" t="s">
        <v>259</v>
      </c>
      <c r="DT215"/>
      <c r="DU215"/>
      <c r="DV215"/>
      <c r="DW215"/>
      <c r="DX215"/>
      <c r="DY215" s="36">
        <v>4</v>
      </c>
      <c r="DZ215" s="36" t="s">
        <v>133</v>
      </c>
      <c r="EA215" s="36">
        <v>5</v>
      </c>
      <c r="EB215" s="36" t="s">
        <v>262</v>
      </c>
      <c r="EC215" s="36" t="s">
        <v>264</v>
      </c>
      <c r="ED215" s="36">
        <v>32</v>
      </c>
      <c r="EE215" s="36" t="s">
        <v>812</v>
      </c>
      <c r="EF215" s="36" t="str">
        <f>Tabulacao!MC215</f>
        <v>Poço Redondo</v>
      </c>
      <c r="EG215" s="36" t="s">
        <v>328</v>
      </c>
      <c r="EH215" s="36" t="str">
        <f>Tabulacao!MG215</f>
        <v>Nossa Senhora da Glória</v>
      </c>
      <c r="EI215" s="36" t="s">
        <v>328</v>
      </c>
      <c r="EJ215" s="36" t="str">
        <f>Tabulacao!MK215</f>
        <v>Nossa Senhora da Glória</v>
      </c>
      <c r="EK215" s="36" t="s">
        <v>134</v>
      </c>
      <c r="EL215" s="36" t="s">
        <v>134</v>
      </c>
      <c r="EM215" s="36" t="s">
        <v>134</v>
      </c>
      <c r="EN215" s="36" t="s">
        <v>134</v>
      </c>
      <c r="EO215" s="36" t="s">
        <v>134</v>
      </c>
      <c r="EP215" s="36" t="s">
        <v>134</v>
      </c>
      <c r="EQ215" s="36" t="s">
        <v>273</v>
      </c>
      <c r="ER215" s="36" t="str">
        <f>IF(OR(EQ215=CaractAmostra!$BD$9,EQ215=CaractAmostra!$BD$10,EQ215=CaractAmostra!$BD$11,EQ215=CaractAmostra!$BD$12,EQ215=CaractAmostra!$BD$13),Respostas_Formatadas!EQ215,"Outros")</f>
        <v>Dividia residência com outras pessoas</v>
      </c>
      <c r="ES215" s="36" t="s">
        <v>274</v>
      </c>
      <c r="ET215" s="36" t="str">
        <f>IF(OR(ES215=CaractAmostra!$BH$9,ES215=CaractAmostra!$BH$10,ES215=CaractAmostra!$BH$11,ES215=CaractAmostra!$BH$12),Respostas_Formatadas!ES215,"Outros")</f>
        <v>Com um(a) parceiro(a)</v>
      </c>
      <c r="EU215" s="36" t="s">
        <v>134</v>
      </c>
      <c r="EV215" s="36" t="s">
        <v>282</v>
      </c>
      <c r="EW215" s="36" t="s">
        <v>283</v>
      </c>
      <c r="FE215" s="47">
        <v>2014</v>
      </c>
      <c r="FF215" s="97">
        <v>7.8341000000000003</v>
      </c>
      <c r="FG215" s="47">
        <v>2015</v>
      </c>
      <c r="FH215" s="47">
        <f t="shared" si="10"/>
        <v>1</v>
      </c>
      <c r="FI215" s="47" t="str">
        <f t="shared" si="8"/>
        <v>Nossa Senhora da Glória</v>
      </c>
      <c r="FJ215" s="47" t="str">
        <f t="shared" si="9"/>
        <v>Tecnologia</v>
      </c>
    </row>
    <row r="216" spans="1:166" s="36" customFormat="1" ht="15.75" customHeight="1" x14ac:dyDescent="0.2">
      <c r="A216" s="38">
        <v>43425.489994131945</v>
      </c>
      <c r="B216" s="41"/>
      <c r="C216" s="36" t="s">
        <v>127</v>
      </c>
      <c r="D216" s="47" t="s">
        <v>134</v>
      </c>
      <c r="M216" s="36" t="s">
        <v>146</v>
      </c>
      <c r="N216" s="36" t="s">
        <v>134</v>
      </c>
      <c r="O216" s="36" t="s">
        <v>134</v>
      </c>
      <c r="P216" s="36" t="s">
        <v>134</v>
      </c>
      <c r="Q216" s="36" t="s">
        <v>134</v>
      </c>
      <c r="R216" s="36" t="s">
        <v>151</v>
      </c>
      <c r="Y216" s="36" t="s">
        <v>134</v>
      </c>
      <c r="AI216" s="40"/>
      <c r="AQ216" s="40"/>
      <c r="BT216" s="36">
        <v>4</v>
      </c>
      <c r="BU216" s="36">
        <v>3</v>
      </c>
      <c r="BV216" s="36">
        <v>3</v>
      </c>
      <c r="BW216" s="36">
        <v>4</v>
      </c>
      <c r="BX216" s="36">
        <v>3</v>
      </c>
      <c r="BY216" s="36">
        <v>4</v>
      </c>
      <c r="BZ216" s="36">
        <v>4</v>
      </c>
      <c r="CA216" s="36">
        <v>3</v>
      </c>
      <c r="CB216" s="36">
        <v>3</v>
      </c>
      <c r="CC216" s="36">
        <v>4</v>
      </c>
      <c r="CD216" s="36">
        <v>3</v>
      </c>
      <c r="CE216" s="36">
        <v>2</v>
      </c>
      <c r="CF216" s="36">
        <v>2</v>
      </c>
      <c r="CG216" s="36">
        <v>2</v>
      </c>
      <c r="CH216" s="36" t="s">
        <v>230</v>
      </c>
      <c r="CI216"/>
      <c r="CJ216"/>
      <c r="CK216" s="36" t="s">
        <v>233</v>
      </c>
      <c r="CL216"/>
      <c r="CM216"/>
      <c r="CN216" s="36" t="s">
        <v>243</v>
      </c>
      <c r="CO216" s="36" t="s">
        <v>134</v>
      </c>
      <c r="CP216" s="36">
        <v>4</v>
      </c>
      <c r="CQ216" s="36">
        <v>4</v>
      </c>
      <c r="CR216" s="36" t="s">
        <v>248</v>
      </c>
      <c r="CS216" s="36">
        <v>3</v>
      </c>
      <c r="CT216" s="36">
        <v>2</v>
      </c>
      <c r="CU216" s="36">
        <v>2</v>
      </c>
      <c r="CV216" s="36">
        <v>1</v>
      </c>
      <c r="CW216" s="36">
        <v>2</v>
      </c>
      <c r="CX216" s="36">
        <v>3</v>
      </c>
      <c r="CY216" s="36">
        <v>2</v>
      </c>
      <c r="CZ216" s="36">
        <v>3</v>
      </c>
      <c r="DA216" s="36">
        <v>2</v>
      </c>
      <c r="DB216" s="36">
        <v>3</v>
      </c>
      <c r="DC216" s="36">
        <v>3</v>
      </c>
      <c r="DD216" s="36">
        <v>4</v>
      </c>
      <c r="DE216" s="36">
        <v>3</v>
      </c>
      <c r="DF216" s="36">
        <v>4</v>
      </c>
      <c r="DG216" s="36">
        <v>3</v>
      </c>
      <c r="DH216" s="36">
        <v>2</v>
      </c>
      <c r="DI216" s="36" t="s">
        <v>250</v>
      </c>
      <c r="DJ216" s="36" t="s">
        <v>133</v>
      </c>
      <c r="DK216" s="36" t="s">
        <v>254</v>
      </c>
      <c r="DL216"/>
      <c r="DM216"/>
      <c r="DN216"/>
      <c r="DO216"/>
      <c r="DP216"/>
      <c r="DQ216" s="36">
        <v>3</v>
      </c>
      <c r="DR216" s="36" t="s">
        <v>134</v>
      </c>
      <c r="DT216"/>
      <c r="DU216"/>
      <c r="DV216"/>
      <c r="DW216"/>
      <c r="DX216"/>
      <c r="DZ216" s="36" t="s">
        <v>134</v>
      </c>
      <c r="EB216" s="36" t="s">
        <v>263</v>
      </c>
      <c r="EC216" s="36" t="s">
        <v>267</v>
      </c>
      <c r="ED216" s="36">
        <v>34</v>
      </c>
      <c r="EE216" s="36" t="s">
        <v>814</v>
      </c>
      <c r="EF216" s="36" t="str">
        <f>Tabulacao!MC216</f>
        <v>Areia Branca</v>
      </c>
      <c r="EG216" s="36" t="s">
        <v>814</v>
      </c>
      <c r="EH216" s="36" t="str">
        <f>Tabulacao!MG216</f>
        <v>Areia Branca</v>
      </c>
      <c r="EI216" s="36" t="s">
        <v>814</v>
      </c>
      <c r="EJ216" s="36" t="str">
        <f>Tabulacao!MK216</f>
        <v>Areia Branca</v>
      </c>
      <c r="EK216" s="36" t="s">
        <v>134</v>
      </c>
      <c r="EL216" s="36" t="s">
        <v>134</v>
      </c>
      <c r="EM216" s="36" t="s">
        <v>134</v>
      </c>
      <c r="EN216" s="36" t="s">
        <v>134</v>
      </c>
      <c r="EO216" s="36" t="s">
        <v>134</v>
      </c>
      <c r="EP216" s="36" t="s">
        <v>134</v>
      </c>
      <c r="EQ216" s="36" t="s">
        <v>275</v>
      </c>
      <c r="ER216" s="36" t="str">
        <f>IF(OR(EQ216=CaractAmostra!$BD$9,EQ216=CaractAmostra!$BD$10,EQ216=CaractAmostra!$BD$11,EQ216=CaractAmostra!$BD$12,EQ216=CaractAmostra!$BD$13),Respostas_Formatadas!EQ216,"Outros")</f>
        <v>Com os pais</v>
      </c>
      <c r="ES216" s="36" t="s">
        <v>275</v>
      </c>
      <c r="ET216" s="36" t="str">
        <f>IF(OR(ES216=CaractAmostra!$BH$9,ES216=CaractAmostra!$BH$10,ES216=CaractAmostra!$BH$11,ES216=CaractAmostra!$BH$12),Respostas_Formatadas!ES216,"Outros")</f>
        <v>Com os pais</v>
      </c>
      <c r="EU216" s="36" t="s">
        <v>279</v>
      </c>
      <c r="EV216" s="36" t="s">
        <v>282</v>
      </c>
      <c r="EW216" s="36" t="s">
        <v>282</v>
      </c>
      <c r="FD216" s="36" t="s">
        <v>815</v>
      </c>
      <c r="FE216" s="47">
        <v>2017</v>
      </c>
      <c r="FF216" s="97">
        <v>7.5937999999999999</v>
      </c>
      <c r="FG216" s="47">
        <v>2017</v>
      </c>
      <c r="FH216" s="47">
        <f t="shared" si="10"/>
        <v>0</v>
      </c>
      <c r="FI216" s="47" t="str">
        <f t="shared" si="8"/>
        <v>Itabaiana</v>
      </c>
      <c r="FJ216" s="47" t="str">
        <f t="shared" si="9"/>
        <v>Tecnologia</v>
      </c>
    </row>
    <row r="217" spans="1:166" s="36" customFormat="1" ht="15.75" customHeight="1" x14ac:dyDescent="0.2">
      <c r="A217" s="38">
        <v>43425.585863761575</v>
      </c>
      <c r="B217" s="41"/>
      <c r="C217" s="36" t="s">
        <v>126</v>
      </c>
      <c r="D217" s="47" t="s">
        <v>134</v>
      </c>
      <c r="M217" s="36" t="s">
        <v>146</v>
      </c>
      <c r="N217" s="36" t="s">
        <v>133</v>
      </c>
      <c r="O217" s="36" t="s">
        <v>133</v>
      </c>
      <c r="P217" s="36" t="s">
        <v>134</v>
      </c>
      <c r="Q217" s="36" t="s">
        <v>134</v>
      </c>
      <c r="R217" s="36" t="s">
        <v>152</v>
      </c>
      <c r="S217" s="36" t="s">
        <v>697</v>
      </c>
      <c r="T217" s="36" t="s">
        <v>154</v>
      </c>
      <c r="U217" s="36" t="s">
        <v>157</v>
      </c>
      <c r="V217" s="36">
        <v>4</v>
      </c>
      <c r="W217" s="36">
        <v>2</v>
      </c>
      <c r="X217" s="36">
        <v>5</v>
      </c>
      <c r="Y217" s="36" t="s">
        <v>165</v>
      </c>
      <c r="Z217" s="36" t="s">
        <v>167</v>
      </c>
      <c r="AA217" s="36" t="s">
        <v>174</v>
      </c>
      <c r="AB217" s="36" t="s">
        <v>184</v>
      </c>
      <c r="AD217" s="36" t="s">
        <v>816</v>
      </c>
      <c r="AE217" s="36">
        <v>3</v>
      </c>
      <c r="AF217" s="36" t="s">
        <v>190</v>
      </c>
      <c r="AG217" s="36" t="s">
        <v>190</v>
      </c>
      <c r="AH217" s="36" t="s">
        <v>134</v>
      </c>
      <c r="AI217" s="40">
        <v>3000</v>
      </c>
      <c r="AJ217" s="36">
        <v>4</v>
      </c>
      <c r="AK217" s="36">
        <v>3</v>
      </c>
      <c r="AL217" s="36" t="s">
        <v>134</v>
      </c>
      <c r="AM217" s="36" t="s">
        <v>170</v>
      </c>
      <c r="AN217" s="36">
        <v>1</v>
      </c>
      <c r="AO217" s="36" t="s">
        <v>133</v>
      </c>
      <c r="AP217" s="36" t="s">
        <v>816</v>
      </c>
      <c r="AQ217" s="40">
        <v>3700</v>
      </c>
      <c r="AR217" s="36">
        <v>3</v>
      </c>
      <c r="AS217" s="36">
        <v>3</v>
      </c>
      <c r="AT217" s="36">
        <v>3</v>
      </c>
      <c r="AU217" s="36">
        <v>4</v>
      </c>
      <c r="AV217" s="36">
        <v>3</v>
      </c>
      <c r="AW217" s="36" t="s">
        <v>192</v>
      </c>
      <c r="AX217" s="36" t="s">
        <v>206</v>
      </c>
      <c r="AY217" s="36" t="s">
        <v>208</v>
      </c>
      <c r="AZ217" s="36" t="s">
        <v>133</v>
      </c>
      <c r="BA217" s="36" t="s">
        <v>170</v>
      </c>
      <c r="BB217" s="36" t="s">
        <v>635</v>
      </c>
      <c r="BC217" s="36" t="s">
        <v>292</v>
      </c>
      <c r="BD217" s="36" t="s">
        <v>190</v>
      </c>
      <c r="BG217" s="36">
        <v>4</v>
      </c>
      <c r="BH217" s="36">
        <v>3</v>
      </c>
      <c r="BI217" s="36">
        <v>3</v>
      </c>
      <c r="BJ217" s="36">
        <v>3</v>
      </c>
      <c r="BK217" s="36">
        <v>3</v>
      </c>
      <c r="BL217" s="36">
        <v>4</v>
      </c>
      <c r="BM217" s="36">
        <v>4</v>
      </c>
      <c r="BN217" s="36">
        <v>4</v>
      </c>
      <c r="BO217" s="36">
        <v>4</v>
      </c>
      <c r="BP217" s="36">
        <v>3</v>
      </c>
      <c r="BQ217" s="36">
        <v>3</v>
      </c>
      <c r="BR217" s="36">
        <v>2</v>
      </c>
      <c r="BS217" s="36">
        <v>2</v>
      </c>
      <c r="BT217" s="36">
        <v>4</v>
      </c>
      <c r="BU217" s="36">
        <v>3</v>
      </c>
      <c r="BV217" s="36">
        <v>4</v>
      </c>
      <c r="BW217" s="36">
        <v>3</v>
      </c>
      <c r="BX217" s="36">
        <v>2</v>
      </c>
      <c r="BY217" s="36">
        <v>4</v>
      </c>
      <c r="BZ217" s="36">
        <v>4</v>
      </c>
      <c r="CA217" s="36">
        <v>4</v>
      </c>
      <c r="CB217" s="36">
        <v>4</v>
      </c>
      <c r="CC217" s="36">
        <v>3</v>
      </c>
      <c r="CD217" s="36">
        <v>2</v>
      </c>
      <c r="CE217" s="36">
        <v>2</v>
      </c>
      <c r="CF217" s="36">
        <v>2</v>
      </c>
      <c r="CG217" s="36">
        <v>2</v>
      </c>
      <c r="CH217" s="36" t="s">
        <v>222</v>
      </c>
      <c r="CI217" t="s">
        <v>225</v>
      </c>
      <c r="CJ217"/>
      <c r="CK217" s="36" t="s">
        <v>233</v>
      </c>
      <c r="CL217" t="s">
        <v>240</v>
      </c>
      <c r="CM217"/>
      <c r="CN217" s="36" t="s">
        <v>242</v>
      </c>
      <c r="CO217" s="36" t="s">
        <v>134</v>
      </c>
      <c r="CP217" s="36">
        <v>4</v>
      </c>
      <c r="CQ217" s="36">
        <v>4</v>
      </c>
      <c r="CR217" s="36" t="s">
        <v>249</v>
      </c>
      <c r="CS217" s="36">
        <v>4</v>
      </c>
      <c r="CT217" s="36">
        <v>2</v>
      </c>
      <c r="CU217" s="36">
        <v>4</v>
      </c>
      <c r="CV217" s="36">
        <v>3</v>
      </c>
      <c r="CW217" s="36">
        <v>5</v>
      </c>
      <c r="CX217" s="36">
        <v>4</v>
      </c>
      <c r="CY217" s="36">
        <v>3</v>
      </c>
      <c r="CZ217" s="36">
        <v>5</v>
      </c>
      <c r="DA217" s="36">
        <v>3</v>
      </c>
      <c r="DB217" s="36">
        <v>4</v>
      </c>
      <c r="DC217" s="36">
        <v>2</v>
      </c>
      <c r="DD217" s="36">
        <v>5</v>
      </c>
      <c r="DE217" s="36">
        <v>4</v>
      </c>
      <c r="DF217" s="36">
        <v>5</v>
      </c>
      <c r="DG217" s="36">
        <v>5</v>
      </c>
      <c r="DH217" s="36">
        <v>4</v>
      </c>
      <c r="DI217" s="36" t="s">
        <v>133</v>
      </c>
      <c r="DJ217" s="36" t="s">
        <v>133</v>
      </c>
      <c r="DK217" s="36" t="s">
        <v>255</v>
      </c>
      <c r="DL217"/>
      <c r="DM217"/>
      <c r="DN217"/>
      <c r="DO217"/>
      <c r="DP217"/>
      <c r="DQ217" s="36">
        <v>4</v>
      </c>
      <c r="DR217" s="36" t="s">
        <v>134</v>
      </c>
      <c r="DT217"/>
      <c r="DU217"/>
      <c r="DV217"/>
      <c r="DW217"/>
      <c r="DX217"/>
      <c r="DZ217" s="36" t="s">
        <v>134</v>
      </c>
      <c r="EB217" s="36" t="s">
        <v>262</v>
      </c>
      <c r="EC217" s="36" t="s">
        <v>267</v>
      </c>
      <c r="ED217" s="36">
        <v>27</v>
      </c>
      <c r="EE217" s="36" t="s">
        <v>817</v>
      </c>
      <c r="EF217" s="36" t="str">
        <f>Tabulacao!MC217</f>
        <v>Estância</v>
      </c>
      <c r="EG217" s="36" t="s">
        <v>817</v>
      </c>
      <c r="EH217" s="36" t="str">
        <f>Tabulacao!MG217</f>
        <v>Estância</v>
      </c>
      <c r="EI217" s="36" t="s">
        <v>817</v>
      </c>
      <c r="EJ217" s="36" t="str">
        <f>Tabulacao!MK217</f>
        <v>Estância</v>
      </c>
      <c r="EK217" s="36" t="s">
        <v>134</v>
      </c>
      <c r="EL217" s="36" t="s">
        <v>134</v>
      </c>
      <c r="EM217" s="36" t="s">
        <v>134</v>
      </c>
      <c r="EN217" s="36" t="s">
        <v>134</v>
      </c>
      <c r="EO217" s="36" t="s">
        <v>134</v>
      </c>
      <c r="EP217" s="36" t="s">
        <v>134</v>
      </c>
      <c r="EQ217" s="36" t="s">
        <v>275</v>
      </c>
      <c r="ER217" s="36" t="str">
        <f>IF(OR(EQ217=CaractAmostra!$BD$9,EQ217=CaractAmostra!$BD$10,EQ217=CaractAmostra!$BD$11,EQ217=CaractAmostra!$BD$12,EQ217=CaractAmostra!$BD$13),Respostas_Formatadas!EQ217,"Outros")</f>
        <v>Com os pais</v>
      </c>
      <c r="ES217" s="36" t="s">
        <v>274</v>
      </c>
      <c r="ET217" s="36" t="str">
        <f>IF(OR(ES217=CaractAmostra!$BH$9,ES217=CaractAmostra!$BH$10,ES217=CaractAmostra!$BH$11,ES217=CaractAmostra!$BH$12),Respostas_Formatadas!ES217,"Outros")</f>
        <v>Com um(a) parceiro(a)</v>
      </c>
      <c r="EU217" s="36" t="s">
        <v>134</v>
      </c>
      <c r="EV217" s="36" t="s">
        <v>284</v>
      </c>
      <c r="EW217" s="36" t="s">
        <v>283</v>
      </c>
      <c r="FE217" s="47">
        <v>2013</v>
      </c>
      <c r="FF217" s="97">
        <v>8.7094000000000005</v>
      </c>
      <c r="FG217" s="47">
        <v>2013</v>
      </c>
      <c r="FH217" s="47">
        <f t="shared" si="10"/>
        <v>0</v>
      </c>
      <c r="FI217" s="47" t="str">
        <f t="shared" si="8"/>
        <v>Lagarto</v>
      </c>
      <c r="FJ217" s="47" t="str">
        <f t="shared" si="9"/>
        <v>Tecnologia</v>
      </c>
    </row>
    <row r="218" spans="1:166" s="36" customFormat="1" ht="15.75" customHeight="1" x14ac:dyDescent="0.2">
      <c r="A218" s="38">
        <v>43425.623755891203</v>
      </c>
      <c r="C218" s="36" t="s">
        <v>127</v>
      </c>
      <c r="D218" s="47" t="s">
        <v>134</v>
      </c>
      <c r="M218" s="36" t="s">
        <v>146</v>
      </c>
      <c r="N218" s="36" t="s">
        <v>134</v>
      </c>
      <c r="O218" s="36" t="s">
        <v>134</v>
      </c>
      <c r="P218" s="36" t="s">
        <v>134</v>
      </c>
      <c r="Q218" s="36" t="s">
        <v>134</v>
      </c>
      <c r="R218" s="36" t="s">
        <v>153</v>
      </c>
      <c r="S218" s="36" t="s">
        <v>691</v>
      </c>
      <c r="T218" s="36" t="s">
        <v>155</v>
      </c>
      <c r="U218" s="36" t="s">
        <v>159</v>
      </c>
      <c r="V218" s="36">
        <v>4</v>
      </c>
      <c r="W218" s="36">
        <v>4</v>
      </c>
      <c r="X218" s="36">
        <v>4</v>
      </c>
      <c r="Y218" s="36" t="s">
        <v>134</v>
      </c>
      <c r="AI218" s="40"/>
      <c r="AQ218" s="40"/>
      <c r="BT218" s="36">
        <v>4</v>
      </c>
      <c r="BU218" s="36">
        <v>4</v>
      </c>
      <c r="BV218" s="36">
        <v>4</v>
      </c>
      <c r="BW218" s="36">
        <v>4</v>
      </c>
      <c r="BX218" s="36">
        <v>4</v>
      </c>
      <c r="BY218" s="36">
        <v>4</v>
      </c>
      <c r="BZ218" s="36">
        <v>4</v>
      </c>
      <c r="CA218" s="36">
        <v>4</v>
      </c>
      <c r="CB218" s="36">
        <v>4</v>
      </c>
      <c r="CC218" s="36">
        <v>4</v>
      </c>
      <c r="CD218" s="36">
        <v>4</v>
      </c>
      <c r="CE218" s="36">
        <v>4</v>
      </c>
      <c r="CF218" s="36">
        <v>1</v>
      </c>
      <c r="CG218" s="36">
        <v>3</v>
      </c>
      <c r="CH218" s="36" t="s">
        <v>222</v>
      </c>
      <c r="CI218"/>
      <c r="CJ218"/>
      <c r="CK218" s="36" t="s">
        <v>240</v>
      </c>
      <c r="CL218"/>
      <c r="CM218"/>
      <c r="CN218" s="36" t="s">
        <v>242</v>
      </c>
      <c r="CO218" s="36" t="s">
        <v>134</v>
      </c>
      <c r="CP218" s="36">
        <v>5</v>
      </c>
      <c r="CQ218" s="36">
        <v>5</v>
      </c>
      <c r="CR218" s="36" t="s">
        <v>248</v>
      </c>
      <c r="CS218" s="36">
        <v>5</v>
      </c>
      <c r="CT218" s="36">
        <v>3</v>
      </c>
      <c r="CU218" s="36">
        <v>3</v>
      </c>
      <c r="CV218" s="36">
        <v>1</v>
      </c>
      <c r="CW218" s="36">
        <v>2</v>
      </c>
      <c r="CX218" s="36">
        <v>5</v>
      </c>
      <c r="CY218" s="36">
        <v>5</v>
      </c>
      <c r="CZ218" s="36">
        <v>5</v>
      </c>
      <c r="DA218" s="36">
        <v>5</v>
      </c>
      <c r="DB218" s="36">
        <v>5</v>
      </c>
      <c r="DC218" s="36">
        <v>4</v>
      </c>
      <c r="DD218" s="36">
        <v>5</v>
      </c>
      <c r="DE218" s="36">
        <v>4</v>
      </c>
      <c r="DF218" s="36">
        <v>4</v>
      </c>
      <c r="DG218" s="36">
        <v>4</v>
      </c>
      <c r="DH218" s="36">
        <v>4</v>
      </c>
      <c r="DI218" s="36" t="s">
        <v>133</v>
      </c>
      <c r="DJ218" s="36" t="s">
        <v>134</v>
      </c>
      <c r="DL218"/>
      <c r="DM218"/>
      <c r="DN218"/>
      <c r="DO218"/>
      <c r="DP218"/>
      <c r="DR218" s="36" t="s">
        <v>134</v>
      </c>
      <c r="DT218"/>
      <c r="DU218"/>
      <c r="DV218"/>
      <c r="DW218"/>
      <c r="DX218"/>
      <c r="DZ218" s="36" t="s">
        <v>133</v>
      </c>
      <c r="EA218" s="36">
        <v>5</v>
      </c>
      <c r="EB218" s="36" t="s">
        <v>263</v>
      </c>
      <c r="EC218" s="36" t="s">
        <v>267</v>
      </c>
      <c r="ED218" s="36">
        <v>24</v>
      </c>
      <c r="EE218" s="36" t="s">
        <v>818</v>
      </c>
      <c r="EF218" s="36" t="str">
        <f>Tabulacao!MC218</f>
        <v>São Domingos</v>
      </c>
      <c r="EG218" s="36" t="s">
        <v>818</v>
      </c>
      <c r="EH218" s="36" t="str">
        <f>Tabulacao!MG218</f>
        <v>São Domingos</v>
      </c>
      <c r="EI218" s="36" t="s">
        <v>818</v>
      </c>
      <c r="EJ218" s="36" t="str">
        <f>Tabulacao!MK218</f>
        <v>São Domingos</v>
      </c>
      <c r="EK218" s="36" t="s">
        <v>134</v>
      </c>
      <c r="EL218" s="36" t="s">
        <v>134</v>
      </c>
      <c r="EM218" s="36" t="s">
        <v>134</v>
      </c>
      <c r="EN218" s="36" t="s">
        <v>134</v>
      </c>
      <c r="EO218" s="36" t="s">
        <v>134</v>
      </c>
      <c r="EP218" s="36" t="s">
        <v>134</v>
      </c>
      <c r="EQ218" s="36" t="s">
        <v>275</v>
      </c>
      <c r="ER218" s="36" t="str">
        <f>IF(OR(EQ218=CaractAmostra!$BD$9,EQ218=CaractAmostra!$BD$10,EQ218=CaractAmostra!$BD$11,EQ218=CaractAmostra!$BD$12,EQ218=CaractAmostra!$BD$13),Respostas_Formatadas!EQ218,"Outros")</f>
        <v>Com os pais</v>
      </c>
      <c r="ES218" s="36" t="s">
        <v>274</v>
      </c>
      <c r="ET218" s="36" t="str">
        <f>IF(OR(ES218=CaractAmostra!$BH$9,ES218=CaractAmostra!$BH$10,ES218=CaractAmostra!$BH$11,ES218=CaractAmostra!$BH$12),Respostas_Formatadas!ES218,"Outros")</f>
        <v>Com um(a) parceiro(a)</v>
      </c>
      <c r="EU218" s="36" t="s">
        <v>134</v>
      </c>
      <c r="EV218" s="36" t="s">
        <v>285</v>
      </c>
      <c r="EW218" s="36" t="s">
        <v>288</v>
      </c>
      <c r="FE218" s="47">
        <v>2016</v>
      </c>
      <c r="FF218" s="97">
        <v>7.5094000000000003</v>
      </c>
      <c r="FG218" s="47">
        <v>2016</v>
      </c>
      <c r="FH218" s="47">
        <f t="shared" si="10"/>
        <v>0</v>
      </c>
      <c r="FI218" s="47" t="str">
        <f t="shared" si="8"/>
        <v>Itabaiana</v>
      </c>
      <c r="FJ218" s="47" t="str">
        <f t="shared" si="9"/>
        <v>Tecnologia</v>
      </c>
    </row>
    <row r="219" spans="1:166" s="36" customFormat="1" ht="15.75" customHeight="1" x14ac:dyDescent="0.2">
      <c r="A219" s="38">
        <v>43425.727295625002</v>
      </c>
      <c r="B219" s="41"/>
      <c r="C219" s="36" t="s">
        <v>126</v>
      </c>
      <c r="D219" s="47" t="s">
        <v>134</v>
      </c>
      <c r="M219" s="36" t="s">
        <v>146</v>
      </c>
      <c r="N219" s="36" t="s">
        <v>134</v>
      </c>
      <c r="O219" s="36" t="s">
        <v>134</v>
      </c>
      <c r="P219" s="36" t="s">
        <v>134</v>
      </c>
      <c r="Q219" s="36" t="s">
        <v>134</v>
      </c>
      <c r="R219" s="36" t="s">
        <v>151</v>
      </c>
      <c r="Y219" s="36" t="s">
        <v>134</v>
      </c>
      <c r="AI219" s="40"/>
      <c r="AQ219" s="40"/>
      <c r="BT219" s="36">
        <v>4</v>
      </c>
      <c r="BU219" s="36">
        <v>4</v>
      </c>
      <c r="BV219" s="36">
        <v>4</v>
      </c>
      <c r="BW219" s="36">
        <v>4</v>
      </c>
      <c r="BX219" s="36">
        <v>4</v>
      </c>
      <c r="BY219" s="36">
        <v>4</v>
      </c>
      <c r="BZ219" s="36">
        <v>4</v>
      </c>
      <c r="CA219" s="36">
        <v>5</v>
      </c>
      <c r="CB219" s="36">
        <v>4</v>
      </c>
      <c r="CC219" s="36">
        <v>5</v>
      </c>
      <c r="CD219" s="36">
        <v>4</v>
      </c>
      <c r="CE219" s="36">
        <v>4</v>
      </c>
      <c r="CF219" s="36">
        <v>2</v>
      </c>
      <c r="CG219" s="36">
        <v>3</v>
      </c>
      <c r="CH219" s="36" t="s">
        <v>226</v>
      </c>
      <c r="CI219" t="s">
        <v>229</v>
      </c>
      <c r="CJ219"/>
      <c r="CK219" s="36" t="s">
        <v>240</v>
      </c>
      <c r="CL219"/>
      <c r="CM219"/>
      <c r="CN219" s="36" t="s">
        <v>242</v>
      </c>
      <c r="CO219" s="36" t="s">
        <v>133</v>
      </c>
      <c r="CP219" s="36">
        <v>1</v>
      </c>
      <c r="CQ219" s="36">
        <v>5</v>
      </c>
      <c r="CR219" s="36" t="s">
        <v>248</v>
      </c>
      <c r="CS219" s="36">
        <v>5</v>
      </c>
      <c r="CT219" s="36">
        <v>3</v>
      </c>
      <c r="CU219" s="36">
        <v>5</v>
      </c>
      <c r="CV219" s="36">
        <v>1</v>
      </c>
      <c r="CW219" s="36">
        <v>4</v>
      </c>
      <c r="CX219" s="36">
        <v>5</v>
      </c>
      <c r="CY219" s="36">
        <v>4</v>
      </c>
      <c r="CZ219" s="36">
        <v>5</v>
      </c>
      <c r="DA219" s="36">
        <v>5</v>
      </c>
      <c r="DB219" s="36">
        <v>3</v>
      </c>
      <c r="DC219" s="36">
        <v>4</v>
      </c>
      <c r="DD219" s="36">
        <v>4</v>
      </c>
      <c r="DE219" s="36">
        <v>4</v>
      </c>
      <c r="DF219" s="36">
        <v>4</v>
      </c>
      <c r="DG219" s="36">
        <v>4</v>
      </c>
      <c r="DH219" s="36">
        <v>4</v>
      </c>
      <c r="DI219" s="36" t="s">
        <v>253</v>
      </c>
      <c r="DJ219" s="36" t="s">
        <v>133</v>
      </c>
      <c r="DK219" s="36" t="s">
        <v>255</v>
      </c>
      <c r="DL219"/>
      <c r="DM219"/>
      <c r="DN219"/>
      <c r="DO219"/>
      <c r="DP219"/>
      <c r="DQ219" s="36">
        <v>4</v>
      </c>
      <c r="DR219" s="36" t="s">
        <v>133</v>
      </c>
      <c r="DS219" s="36" t="s">
        <v>259</v>
      </c>
      <c r="DT219"/>
      <c r="DU219"/>
      <c r="DV219"/>
      <c r="DW219"/>
      <c r="DX219"/>
      <c r="DY219" s="36">
        <v>5</v>
      </c>
      <c r="DZ219" s="36" t="s">
        <v>133</v>
      </c>
      <c r="EA219" s="36">
        <v>5</v>
      </c>
      <c r="EB219" s="36" t="s">
        <v>263</v>
      </c>
      <c r="EC219" s="36" t="s">
        <v>267</v>
      </c>
      <c r="ED219" s="36">
        <v>21</v>
      </c>
      <c r="EE219" s="36" t="s">
        <v>819</v>
      </c>
      <c r="EF219" s="36" t="str">
        <f>Tabulacao!MC219</f>
        <v>Riachão do Dantas</v>
      </c>
      <c r="EG219" s="36" t="s">
        <v>819</v>
      </c>
      <c r="EH219" s="36" t="str">
        <f>Tabulacao!MG219</f>
        <v>Riachão do Dantas</v>
      </c>
      <c r="EI219" s="36" t="s">
        <v>819</v>
      </c>
      <c r="EJ219" s="36" t="str">
        <f>Tabulacao!MK219</f>
        <v>Riachão do Dantas</v>
      </c>
      <c r="EK219" s="36" t="s">
        <v>134</v>
      </c>
      <c r="EL219" s="36" t="s">
        <v>134</v>
      </c>
      <c r="EM219" s="36" t="s">
        <v>134</v>
      </c>
      <c r="EN219" s="36" t="s">
        <v>134</v>
      </c>
      <c r="EO219" s="36" t="s">
        <v>134</v>
      </c>
      <c r="EP219" s="36" t="s">
        <v>134</v>
      </c>
      <c r="EQ219" s="36" t="s">
        <v>275</v>
      </c>
      <c r="ER219" s="36" t="str">
        <f>IF(OR(EQ219=CaractAmostra!$BD$9,EQ219=CaractAmostra!$BD$10,EQ219=CaractAmostra!$BD$11,EQ219=CaractAmostra!$BD$12,EQ219=CaractAmostra!$BD$13),Respostas_Formatadas!EQ219,"Outros")</f>
        <v>Com os pais</v>
      </c>
      <c r="ES219" s="36" t="s">
        <v>275</v>
      </c>
      <c r="ET219" s="36" t="str">
        <f>IF(OR(ES219=CaractAmostra!$BH$9,ES219=CaractAmostra!$BH$10,ES219=CaractAmostra!$BH$11,ES219=CaractAmostra!$BH$12),Respostas_Formatadas!ES219,"Outros")</f>
        <v>Com os pais</v>
      </c>
      <c r="EU219" s="36" t="s">
        <v>134</v>
      </c>
      <c r="EV219" s="36" t="s">
        <v>282</v>
      </c>
      <c r="EW219" s="36" t="s">
        <v>282</v>
      </c>
      <c r="FE219" s="47">
        <v>2018</v>
      </c>
      <c r="FF219" s="97">
        <v>8.3629999999999995</v>
      </c>
      <c r="FG219" s="47" t="s">
        <v>933</v>
      </c>
      <c r="FH219" s="47" t="e">
        <f t="shared" si="10"/>
        <v>#VALUE!</v>
      </c>
      <c r="FI219" s="47" t="str">
        <f t="shared" si="8"/>
        <v>Lagarto</v>
      </c>
      <c r="FJ219" s="47" t="str">
        <f t="shared" si="9"/>
        <v>Tecnologia</v>
      </c>
    </row>
    <row r="220" spans="1:166" s="36" customFormat="1" ht="15.75" customHeight="1" x14ac:dyDescent="0.2">
      <c r="A220" s="38">
        <v>43425.869467037039</v>
      </c>
      <c r="B220" s="41"/>
      <c r="C220" s="36" t="s">
        <v>122</v>
      </c>
      <c r="D220" s="47" t="s">
        <v>133</v>
      </c>
      <c r="E220" s="36" t="s">
        <v>135</v>
      </c>
      <c r="H220" s="36" t="s">
        <v>142</v>
      </c>
      <c r="M220" s="36" t="s">
        <v>147</v>
      </c>
      <c r="N220" s="36" t="s">
        <v>134</v>
      </c>
      <c r="O220" s="36" t="s">
        <v>133</v>
      </c>
      <c r="P220" s="36" t="s">
        <v>133</v>
      </c>
      <c r="Q220" s="36" t="s">
        <v>133</v>
      </c>
      <c r="R220" s="36" t="s">
        <v>151</v>
      </c>
      <c r="Y220" s="36" t="s">
        <v>165</v>
      </c>
      <c r="Z220" s="36" t="s">
        <v>168</v>
      </c>
      <c r="AA220" s="36" t="s">
        <v>173</v>
      </c>
      <c r="AB220" s="36" t="s">
        <v>181</v>
      </c>
      <c r="AD220" s="36" t="s">
        <v>388</v>
      </c>
      <c r="AE220" s="36">
        <v>4</v>
      </c>
      <c r="AF220" s="36" t="s">
        <v>499</v>
      </c>
      <c r="AG220" s="36" t="s">
        <v>189</v>
      </c>
      <c r="AH220" s="36" t="s">
        <v>133</v>
      </c>
      <c r="AI220" s="40">
        <v>1000</v>
      </c>
      <c r="AJ220" s="36">
        <v>3</v>
      </c>
      <c r="AK220" s="36">
        <v>4</v>
      </c>
      <c r="AL220" s="36" t="s">
        <v>134</v>
      </c>
      <c r="AM220" s="36" t="s">
        <v>167</v>
      </c>
      <c r="AN220" s="36">
        <v>2</v>
      </c>
      <c r="AO220" s="36" t="s">
        <v>133</v>
      </c>
      <c r="AP220" s="36" t="s">
        <v>388</v>
      </c>
      <c r="AQ220" s="40">
        <v>1200</v>
      </c>
      <c r="AR220" s="36">
        <v>3</v>
      </c>
      <c r="AS220" s="36">
        <v>3</v>
      </c>
      <c r="AT220" s="36">
        <v>4</v>
      </c>
      <c r="AU220" s="36">
        <v>3</v>
      </c>
      <c r="AV220" s="36">
        <v>3</v>
      </c>
      <c r="AW220" s="36" t="s">
        <v>193</v>
      </c>
      <c r="AX220" s="36" t="s">
        <v>204</v>
      </c>
      <c r="AY220" s="36" t="s">
        <v>210</v>
      </c>
      <c r="AZ220" s="36" t="s">
        <v>133</v>
      </c>
      <c r="BA220" s="36" t="s">
        <v>170</v>
      </c>
      <c r="BB220" s="36" t="s">
        <v>501</v>
      </c>
      <c r="BC220" s="36" t="s">
        <v>292</v>
      </c>
      <c r="BD220" s="36" t="s">
        <v>189</v>
      </c>
      <c r="BF220" s="36" t="s">
        <v>221</v>
      </c>
      <c r="BG220" s="36">
        <v>3</v>
      </c>
      <c r="BH220" s="36">
        <v>4</v>
      </c>
      <c r="BI220" s="36">
        <v>4</v>
      </c>
      <c r="BJ220" s="36">
        <v>2</v>
      </c>
      <c r="BK220" s="36">
        <v>5</v>
      </c>
      <c r="BL220" s="36">
        <v>3</v>
      </c>
      <c r="BM220" s="36">
        <v>5</v>
      </c>
      <c r="BN220" s="36">
        <v>4</v>
      </c>
      <c r="BO220" s="36">
        <v>5</v>
      </c>
      <c r="BP220" s="36">
        <v>5</v>
      </c>
      <c r="BQ220" s="36">
        <v>2</v>
      </c>
      <c r="BR220" s="36">
        <v>1</v>
      </c>
      <c r="BS220" s="36">
        <v>1</v>
      </c>
      <c r="BT220" s="36">
        <v>4</v>
      </c>
      <c r="BU220" s="36">
        <v>3</v>
      </c>
      <c r="BV220" s="36">
        <v>3</v>
      </c>
      <c r="BW220" s="36">
        <v>4</v>
      </c>
      <c r="BX220" s="36">
        <v>5</v>
      </c>
      <c r="BY220" s="36">
        <v>5</v>
      </c>
      <c r="BZ220" s="36">
        <v>5</v>
      </c>
      <c r="CA220" s="36">
        <v>5</v>
      </c>
      <c r="CB220" s="36">
        <v>5</v>
      </c>
      <c r="CC220" s="36">
        <v>5</v>
      </c>
      <c r="CD220" s="36">
        <v>2</v>
      </c>
      <c r="CE220" s="36">
        <v>2</v>
      </c>
      <c r="CF220" s="36">
        <v>2</v>
      </c>
      <c r="CG220" s="36">
        <v>2</v>
      </c>
      <c r="CH220" s="36" t="s">
        <v>225</v>
      </c>
      <c r="CI220" t="s">
        <v>226</v>
      </c>
      <c r="CJ220" t="s">
        <v>229</v>
      </c>
      <c r="CK220" s="36" t="s">
        <v>232</v>
      </c>
      <c r="CL220"/>
      <c r="CM220"/>
      <c r="CN220" s="36" t="s">
        <v>242</v>
      </c>
      <c r="CO220" s="36" t="s">
        <v>134</v>
      </c>
      <c r="CP220" s="36">
        <v>4</v>
      </c>
      <c r="CQ220" s="36">
        <v>3</v>
      </c>
      <c r="CR220" s="36" t="s">
        <v>248</v>
      </c>
      <c r="CS220" s="36">
        <v>3</v>
      </c>
      <c r="CT220" s="36">
        <v>1</v>
      </c>
      <c r="CU220" s="36">
        <v>2</v>
      </c>
      <c r="CV220" s="36">
        <v>3</v>
      </c>
      <c r="CW220" s="36">
        <v>2</v>
      </c>
      <c r="CX220" s="36">
        <v>5</v>
      </c>
      <c r="CY220" s="36">
        <v>4</v>
      </c>
      <c r="CZ220" s="36">
        <v>5</v>
      </c>
      <c r="DA220" s="36">
        <v>4</v>
      </c>
      <c r="DB220" s="36">
        <v>4</v>
      </c>
      <c r="DC220" s="36">
        <v>1</v>
      </c>
      <c r="DD220" s="36">
        <v>2</v>
      </c>
      <c r="DE220" s="36">
        <v>1</v>
      </c>
      <c r="DF220" s="36">
        <v>3</v>
      </c>
      <c r="DG220" s="36">
        <v>3</v>
      </c>
      <c r="DH220" s="36">
        <v>2</v>
      </c>
      <c r="DI220" s="36" t="s">
        <v>250</v>
      </c>
      <c r="DJ220" s="36" t="s">
        <v>133</v>
      </c>
      <c r="DK220" s="36" t="s">
        <v>255</v>
      </c>
      <c r="DL220"/>
      <c r="DM220"/>
      <c r="DN220"/>
      <c r="DO220"/>
      <c r="DP220"/>
      <c r="DQ220" s="36">
        <v>5</v>
      </c>
      <c r="DR220" s="36" t="s">
        <v>133</v>
      </c>
      <c r="DS220" s="36" t="s">
        <v>260</v>
      </c>
      <c r="DT220" t="s">
        <v>261</v>
      </c>
      <c r="DU220"/>
      <c r="DV220"/>
      <c r="DW220"/>
      <c r="DX220"/>
      <c r="DY220" s="36">
        <v>4</v>
      </c>
      <c r="DZ220" s="36" t="s">
        <v>134</v>
      </c>
      <c r="EB220" s="36" t="s">
        <v>263</v>
      </c>
      <c r="EC220" s="36" t="s">
        <v>265</v>
      </c>
      <c r="ED220" s="36">
        <v>30</v>
      </c>
      <c r="EE220" s="36" t="s">
        <v>292</v>
      </c>
      <c r="EF220" s="36" t="str">
        <f>Tabulacao!MC220</f>
        <v>Aracaju</v>
      </c>
      <c r="EG220" s="36" t="s">
        <v>292</v>
      </c>
      <c r="EH220" s="36" t="str">
        <f>Tabulacao!MG220</f>
        <v>Aracaju</v>
      </c>
      <c r="EI220" s="36" t="s">
        <v>292</v>
      </c>
      <c r="EJ220" s="36" t="str">
        <f>Tabulacao!MK220</f>
        <v>Aracaju</v>
      </c>
      <c r="EK220" s="36" t="s">
        <v>134</v>
      </c>
      <c r="EL220" s="36" t="s">
        <v>134</v>
      </c>
      <c r="EM220" s="36" t="s">
        <v>134</v>
      </c>
      <c r="EN220" s="36" t="s">
        <v>134</v>
      </c>
      <c r="EO220" s="36" t="s">
        <v>134</v>
      </c>
      <c r="EP220" s="36" t="s">
        <v>134</v>
      </c>
      <c r="EQ220" s="36" t="s">
        <v>274</v>
      </c>
      <c r="ER220" s="36" t="str">
        <f>IF(OR(EQ220=CaractAmostra!$BD$9,EQ220=CaractAmostra!$BD$10,EQ220=CaractAmostra!$BD$11,EQ220=CaractAmostra!$BD$12,EQ220=CaractAmostra!$BD$13),Respostas_Formatadas!EQ220,"Outros")</f>
        <v>Com um(a) parceiro(a)</v>
      </c>
      <c r="ES220" s="36" t="s">
        <v>274</v>
      </c>
      <c r="ET220" s="36" t="str">
        <f>IF(OR(ES220=CaractAmostra!$BH$9,ES220=CaractAmostra!$BH$10,ES220=CaractAmostra!$BH$11,ES220=CaractAmostra!$BH$12),Respostas_Formatadas!ES220,"Outros")</f>
        <v>Com um(a) parceiro(a)</v>
      </c>
      <c r="EU220" s="36" t="s">
        <v>134</v>
      </c>
      <c r="EV220" s="36" t="s">
        <v>285</v>
      </c>
      <c r="EW220" s="36" t="s">
        <v>287</v>
      </c>
      <c r="FE220" s="47">
        <v>2015</v>
      </c>
      <c r="FF220" s="97">
        <v>7.1204000000000001</v>
      </c>
      <c r="FG220" s="47">
        <v>2014</v>
      </c>
      <c r="FH220" s="47">
        <f t="shared" si="10"/>
        <v>-1</v>
      </c>
      <c r="FI220" s="47" t="str">
        <f t="shared" si="8"/>
        <v>Aracaju</v>
      </c>
      <c r="FJ220" s="47" t="str">
        <f t="shared" si="9"/>
        <v>Licenciatura</v>
      </c>
    </row>
    <row r="221" spans="1:166" s="36" customFormat="1" ht="15.75" customHeight="1" x14ac:dyDescent="0.2">
      <c r="A221" s="38">
        <v>43425.871555624995</v>
      </c>
      <c r="B221" s="41"/>
      <c r="C221" s="36" t="s">
        <v>124</v>
      </c>
      <c r="D221" s="47" t="s">
        <v>134</v>
      </c>
      <c r="M221" s="36" t="s">
        <v>146</v>
      </c>
      <c r="N221" s="36" t="s">
        <v>134</v>
      </c>
      <c r="O221" s="36" t="s">
        <v>133</v>
      </c>
      <c r="P221" s="36" t="s">
        <v>133</v>
      </c>
      <c r="Q221" s="36" t="s">
        <v>134</v>
      </c>
      <c r="R221" s="36" t="s">
        <v>152</v>
      </c>
      <c r="S221" s="36" t="s">
        <v>579</v>
      </c>
      <c r="T221" s="36" t="s">
        <v>154</v>
      </c>
      <c r="U221" s="36" t="s">
        <v>159</v>
      </c>
      <c r="V221" s="36">
        <v>4</v>
      </c>
      <c r="W221" s="36">
        <v>1</v>
      </c>
      <c r="X221" s="36">
        <v>4</v>
      </c>
      <c r="Y221" s="36" t="s">
        <v>165</v>
      </c>
      <c r="Z221" s="36" t="s">
        <v>168</v>
      </c>
      <c r="AA221" s="36" t="s">
        <v>172</v>
      </c>
      <c r="AB221" s="36" t="s">
        <v>181</v>
      </c>
      <c r="AD221" s="36" t="s">
        <v>820</v>
      </c>
      <c r="AE221" s="36">
        <v>4</v>
      </c>
      <c r="AF221" s="36" t="s">
        <v>189</v>
      </c>
      <c r="AG221" s="36" t="s">
        <v>189</v>
      </c>
      <c r="AH221" s="36" t="s">
        <v>134</v>
      </c>
      <c r="AI221" s="40">
        <v>1500</v>
      </c>
      <c r="AJ221" s="36">
        <v>4</v>
      </c>
      <c r="AK221" s="36">
        <v>2</v>
      </c>
      <c r="AL221" s="36" t="s">
        <v>133</v>
      </c>
      <c r="AP221" s="36" t="s">
        <v>821</v>
      </c>
      <c r="AQ221" s="40">
        <v>2300</v>
      </c>
      <c r="AR221" s="36">
        <v>2</v>
      </c>
      <c r="AS221" s="36">
        <v>4</v>
      </c>
      <c r="AT221" s="36">
        <v>3</v>
      </c>
      <c r="AU221" s="36">
        <v>4</v>
      </c>
      <c r="AV221" s="36">
        <v>4</v>
      </c>
      <c r="AW221" s="36" t="s">
        <v>192</v>
      </c>
      <c r="AX221" s="36" t="s">
        <v>206</v>
      </c>
      <c r="AY221" s="36" t="s">
        <v>210</v>
      </c>
      <c r="AZ221" s="36" t="s">
        <v>134</v>
      </c>
      <c r="BA221" s="36" t="s">
        <v>170</v>
      </c>
      <c r="BB221" s="36" t="s">
        <v>522</v>
      </c>
      <c r="BC221" s="36" t="s">
        <v>292</v>
      </c>
      <c r="BD221" s="36" t="s">
        <v>189</v>
      </c>
      <c r="BF221" s="36" t="s">
        <v>220</v>
      </c>
      <c r="BG221" s="36">
        <v>4</v>
      </c>
      <c r="BH221" s="36">
        <v>3</v>
      </c>
      <c r="BI221" s="36">
        <v>3</v>
      </c>
      <c r="BJ221" s="36">
        <v>2</v>
      </c>
      <c r="BK221" s="36">
        <v>3</v>
      </c>
      <c r="BL221" s="36">
        <v>4</v>
      </c>
      <c r="BM221" s="36">
        <v>4</v>
      </c>
      <c r="BN221" s="36">
        <v>4</v>
      </c>
      <c r="BO221" s="36">
        <v>3</v>
      </c>
      <c r="BP221" s="36">
        <v>3</v>
      </c>
      <c r="BQ221" s="36">
        <v>3</v>
      </c>
      <c r="BR221" s="36">
        <v>5</v>
      </c>
      <c r="BS221" s="36">
        <v>2</v>
      </c>
      <c r="BT221" s="36">
        <v>4</v>
      </c>
      <c r="BU221" s="36">
        <v>3</v>
      </c>
      <c r="BV221" s="36">
        <v>3</v>
      </c>
      <c r="BW221" s="36">
        <v>3</v>
      </c>
      <c r="BX221" s="36">
        <v>4</v>
      </c>
      <c r="BY221" s="36">
        <v>4</v>
      </c>
      <c r="BZ221" s="36">
        <v>4</v>
      </c>
      <c r="CA221" s="36">
        <v>4</v>
      </c>
      <c r="CB221" s="36">
        <v>3</v>
      </c>
      <c r="CC221" s="36">
        <v>4</v>
      </c>
      <c r="CD221" s="36">
        <v>2</v>
      </c>
      <c r="CE221" s="36">
        <v>4</v>
      </c>
      <c r="CF221" s="36">
        <v>1</v>
      </c>
      <c r="CG221" s="36">
        <v>3</v>
      </c>
      <c r="CH221" s="36" t="s">
        <v>222</v>
      </c>
      <c r="CI221"/>
      <c r="CJ221"/>
      <c r="CK221" s="36" t="s">
        <v>235</v>
      </c>
      <c r="CL221"/>
      <c r="CM221"/>
      <c r="CN221" s="36" t="s">
        <v>242</v>
      </c>
      <c r="CO221" s="36" t="s">
        <v>134</v>
      </c>
      <c r="CP221" s="36">
        <v>2</v>
      </c>
      <c r="CQ221" s="36">
        <v>3</v>
      </c>
      <c r="CR221" s="36" t="s">
        <v>249</v>
      </c>
      <c r="CS221" s="36">
        <v>3</v>
      </c>
      <c r="CT221" s="36">
        <v>2</v>
      </c>
      <c r="CU221" s="36">
        <v>1</v>
      </c>
      <c r="CV221" s="36">
        <v>3</v>
      </c>
      <c r="CW221" s="36">
        <v>4</v>
      </c>
      <c r="CX221" s="36">
        <v>4</v>
      </c>
      <c r="CY221" s="36">
        <v>4</v>
      </c>
      <c r="CZ221" s="36">
        <v>3</v>
      </c>
      <c r="DA221" s="36">
        <v>3</v>
      </c>
      <c r="DB221" s="36">
        <v>3</v>
      </c>
      <c r="DC221" s="36">
        <v>3</v>
      </c>
      <c r="DD221" s="36">
        <v>3</v>
      </c>
      <c r="DE221" s="36">
        <v>4</v>
      </c>
      <c r="DF221" s="36">
        <v>3</v>
      </c>
      <c r="DG221" s="36">
        <v>3</v>
      </c>
      <c r="DH221" s="36">
        <v>3</v>
      </c>
      <c r="DI221" s="36" t="s">
        <v>133</v>
      </c>
      <c r="DJ221" s="36" t="s">
        <v>134</v>
      </c>
      <c r="DL221"/>
      <c r="DM221"/>
      <c r="DN221"/>
      <c r="DO221"/>
      <c r="DP221"/>
      <c r="DR221" s="36" t="s">
        <v>134</v>
      </c>
      <c r="DT221"/>
      <c r="DU221"/>
      <c r="DV221"/>
      <c r="DW221"/>
      <c r="DX221"/>
      <c r="DZ221" s="36" t="s">
        <v>134</v>
      </c>
      <c r="EB221" s="36" t="s">
        <v>263</v>
      </c>
      <c r="EC221" s="36" t="s">
        <v>267</v>
      </c>
      <c r="ED221" s="36">
        <v>31</v>
      </c>
      <c r="EE221" s="36" t="s">
        <v>292</v>
      </c>
      <c r="EF221" s="36" t="str">
        <f>Tabulacao!MC221</f>
        <v>Aracaju</v>
      </c>
      <c r="EG221" s="36" t="s">
        <v>292</v>
      </c>
      <c r="EH221" s="36" t="str">
        <f>Tabulacao!MG221</f>
        <v>Aracaju</v>
      </c>
      <c r="EI221" s="36" t="s">
        <v>292</v>
      </c>
      <c r="EJ221" s="36" t="str">
        <f>Tabulacao!MK221</f>
        <v>Aracaju</v>
      </c>
      <c r="EK221" s="36" t="s">
        <v>134</v>
      </c>
      <c r="EL221" s="36" t="s">
        <v>134</v>
      </c>
      <c r="EM221" s="36" t="s">
        <v>134</v>
      </c>
      <c r="EN221" s="36" t="s">
        <v>134</v>
      </c>
      <c r="EO221" s="36" t="s">
        <v>134</v>
      </c>
      <c r="EP221" s="36" t="s">
        <v>134</v>
      </c>
      <c r="EQ221" s="36" t="s">
        <v>275</v>
      </c>
      <c r="ER221" s="36" t="str">
        <f>IF(OR(EQ221=CaractAmostra!$BD$9,EQ221=CaractAmostra!$BD$10,EQ221=CaractAmostra!$BD$11,EQ221=CaractAmostra!$BD$12,EQ221=CaractAmostra!$BD$13),Respostas_Formatadas!EQ221,"Outros")</f>
        <v>Com os pais</v>
      </c>
      <c r="ES221" s="36" t="s">
        <v>274</v>
      </c>
      <c r="ET221" s="36" t="str">
        <f>IF(OR(ES221=CaractAmostra!$BH$9,ES221=CaractAmostra!$BH$10,ES221=CaractAmostra!$BH$11,ES221=CaractAmostra!$BH$12),Respostas_Formatadas!ES221,"Outros")</f>
        <v>Com um(a) parceiro(a)</v>
      </c>
      <c r="EU221" s="36" t="s">
        <v>279</v>
      </c>
      <c r="EV221" s="36" t="s">
        <v>288</v>
      </c>
      <c r="EW221" s="36" t="s">
        <v>288</v>
      </c>
      <c r="FE221" s="47">
        <v>2007</v>
      </c>
      <c r="FF221" s="97">
        <v>7.3594999999999997</v>
      </c>
      <c r="FG221" s="47">
        <v>2010</v>
      </c>
      <c r="FH221" s="47">
        <f t="shared" si="10"/>
        <v>3</v>
      </c>
      <c r="FI221" s="47" t="str">
        <f t="shared" si="8"/>
        <v>Aracaju</v>
      </c>
      <c r="FJ221" s="47" t="str">
        <f t="shared" si="9"/>
        <v>Tecnologia</v>
      </c>
    </row>
    <row r="222" spans="1:166" s="36" customFormat="1" ht="15.75" customHeight="1" x14ac:dyDescent="0.2">
      <c r="A222" s="38">
        <v>43425.87262667824</v>
      </c>
      <c r="B222" s="41"/>
      <c r="C222" s="36" t="s">
        <v>121</v>
      </c>
      <c r="D222" s="47" t="s">
        <v>134</v>
      </c>
      <c r="M222" s="36" t="s">
        <v>147</v>
      </c>
      <c r="N222" s="36" t="s">
        <v>134</v>
      </c>
      <c r="O222" s="36" t="s">
        <v>133</v>
      </c>
      <c r="P222" s="36" t="s">
        <v>133</v>
      </c>
      <c r="Q222" s="36" t="s">
        <v>133</v>
      </c>
      <c r="R222" s="36" t="s">
        <v>151</v>
      </c>
      <c r="Y222" s="36" t="s">
        <v>134</v>
      </c>
      <c r="AI222" s="40"/>
      <c r="AQ222" s="40"/>
      <c r="BT222" s="36">
        <v>4</v>
      </c>
      <c r="BU222" s="36">
        <v>3</v>
      </c>
      <c r="BV222" s="36">
        <v>4</v>
      </c>
      <c r="BW222" s="36">
        <v>4</v>
      </c>
      <c r="BX222" s="36">
        <v>4</v>
      </c>
      <c r="BY222" s="36">
        <v>4</v>
      </c>
      <c r="BZ222" s="36">
        <v>5</v>
      </c>
      <c r="CA222" s="36">
        <v>4</v>
      </c>
      <c r="CB222" s="36">
        <v>5</v>
      </c>
      <c r="CC222" s="36">
        <v>5</v>
      </c>
      <c r="CD222" s="36">
        <v>5</v>
      </c>
      <c r="CE222" s="36">
        <v>5</v>
      </c>
      <c r="CF222" s="36">
        <v>4</v>
      </c>
      <c r="CG222" s="36">
        <v>3</v>
      </c>
      <c r="CH222" s="36" t="s">
        <v>225</v>
      </c>
      <c r="CI222"/>
      <c r="CJ222"/>
      <c r="CK222" s="36" t="s">
        <v>233</v>
      </c>
      <c r="CL222" t="s">
        <v>235</v>
      </c>
      <c r="CM222" t="s">
        <v>239</v>
      </c>
      <c r="CN222" s="36" t="s">
        <v>246</v>
      </c>
      <c r="CO222" s="36" t="s">
        <v>134</v>
      </c>
      <c r="CP222" s="36">
        <v>1</v>
      </c>
      <c r="CQ222" s="36">
        <v>5</v>
      </c>
      <c r="CR222" s="36" t="s">
        <v>248</v>
      </c>
      <c r="CS222" s="36">
        <v>4</v>
      </c>
      <c r="CT222" s="36">
        <v>2</v>
      </c>
      <c r="CU222" s="36">
        <v>3</v>
      </c>
      <c r="CV222" s="36">
        <v>3</v>
      </c>
      <c r="CW222" s="36">
        <v>4</v>
      </c>
      <c r="CX222" s="36">
        <v>3</v>
      </c>
      <c r="CY222" s="36">
        <v>4</v>
      </c>
      <c r="CZ222" s="36">
        <v>4</v>
      </c>
      <c r="DA222" s="36">
        <v>3</v>
      </c>
      <c r="DB222" s="36">
        <v>3</v>
      </c>
      <c r="DC222" s="36">
        <v>2</v>
      </c>
      <c r="DD222" s="36">
        <v>4</v>
      </c>
      <c r="DE222" s="36">
        <v>4</v>
      </c>
      <c r="DF222" s="36">
        <v>4</v>
      </c>
      <c r="DG222" s="36">
        <v>4</v>
      </c>
      <c r="DH222" s="36">
        <v>3</v>
      </c>
      <c r="DI222" s="36" t="s">
        <v>133</v>
      </c>
      <c r="DJ222" s="36" t="s">
        <v>133</v>
      </c>
      <c r="DK222" s="36" t="s">
        <v>255</v>
      </c>
      <c r="DL222"/>
      <c r="DM222"/>
      <c r="DN222"/>
      <c r="DO222"/>
      <c r="DP222"/>
      <c r="DQ222" s="36">
        <v>5</v>
      </c>
      <c r="DR222" s="36" t="s">
        <v>134</v>
      </c>
      <c r="DT222"/>
      <c r="DU222"/>
      <c r="DV222"/>
      <c r="DW222"/>
      <c r="DX222"/>
      <c r="DZ222" s="36" t="s">
        <v>133</v>
      </c>
      <c r="EA222" s="36">
        <v>5</v>
      </c>
      <c r="EB222" s="36" t="s">
        <v>262</v>
      </c>
      <c r="EC222" s="36" t="s">
        <v>267</v>
      </c>
      <c r="ED222" s="36">
        <v>30</v>
      </c>
      <c r="EE222" s="36" t="s">
        <v>292</v>
      </c>
      <c r="EF222" s="36" t="str">
        <f>Tabulacao!MC222</f>
        <v>Aracaju</v>
      </c>
      <c r="EG222" s="36" t="s">
        <v>292</v>
      </c>
      <c r="EH222" s="36" t="str">
        <f>Tabulacao!MG222</f>
        <v>Aracaju</v>
      </c>
      <c r="EI222" s="36" t="s">
        <v>292</v>
      </c>
      <c r="EJ222" s="36" t="str">
        <f>Tabulacao!MK222</f>
        <v>Aracaju</v>
      </c>
      <c r="EK222" s="36" t="s">
        <v>134</v>
      </c>
      <c r="EL222" s="36" t="s">
        <v>134</v>
      </c>
      <c r="EM222" s="36" t="s">
        <v>134</v>
      </c>
      <c r="EN222" s="36" t="s">
        <v>134</v>
      </c>
      <c r="EO222" s="36" t="s">
        <v>134</v>
      </c>
      <c r="EP222" s="36" t="s">
        <v>134</v>
      </c>
      <c r="EQ222" s="36" t="s">
        <v>275</v>
      </c>
      <c r="ER222" s="36" t="str">
        <f>IF(OR(EQ222=CaractAmostra!$BD$9,EQ222=CaractAmostra!$BD$10,EQ222=CaractAmostra!$BD$11,EQ222=CaractAmostra!$BD$12,EQ222=CaractAmostra!$BD$13),Respostas_Formatadas!EQ222,"Outros")</f>
        <v>Com os pais</v>
      </c>
      <c r="ES222" s="36" t="s">
        <v>275</v>
      </c>
      <c r="ET222" s="36" t="str">
        <f>IF(OR(ES222=CaractAmostra!$BH$9,ES222=CaractAmostra!$BH$10,ES222=CaractAmostra!$BH$11,ES222=CaractAmostra!$BH$12),Respostas_Formatadas!ES222,"Outros")</f>
        <v>Com os pais</v>
      </c>
      <c r="EU222" s="36" t="s">
        <v>134</v>
      </c>
      <c r="EV222" s="36" t="s">
        <v>282</v>
      </c>
      <c r="EW222" s="36" t="s">
        <v>282</v>
      </c>
      <c r="FE222" s="47">
        <v>2017</v>
      </c>
      <c r="FF222" s="97">
        <v>7.5</v>
      </c>
      <c r="FG222" s="47">
        <v>2017</v>
      </c>
      <c r="FH222" s="47">
        <f t="shared" si="10"/>
        <v>0</v>
      </c>
      <c r="FI222" s="47" t="str">
        <f t="shared" si="8"/>
        <v>Aracaju</v>
      </c>
      <c r="FJ222" s="47" t="str">
        <f t="shared" si="9"/>
        <v>Licenciatura</v>
      </c>
    </row>
    <row r="223" spans="1:166" s="36" customFormat="1" ht="15.75" customHeight="1" x14ac:dyDescent="0.2">
      <c r="A223" s="38">
        <v>43425.882636134258</v>
      </c>
      <c r="B223" s="41"/>
      <c r="C223" s="36" t="s">
        <v>120</v>
      </c>
      <c r="D223" s="47" t="s">
        <v>134</v>
      </c>
      <c r="M223" s="36" t="s">
        <v>147</v>
      </c>
      <c r="N223" s="36" t="s">
        <v>133</v>
      </c>
      <c r="O223" s="36" t="s">
        <v>133</v>
      </c>
      <c r="P223" s="36" t="s">
        <v>133</v>
      </c>
      <c r="Q223" s="36" t="s">
        <v>133</v>
      </c>
      <c r="R223" s="36" t="s">
        <v>151</v>
      </c>
      <c r="Y223" s="36" t="s">
        <v>166</v>
      </c>
      <c r="AC223" s="36" t="s">
        <v>186</v>
      </c>
      <c r="AD223" s="36" t="s">
        <v>822</v>
      </c>
      <c r="AE223" s="36">
        <v>5</v>
      </c>
      <c r="AF223" s="36" t="s">
        <v>190</v>
      </c>
      <c r="AG223" s="36" t="s">
        <v>190</v>
      </c>
      <c r="AH223" s="36" t="s">
        <v>134</v>
      </c>
      <c r="AI223" s="40">
        <v>2500</v>
      </c>
      <c r="AJ223" s="36">
        <v>5</v>
      </c>
      <c r="AK223" s="36">
        <v>5</v>
      </c>
      <c r="AL223" s="36" t="s">
        <v>133</v>
      </c>
      <c r="AP223" s="36" t="s">
        <v>822</v>
      </c>
      <c r="AQ223" s="40">
        <v>3800</v>
      </c>
      <c r="AR223" s="36">
        <v>3</v>
      </c>
      <c r="AS223" s="36">
        <v>5</v>
      </c>
      <c r="AT223" s="36">
        <v>2</v>
      </c>
      <c r="AU223" s="36">
        <v>4</v>
      </c>
      <c r="AV223" s="36">
        <v>3</v>
      </c>
      <c r="AW223" s="36" t="s">
        <v>194</v>
      </c>
      <c r="AX223" s="36" t="s">
        <v>206</v>
      </c>
      <c r="AY223" s="36" t="s">
        <v>208</v>
      </c>
      <c r="AZ223" s="36" t="s">
        <v>133</v>
      </c>
      <c r="BA223" s="36" t="s">
        <v>170</v>
      </c>
      <c r="BB223" s="36" t="s">
        <v>291</v>
      </c>
      <c r="BC223" s="36" t="s">
        <v>291</v>
      </c>
      <c r="BD223" s="36" t="s">
        <v>190</v>
      </c>
      <c r="BG223" s="36">
        <v>5</v>
      </c>
      <c r="BH223" s="36">
        <v>4</v>
      </c>
      <c r="BI223" s="36">
        <v>5</v>
      </c>
      <c r="BJ223" s="36">
        <v>4</v>
      </c>
      <c r="BK223" s="36">
        <v>5</v>
      </c>
      <c r="BL223" s="36">
        <v>5</v>
      </c>
      <c r="BM223" s="36">
        <v>5</v>
      </c>
      <c r="BN223" s="36">
        <v>5</v>
      </c>
      <c r="BO223" s="36">
        <v>5</v>
      </c>
      <c r="BP223" s="36">
        <v>5</v>
      </c>
      <c r="BQ223" s="36">
        <v>4</v>
      </c>
      <c r="BR223" s="36">
        <v>5</v>
      </c>
      <c r="BS223" s="36">
        <v>3</v>
      </c>
      <c r="BT223" s="36">
        <v>4</v>
      </c>
      <c r="BU223" s="36">
        <v>4</v>
      </c>
      <c r="BV223" s="36">
        <v>4</v>
      </c>
      <c r="BW223" s="36">
        <v>4</v>
      </c>
      <c r="BX223" s="36">
        <v>4</v>
      </c>
      <c r="BY223" s="36">
        <v>4</v>
      </c>
      <c r="BZ223" s="36">
        <v>4</v>
      </c>
      <c r="CA223" s="36">
        <v>5</v>
      </c>
      <c r="CB223" s="36">
        <v>4</v>
      </c>
      <c r="CC223" s="36">
        <v>4</v>
      </c>
      <c r="CD223" s="36">
        <v>4</v>
      </c>
      <c r="CE223" s="36">
        <v>4</v>
      </c>
      <c r="CF223" s="36">
        <v>3</v>
      </c>
      <c r="CG223" s="36">
        <v>5</v>
      </c>
      <c r="CH223" s="36" t="s">
        <v>222</v>
      </c>
      <c r="CI223"/>
      <c r="CJ223"/>
      <c r="CK223" s="36" t="s">
        <v>234</v>
      </c>
      <c r="CL223"/>
      <c r="CM223"/>
      <c r="CN223" s="36" t="s">
        <v>242</v>
      </c>
      <c r="CO223" s="36" t="s">
        <v>134</v>
      </c>
      <c r="CP223" s="36">
        <v>2</v>
      </c>
      <c r="CQ223" s="36">
        <v>5</v>
      </c>
      <c r="CR223" s="36" t="s">
        <v>248</v>
      </c>
      <c r="CS223" s="36">
        <v>3</v>
      </c>
      <c r="CT223" s="36">
        <v>2</v>
      </c>
      <c r="CU223" s="36">
        <v>2</v>
      </c>
      <c r="CV223" s="36">
        <v>3</v>
      </c>
      <c r="CW223" s="36">
        <v>4</v>
      </c>
      <c r="CX223" s="36">
        <v>3</v>
      </c>
      <c r="CY223" s="36">
        <v>4</v>
      </c>
      <c r="CZ223" s="36">
        <v>3</v>
      </c>
      <c r="DA223" s="36">
        <v>4</v>
      </c>
      <c r="DB223" s="36">
        <v>2</v>
      </c>
      <c r="DC223" s="36">
        <v>3</v>
      </c>
      <c r="DD223" s="36">
        <v>4</v>
      </c>
      <c r="DE223" s="36">
        <v>4</v>
      </c>
      <c r="DF223" s="36">
        <v>5</v>
      </c>
      <c r="DG223" s="36">
        <v>5</v>
      </c>
      <c r="DH223" s="36">
        <v>3</v>
      </c>
      <c r="DI223" s="36" t="s">
        <v>133</v>
      </c>
      <c r="DJ223" s="36" t="s">
        <v>133</v>
      </c>
      <c r="DK223" s="36" t="s">
        <v>254</v>
      </c>
      <c r="DL223" t="s">
        <v>257</v>
      </c>
      <c r="DM223"/>
      <c r="DN223"/>
      <c r="DO223"/>
      <c r="DP223"/>
      <c r="DQ223" s="36">
        <v>4</v>
      </c>
      <c r="DR223" s="36" t="s">
        <v>134</v>
      </c>
      <c r="DT223"/>
      <c r="DU223"/>
      <c r="DV223"/>
      <c r="DW223"/>
      <c r="DX223"/>
      <c r="DZ223" s="36" t="s">
        <v>134</v>
      </c>
      <c r="EB223" s="36" t="s">
        <v>262</v>
      </c>
      <c r="EC223" s="36" t="s">
        <v>267</v>
      </c>
      <c r="ED223" s="36">
        <v>36</v>
      </c>
      <c r="EE223" s="36" t="s">
        <v>358</v>
      </c>
      <c r="EF223" s="36" t="str">
        <f>Tabulacao!MC223</f>
        <v>Nossa Senhora do Socorro</v>
      </c>
      <c r="EG223" s="36" t="s">
        <v>291</v>
      </c>
      <c r="EH223" s="36" t="str">
        <f>Tabulacao!MG223</f>
        <v>Lagarto</v>
      </c>
      <c r="EI223" s="36" t="s">
        <v>291</v>
      </c>
      <c r="EJ223" s="36" t="str">
        <f>Tabulacao!MK223</f>
        <v>Lagarto</v>
      </c>
      <c r="EK223" s="36" t="s">
        <v>134</v>
      </c>
      <c r="EL223" s="36" t="s">
        <v>134</v>
      </c>
      <c r="EM223" s="36" t="s">
        <v>134</v>
      </c>
      <c r="EN223" s="36" t="s">
        <v>134</v>
      </c>
      <c r="EO223" s="36" t="s">
        <v>134</v>
      </c>
      <c r="EP223" s="36" t="s">
        <v>134</v>
      </c>
      <c r="EQ223" s="36" t="s">
        <v>273</v>
      </c>
      <c r="ER223" s="36" t="str">
        <f>IF(OR(EQ223=CaractAmostra!$BD$9,EQ223=CaractAmostra!$BD$10,EQ223=CaractAmostra!$BD$11,EQ223=CaractAmostra!$BD$12,EQ223=CaractAmostra!$BD$13),Respostas_Formatadas!EQ223,"Outros")</f>
        <v>Dividia residência com outras pessoas</v>
      </c>
      <c r="ES223" s="36" t="s">
        <v>277</v>
      </c>
      <c r="ET223" s="36" t="str">
        <f>IF(OR(ES223=CaractAmostra!$BH$9,ES223=CaractAmostra!$BH$10,ES223=CaractAmostra!$BH$11,ES223=CaractAmostra!$BH$12),Respostas_Formatadas!ES223,"Outros")</f>
        <v>Sozinho</v>
      </c>
      <c r="EU223" s="36" t="s">
        <v>134</v>
      </c>
      <c r="EV223" s="36" t="s">
        <v>282</v>
      </c>
      <c r="EW223" s="36" t="s">
        <v>282</v>
      </c>
      <c r="FE223" s="47">
        <v>2017</v>
      </c>
      <c r="FF223" s="97">
        <v>7.9431000000000003</v>
      </c>
      <c r="FG223" s="47">
        <v>2017</v>
      </c>
      <c r="FH223" s="47">
        <f t="shared" si="10"/>
        <v>0</v>
      </c>
      <c r="FI223" s="47" t="str">
        <f t="shared" si="8"/>
        <v>Lagarto</v>
      </c>
      <c r="FJ223" s="47" t="str">
        <f t="shared" si="9"/>
        <v>Bacharelado</v>
      </c>
    </row>
    <row r="224" spans="1:166" s="36" customFormat="1" ht="15.75" customHeight="1" x14ac:dyDescent="0.2">
      <c r="A224" s="38">
        <v>43425.885932349542</v>
      </c>
      <c r="B224" s="41"/>
      <c r="C224" s="36" t="s">
        <v>119</v>
      </c>
      <c r="D224" s="47" t="s">
        <v>134</v>
      </c>
      <c r="M224" s="36" t="s">
        <v>146</v>
      </c>
      <c r="N224" s="36" t="s">
        <v>134</v>
      </c>
      <c r="O224" s="36" t="s">
        <v>133</v>
      </c>
      <c r="P224" s="36" t="s">
        <v>134</v>
      </c>
      <c r="Q224" s="36" t="s">
        <v>134</v>
      </c>
      <c r="R224" s="36" t="s">
        <v>151</v>
      </c>
      <c r="Y224" s="36" t="s">
        <v>134</v>
      </c>
      <c r="AI224" s="40"/>
      <c r="AQ224" s="40"/>
      <c r="BT224" s="36">
        <v>4</v>
      </c>
      <c r="BU224" s="36">
        <v>3</v>
      </c>
      <c r="BV224" s="36">
        <v>4</v>
      </c>
      <c r="BW224" s="36">
        <v>3</v>
      </c>
      <c r="BX224" s="36">
        <v>5</v>
      </c>
      <c r="BY224" s="36">
        <v>5</v>
      </c>
      <c r="BZ224" s="36">
        <v>5</v>
      </c>
      <c r="CA224" s="36">
        <v>4</v>
      </c>
      <c r="CB224" s="36">
        <v>4</v>
      </c>
      <c r="CC224" s="36">
        <v>4</v>
      </c>
      <c r="CD224" s="36">
        <v>4</v>
      </c>
      <c r="CE224" s="36">
        <v>3</v>
      </c>
      <c r="CF224" s="36">
        <v>4</v>
      </c>
      <c r="CG224" s="36">
        <v>3</v>
      </c>
      <c r="CH224" s="36" t="s">
        <v>222</v>
      </c>
      <c r="CI224" t="s">
        <v>225</v>
      </c>
      <c r="CJ224" t="s">
        <v>226</v>
      </c>
      <c r="CK224" s="36" t="s">
        <v>234</v>
      </c>
      <c r="CL224" t="s">
        <v>236</v>
      </c>
      <c r="CM224"/>
      <c r="CN224" s="36" t="s">
        <v>242</v>
      </c>
      <c r="CO224" s="36" t="s">
        <v>134</v>
      </c>
      <c r="CP224" s="36">
        <v>4</v>
      </c>
      <c r="CQ224" s="36">
        <v>2</v>
      </c>
      <c r="CR224" s="36" t="s">
        <v>248</v>
      </c>
      <c r="CS224" s="36">
        <v>2</v>
      </c>
      <c r="CT224" s="36">
        <v>2</v>
      </c>
      <c r="CU224" s="36">
        <v>2</v>
      </c>
      <c r="CV224" s="36">
        <v>2</v>
      </c>
      <c r="CW224" s="36">
        <v>2</v>
      </c>
      <c r="CX224" s="36">
        <v>4</v>
      </c>
      <c r="CY224" s="36">
        <v>4</v>
      </c>
      <c r="CZ224" s="36">
        <v>5</v>
      </c>
      <c r="DA224" s="36">
        <v>2</v>
      </c>
      <c r="DB224" s="36">
        <v>2</v>
      </c>
      <c r="DC224" s="36">
        <v>2</v>
      </c>
      <c r="DD224" s="36">
        <v>3</v>
      </c>
      <c r="DE224" s="36">
        <v>1</v>
      </c>
      <c r="DF224" s="36">
        <v>4</v>
      </c>
      <c r="DG224" s="36">
        <v>5</v>
      </c>
      <c r="DH224" s="36">
        <v>3</v>
      </c>
      <c r="DI224" s="36" t="s">
        <v>133</v>
      </c>
      <c r="DJ224" s="36" t="s">
        <v>133</v>
      </c>
      <c r="DK224" s="36" t="s">
        <v>254</v>
      </c>
      <c r="DL224"/>
      <c r="DM224"/>
      <c r="DN224"/>
      <c r="DO224"/>
      <c r="DP224"/>
      <c r="DQ224" s="36">
        <v>1</v>
      </c>
      <c r="DR224" s="36" t="s">
        <v>133</v>
      </c>
      <c r="DS224" s="36" t="s">
        <v>823</v>
      </c>
      <c r="DT224"/>
      <c r="DU224"/>
      <c r="DV224"/>
      <c r="DW224"/>
      <c r="DX224"/>
      <c r="DY224" s="36">
        <v>2</v>
      </c>
      <c r="DZ224" s="36" t="s">
        <v>134</v>
      </c>
      <c r="EB224" s="36" t="s">
        <v>262</v>
      </c>
      <c r="EC224" s="36" t="s">
        <v>264</v>
      </c>
      <c r="ED224" s="36">
        <v>24</v>
      </c>
      <c r="EE224" s="36" t="s">
        <v>292</v>
      </c>
      <c r="EF224" s="36" t="str">
        <f>Tabulacao!MC224</f>
        <v>Aracaju</v>
      </c>
      <c r="EG224" s="36" t="s">
        <v>292</v>
      </c>
      <c r="EH224" s="36" t="str">
        <f>Tabulacao!MG224</f>
        <v>Aracaju</v>
      </c>
      <c r="EI224" s="36" t="s">
        <v>292</v>
      </c>
      <c r="EJ224" s="36" t="str">
        <f>Tabulacao!MK224</f>
        <v>Aracaju</v>
      </c>
      <c r="EK224" s="36" t="s">
        <v>134</v>
      </c>
      <c r="EL224" s="36" t="s">
        <v>134</v>
      </c>
      <c r="EM224" s="36" t="s">
        <v>134</v>
      </c>
      <c r="EN224" s="36" t="s">
        <v>134</v>
      </c>
      <c r="EO224" s="36" t="s">
        <v>134</v>
      </c>
      <c r="EP224" s="36" t="s">
        <v>134</v>
      </c>
      <c r="EQ224" s="36" t="s">
        <v>275</v>
      </c>
      <c r="ER224" s="36" t="str">
        <f>IF(OR(EQ224=CaractAmostra!$BD$9,EQ224=CaractAmostra!$BD$10,EQ224=CaractAmostra!$BD$11,EQ224=CaractAmostra!$BD$12,EQ224=CaractAmostra!$BD$13),Respostas_Formatadas!EQ224,"Outros")</f>
        <v>Com os pais</v>
      </c>
      <c r="ES224" s="36" t="s">
        <v>275</v>
      </c>
      <c r="ET224" s="36" t="str">
        <f>IF(OR(ES224=CaractAmostra!$BH$9,ES224=CaractAmostra!$BH$10,ES224=CaractAmostra!$BH$11,ES224=CaractAmostra!$BH$12),Respostas_Formatadas!ES224,"Outros")</f>
        <v>Com os pais</v>
      </c>
      <c r="EU224" s="36" t="s">
        <v>134</v>
      </c>
      <c r="EV224" s="36" t="s">
        <v>288</v>
      </c>
      <c r="EW224" s="36" t="s">
        <v>288</v>
      </c>
      <c r="FE224" s="47">
        <v>2018</v>
      </c>
      <c r="FF224" s="97">
        <v>7.1136999999999997</v>
      </c>
      <c r="FG224" s="47">
        <v>2018</v>
      </c>
      <c r="FH224" s="47">
        <f t="shared" si="10"/>
        <v>0</v>
      </c>
      <c r="FI224" s="47" t="str">
        <f t="shared" si="8"/>
        <v>Aracaju</v>
      </c>
      <c r="FJ224" s="47" t="str">
        <f t="shared" si="9"/>
        <v>Bacharelado</v>
      </c>
    </row>
    <row r="225" spans="1:166" s="36" customFormat="1" ht="15.75" customHeight="1" x14ac:dyDescent="0.2">
      <c r="A225" s="38">
        <v>43425.887656122686</v>
      </c>
      <c r="B225" s="41"/>
      <c r="C225" s="36" t="s">
        <v>127</v>
      </c>
      <c r="D225" s="47" t="s">
        <v>134</v>
      </c>
      <c r="M225" s="36" t="s">
        <v>147</v>
      </c>
      <c r="N225" s="36" t="s">
        <v>134</v>
      </c>
      <c r="O225" s="36" t="s">
        <v>134</v>
      </c>
      <c r="P225" s="36" t="s">
        <v>133</v>
      </c>
      <c r="Q225" s="36" t="s">
        <v>133</v>
      </c>
      <c r="R225" s="36" t="s">
        <v>151</v>
      </c>
      <c r="Y225" s="36" t="s">
        <v>166</v>
      </c>
      <c r="AC225" s="36" t="s">
        <v>179</v>
      </c>
      <c r="AE225" s="36">
        <v>3</v>
      </c>
      <c r="AF225" s="36" t="s">
        <v>189</v>
      </c>
      <c r="AG225" s="36" t="s">
        <v>189</v>
      </c>
      <c r="AH225" s="36" t="s">
        <v>133</v>
      </c>
      <c r="AI225" s="40"/>
      <c r="AJ225" s="36">
        <v>4</v>
      </c>
      <c r="AK225" s="36">
        <v>4</v>
      </c>
      <c r="AL225" s="36" t="s">
        <v>133</v>
      </c>
      <c r="AQ225" s="40"/>
      <c r="AR225" s="36">
        <v>4</v>
      </c>
      <c r="AS225" s="36">
        <v>3</v>
      </c>
      <c r="AT225" s="36">
        <v>3</v>
      </c>
      <c r="AU225" s="36">
        <v>4</v>
      </c>
      <c r="AV225" s="36">
        <v>3</v>
      </c>
      <c r="AW225" s="36" t="s">
        <v>193</v>
      </c>
      <c r="AX225" s="36" t="s">
        <v>203</v>
      </c>
      <c r="AY225" s="36" t="s">
        <v>211</v>
      </c>
      <c r="BG225" s="36">
        <v>4</v>
      </c>
      <c r="BH225" s="36">
        <v>4</v>
      </c>
      <c r="BI225" s="36">
        <v>4</v>
      </c>
      <c r="BJ225" s="36">
        <v>4</v>
      </c>
      <c r="BK225" s="36">
        <v>5</v>
      </c>
      <c r="BL225" s="36">
        <v>5</v>
      </c>
      <c r="BM225" s="36">
        <v>4</v>
      </c>
      <c r="BN225" s="36">
        <v>4</v>
      </c>
      <c r="BO225" s="36">
        <v>4</v>
      </c>
      <c r="BP225" s="36">
        <v>4</v>
      </c>
      <c r="BQ225" s="36">
        <v>4</v>
      </c>
      <c r="BR225" s="36">
        <v>4</v>
      </c>
      <c r="BS225" s="36">
        <v>4</v>
      </c>
      <c r="BT225" s="36">
        <v>4</v>
      </c>
      <c r="BU225" s="36">
        <v>4</v>
      </c>
      <c r="BV225" s="36">
        <v>4</v>
      </c>
      <c r="BW225" s="36">
        <v>5</v>
      </c>
      <c r="BX225" s="36">
        <v>4</v>
      </c>
      <c r="BY225" s="36">
        <v>4</v>
      </c>
      <c r="BZ225" s="36">
        <v>4</v>
      </c>
      <c r="CA225" s="36">
        <v>4</v>
      </c>
      <c r="CB225" s="36">
        <v>4</v>
      </c>
      <c r="CC225" s="36">
        <v>4</v>
      </c>
      <c r="CD225" s="36">
        <v>4</v>
      </c>
      <c r="CE225" s="36">
        <v>4</v>
      </c>
      <c r="CF225" s="36">
        <v>4</v>
      </c>
      <c r="CG225" s="36">
        <v>3</v>
      </c>
      <c r="CH225" s="36" t="s">
        <v>225</v>
      </c>
      <c r="CI225"/>
      <c r="CJ225"/>
      <c r="CK225" s="36" t="s">
        <v>225</v>
      </c>
      <c r="CL225"/>
      <c r="CM225"/>
      <c r="CN225" s="36" t="s">
        <v>242</v>
      </c>
      <c r="CO225" s="36" t="s">
        <v>134</v>
      </c>
      <c r="CP225" s="36">
        <v>4</v>
      </c>
      <c r="CQ225" s="36">
        <v>4</v>
      </c>
      <c r="CR225" s="36" t="s">
        <v>248</v>
      </c>
      <c r="CS225" s="36">
        <v>3</v>
      </c>
      <c r="CT225" s="36">
        <v>4</v>
      </c>
      <c r="CU225" s="36">
        <v>4</v>
      </c>
      <c r="CV225" s="36">
        <v>1</v>
      </c>
      <c r="CW225" s="36">
        <v>4</v>
      </c>
      <c r="CX225" s="36">
        <v>4</v>
      </c>
      <c r="CY225" s="36">
        <v>5</v>
      </c>
      <c r="CZ225" s="36">
        <v>4</v>
      </c>
      <c r="DA225" s="36">
        <v>3</v>
      </c>
      <c r="DB225" s="36">
        <v>4</v>
      </c>
      <c r="DC225" s="36">
        <v>5</v>
      </c>
      <c r="DD225" s="36">
        <v>4</v>
      </c>
      <c r="DE225" s="36">
        <v>4</v>
      </c>
      <c r="DF225" s="36">
        <v>4</v>
      </c>
      <c r="DG225" s="36">
        <v>5</v>
      </c>
      <c r="DH225" s="36">
        <v>5</v>
      </c>
      <c r="DI225" s="36" t="s">
        <v>133</v>
      </c>
      <c r="DJ225" s="36" t="s">
        <v>133</v>
      </c>
      <c r="DK225" s="36" t="s">
        <v>256</v>
      </c>
      <c r="DL225"/>
      <c r="DM225"/>
      <c r="DN225"/>
      <c r="DO225"/>
      <c r="DP225"/>
      <c r="DQ225" s="36">
        <v>4</v>
      </c>
      <c r="DR225" s="36" t="s">
        <v>134</v>
      </c>
      <c r="DT225"/>
      <c r="DU225"/>
      <c r="DV225"/>
      <c r="DW225"/>
      <c r="DX225"/>
      <c r="DZ225" s="36" t="s">
        <v>133</v>
      </c>
      <c r="EA225" s="36">
        <v>4</v>
      </c>
      <c r="EB225" s="36" t="s">
        <v>262</v>
      </c>
      <c r="EC225" s="36" t="s">
        <v>267</v>
      </c>
      <c r="ED225" s="36">
        <v>35</v>
      </c>
      <c r="EE225" s="36" t="s">
        <v>824</v>
      </c>
      <c r="EF225" s="36" t="str">
        <f>Tabulacao!MC225</f>
        <v>Malhador</v>
      </c>
      <c r="EG225" s="36" t="s">
        <v>824</v>
      </c>
      <c r="EH225" s="36" t="str">
        <f>Tabulacao!MG225</f>
        <v>Malhador</v>
      </c>
      <c r="EI225" s="36" t="s">
        <v>824</v>
      </c>
      <c r="EJ225" s="36" t="str">
        <f>Tabulacao!MK225</f>
        <v>Malhador</v>
      </c>
      <c r="EK225" s="36" t="s">
        <v>134</v>
      </c>
      <c r="EL225" s="36" t="s">
        <v>134</v>
      </c>
      <c r="EM225" s="36" t="s">
        <v>134</v>
      </c>
      <c r="EN225" s="36" t="s">
        <v>134</v>
      </c>
      <c r="EO225" s="36" t="s">
        <v>134</v>
      </c>
      <c r="EP225" s="36" t="s">
        <v>134</v>
      </c>
      <c r="EQ225" s="36" t="s">
        <v>274</v>
      </c>
      <c r="ER225" s="36" t="str">
        <f>IF(OR(EQ225=CaractAmostra!$BD$9,EQ225=CaractAmostra!$BD$10,EQ225=CaractAmostra!$BD$11,EQ225=CaractAmostra!$BD$12,EQ225=CaractAmostra!$BD$13),Respostas_Formatadas!EQ225,"Outros")</f>
        <v>Com um(a) parceiro(a)</v>
      </c>
      <c r="ES225" s="36" t="s">
        <v>274</v>
      </c>
      <c r="ET225" s="36" t="str">
        <f>IF(OR(ES225=CaractAmostra!$BH$9,ES225=CaractAmostra!$BH$10,ES225=CaractAmostra!$BH$11,ES225=CaractAmostra!$BH$12),Respostas_Formatadas!ES225,"Outros")</f>
        <v>Com um(a) parceiro(a)</v>
      </c>
      <c r="EU225" s="36" t="s">
        <v>134</v>
      </c>
      <c r="EV225" s="36" t="s">
        <v>283</v>
      </c>
      <c r="EW225" s="36" t="s">
        <v>283</v>
      </c>
      <c r="FE225" s="47">
        <v>2017</v>
      </c>
      <c r="FF225" s="97">
        <v>7.2603</v>
      </c>
      <c r="FG225" s="47">
        <v>2018</v>
      </c>
      <c r="FH225" s="47">
        <f t="shared" si="10"/>
        <v>1</v>
      </c>
      <c r="FI225" s="47" t="str">
        <f t="shared" si="8"/>
        <v>Itabaiana</v>
      </c>
      <c r="FJ225" s="47" t="str">
        <f t="shared" si="9"/>
        <v>Tecnologia</v>
      </c>
    </row>
    <row r="226" spans="1:166" s="36" customFormat="1" ht="15.75" customHeight="1" x14ac:dyDescent="0.2">
      <c r="A226" s="38">
        <v>43425.898777523151</v>
      </c>
      <c r="B226" s="41"/>
      <c r="C226" s="36" t="s">
        <v>125</v>
      </c>
      <c r="D226" s="47" t="s">
        <v>133</v>
      </c>
      <c r="E226" s="36" t="s">
        <v>137</v>
      </c>
      <c r="H226" s="36" t="s">
        <v>142</v>
      </c>
      <c r="M226" s="36" t="s">
        <v>146</v>
      </c>
      <c r="N226" s="36" t="s">
        <v>134</v>
      </c>
      <c r="O226" s="36" t="s">
        <v>133</v>
      </c>
      <c r="P226" s="36" t="s">
        <v>133</v>
      </c>
      <c r="Q226" s="36" t="s">
        <v>134</v>
      </c>
      <c r="R226" s="36" t="s">
        <v>151</v>
      </c>
      <c r="Y226" s="36" t="s">
        <v>134</v>
      </c>
      <c r="AI226" s="40"/>
      <c r="AQ226" s="40"/>
      <c r="BT226" s="36">
        <v>4</v>
      </c>
      <c r="BU226" s="36">
        <v>4</v>
      </c>
      <c r="BV226" s="36">
        <v>4</v>
      </c>
      <c r="BW226" s="36">
        <v>3</v>
      </c>
      <c r="BX226" s="36">
        <v>3</v>
      </c>
      <c r="BY226" s="36">
        <v>4</v>
      </c>
      <c r="BZ226" s="36">
        <v>5</v>
      </c>
      <c r="CA226" s="36">
        <v>5</v>
      </c>
      <c r="CB226" s="36">
        <v>4</v>
      </c>
      <c r="CC226" s="36">
        <v>4</v>
      </c>
      <c r="CD226" s="36">
        <v>4</v>
      </c>
      <c r="CE226" s="36">
        <v>3</v>
      </c>
      <c r="CF226" s="36">
        <v>4</v>
      </c>
      <c r="CG226" s="36">
        <v>3</v>
      </c>
      <c r="CH226" s="36" t="s">
        <v>226</v>
      </c>
      <c r="CI226" t="s">
        <v>1012</v>
      </c>
      <c r="CJ226"/>
      <c r="CK226" s="36" t="s">
        <v>233</v>
      </c>
      <c r="CL226" t="s">
        <v>236</v>
      </c>
      <c r="CM226"/>
      <c r="CN226" s="36" t="s">
        <v>241</v>
      </c>
      <c r="CO226" s="36" t="s">
        <v>134</v>
      </c>
      <c r="CP226" s="36">
        <v>1</v>
      </c>
      <c r="CQ226" s="36">
        <v>5</v>
      </c>
      <c r="CR226" s="36" t="s">
        <v>248</v>
      </c>
      <c r="CS226" s="36">
        <v>3</v>
      </c>
      <c r="CT226" s="36">
        <v>3</v>
      </c>
      <c r="CU226" s="36">
        <v>4</v>
      </c>
      <c r="CV226" s="36">
        <v>3</v>
      </c>
      <c r="CW226" s="36">
        <v>5</v>
      </c>
      <c r="CX226" s="36">
        <v>5</v>
      </c>
      <c r="CY226" s="36">
        <v>5</v>
      </c>
      <c r="CZ226" s="36">
        <v>4</v>
      </c>
      <c r="DA226" s="36">
        <v>4</v>
      </c>
      <c r="DB226" s="36">
        <v>3</v>
      </c>
      <c r="DC226" s="36">
        <v>5</v>
      </c>
      <c r="DD226" s="36">
        <v>4</v>
      </c>
      <c r="DE226" s="36">
        <v>4</v>
      </c>
      <c r="DF226" s="36">
        <v>5</v>
      </c>
      <c r="DG226" s="36">
        <v>5</v>
      </c>
      <c r="DH226" s="36">
        <v>5</v>
      </c>
      <c r="DI226" s="36" t="s">
        <v>252</v>
      </c>
      <c r="DJ226" s="36" t="s">
        <v>133</v>
      </c>
      <c r="DK226" s="36" t="s">
        <v>254</v>
      </c>
      <c r="DL226" t="s">
        <v>255</v>
      </c>
      <c r="DM226"/>
      <c r="DN226"/>
      <c r="DO226"/>
      <c r="DP226"/>
      <c r="DQ226" s="36">
        <v>5</v>
      </c>
      <c r="DR226" s="36" t="s">
        <v>133</v>
      </c>
      <c r="DS226" s="36" t="s">
        <v>258</v>
      </c>
      <c r="DT226" t="s">
        <v>259</v>
      </c>
      <c r="DU226"/>
      <c r="DV226"/>
      <c r="DW226" t="s">
        <v>260</v>
      </c>
      <c r="DX226" t="s">
        <v>261</v>
      </c>
      <c r="DY226" s="36">
        <v>5</v>
      </c>
      <c r="DZ226" s="36" t="s">
        <v>133</v>
      </c>
      <c r="EA226" s="36">
        <v>5</v>
      </c>
      <c r="EB226" s="36" t="s">
        <v>263</v>
      </c>
      <c r="EC226" s="36" t="s">
        <v>267</v>
      </c>
      <c r="ED226" s="36">
        <v>22</v>
      </c>
      <c r="EE226" s="36" t="s">
        <v>510</v>
      </c>
      <c r="EF226" s="36" t="str">
        <f>Tabulacao!MC226</f>
        <v>Rosário do Catete</v>
      </c>
      <c r="EG226" s="36" t="s">
        <v>510</v>
      </c>
      <c r="EH226" s="36" t="str">
        <f>Tabulacao!MG226</f>
        <v>Rosário do Catete</v>
      </c>
      <c r="EI226" s="36" t="s">
        <v>292</v>
      </c>
      <c r="EJ226" s="36" t="str">
        <f>Tabulacao!MK226</f>
        <v>Aracaju</v>
      </c>
      <c r="EK226" s="36" t="s">
        <v>134</v>
      </c>
      <c r="EL226" s="36" t="s">
        <v>134</v>
      </c>
      <c r="EM226" s="36" t="s">
        <v>134</v>
      </c>
      <c r="EN226" s="36" t="s">
        <v>134</v>
      </c>
      <c r="EO226" s="36" t="s">
        <v>134</v>
      </c>
      <c r="EP226" s="36" t="s">
        <v>134</v>
      </c>
      <c r="EQ226" s="36" t="s">
        <v>825</v>
      </c>
      <c r="ER226" s="36" t="str">
        <f>IF(OR(EQ226=CaractAmostra!$BD$9,EQ226=CaractAmostra!$BD$10,EQ226=CaractAmostra!$BD$11,EQ226=CaractAmostra!$BD$12,EQ226=CaractAmostra!$BD$13),Respostas_Formatadas!EQ226,"Outros")</f>
        <v>Outros</v>
      </c>
      <c r="ES226" s="36" t="s">
        <v>275</v>
      </c>
      <c r="ET226" s="36" t="str">
        <f>IF(OR(ES226=CaractAmostra!$BH$9,ES226=CaractAmostra!$BH$10,ES226=CaractAmostra!$BH$11,ES226=CaractAmostra!$BH$12),Respostas_Formatadas!ES226,"Outros")</f>
        <v>Com os pais</v>
      </c>
      <c r="EU226" s="36" t="s">
        <v>134</v>
      </c>
      <c r="EV226" s="36" t="s">
        <v>282</v>
      </c>
      <c r="EW226" s="36" t="s">
        <v>288</v>
      </c>
      <c r="FD226" s="36" t="s">
        <v>826</v>
      </c>
      <c r="FE226" s="47">
        <v>2017</v>
      </c>
      <c r="FF226" s="97">
        <v>9.1891999999999996</v>
      </c>
      <c r="FG226" s="47">
        <v>2017</v>
      </c>
      <c r="FH226" s="47">
        <f t="shared" si="10"/>
        <v>0</v>
      </c>
      <c r="FI226" s="47" t="str">
        <f t="shared" si="8"/>
        <v>Aracaju</v>
      </c>
      <c r="FJ226" s="47" t="str">
        <f t="shared" si="9"/>
        <v>Tecnologia</v>
      </c>
    </row>
    <row r="227" spans="1:166" s="36" customFormat="1" ht="15.75" customHeight="1" x14ac:dyDescent="0.2">
      <c r="A227" s="38">
        <v>43425.907458182875</v>
      </c>
      <c r="B227" s="41"/>
      <c r="C227" s="36" t="s">
        <v>122</v>
      </c>
      <c r="D227" s="47" t="s">
        <v>133</v>
      </c>
      <c r="E227" s="36" t="s">
        <v>138</v>
      </c>
      <c r="H227" s="36" t="s">
        <v>141</v>
      </c>
      <c r="I227" s="36" t="s">
        <v>142</v>
      </c>
      <c r="J227" s="36" t="s">
        <v>144</v>
      </c>
      <c r="M227" s="36" t="s">
        <v>146</v>
      </c>
      <c r="N227" s="36" t="s">
        <v>134</v>
      </c>
      <c r="O227" s="36" t="s">
        <v>134</v>
      </c>
      <c r="P227" s="36" t="s">
        <v>133</v>
      </c>
      <c r="Q227" s="36" t="s">
        <v>133</v>
      </c>
      <c r="R227" s="36" t="s">
        <v>151</v>
      </c>
      <c r="Y227" s="36" t="s">
        <v>134</v>
      </c>
      <c r="AI227" s="40"/>
      <c r="AQ227" s="40"/>
      <c r="BT227" s="36">
        <v>4</v>
      </c>
      <c r="BU227" s="36">
        <v>4</v>
      </c>
      <c r="BV227" s="36">
        <v>4</v>
      </c>
      <c r="BW227" s="36">
        <v>4</v>
      </c>
      <c r="BX227" s="36">
        <v>4</v>
      </c>
      <c r="BY227" s="36">
        <v>3</v>
      </c>
      <c r="BZ227" s="36">
        <v>3</v>
      </c>
      <c r="CA227" s="36">
        <v>4</v>
      </c>
      <c r="CB227" s="36">
        <v>3</v>
      </c>
      <c r="CC227" s="36">
        <v>4</v>
      </c>
      <c r="CD227" s="36">
        <v>2</v>
      </c>
      <c r="CE227" s="36">
        <v>3</v>
      </c>
      <c r="CF227" s="36">
        <v>3</v>
      </c>
      <c r="CG227" s="36">
        <v>3</v>
      </c>
      <c r="CH227" s="36" t="s">
        <v>226</v>
      </c>
      <c r="CI227"/>
      <c r="CJ227"/>
      <c r="CK227" s="36" t="s">
        <v>233</v>
      </c>
      <c r="CL227" t="s">
        <v>234</v>
      </c>
      <c r="CM227" t="s">
        <v>240</v>
      </c>
      <c r="CN227" s="36" t="s">
        <v>241</v>
      </c>
      <c r="CO227" s="36" t="s">
        <v>134</v>
      </c>
      <c r="CP227" s="36">
        <v>1</v>
      </c>
      <c r="CQ227" s="36">
        <v>5</v>
      </c>
      <c r="CR227" s="36" t="s">
        <v>248</v>
      </c>
      <c r="CS227" s="36">
        <v>3</v>
      </c>
      <c r="CT227" s="36">
        <v>3</v>
      </c>
      <c r="CU227" s="36">
        <v>3</v>
      </c>
      <c r="CV227" s="36">
        <v>3</v>
      </c>
      <c r="CW227" s="36">
        <v>3</v>
      </c>
      <c r="CX227" s="36">
        <v>3</v>
      </c>
      <c r="CY227" s="36">
        <v>3</v>
      </c>
      <c r="CZ227" s="36">
        <v>4</v>
      </c>
      <c r="DA227" s="36">
        <v>4</v>
      </c>
      <c r="DB227" s="36">
        <v>3</v>
      </c>
      <c r="DC227" s="36">
        <v>1</v>
      </c>
      <c r="DD227" s="36">
        <v>4</v>
      </c>
      <c r="DE227" s="36">
        <v>4</v>
      </c>
      <c r="DF227" s="36">
        <v>4</v>
      </c>
      <c r="DG227" s="36">
        <v>4</v>
      </c>
      <c r="DH227" s="36">
        <v>2</v>
      </c>
      <c r="DI227" s="36" t="s">
        <v>133</v>
      </c>
      <c r="DJ227" s="36" t="s">
        <v>133</v>
      </c>
      <c r="DK227" s="36" t="s">
        <v>254</v>
      </c>
      <c r="DL227" t="s">
        <v>255</v>
      </c>
      <c r="DM227"/>
      <c r="DN227"/>
      <c r="DO227" t="s">
        <v>257</v>
      </c>
      <c r="DP227"/>
      <c r="DQ227" s="36">
        <v>4</v>
      </c>
      <c r="DR227" s="36" t="s">
        <v>134</v>
      </c>
      <c r="DT227"/>
      <c r="DU227"/>
      <c r="DV227"/>
      <c r="DW227"/>
      <c r="DX227"/>
      <c r="DZ227" s="36" t="s">
        <v>133</v>
      </c>
      <c r="EA227" s="36">
        <v>4</v>
      </c>
      <c r="EB227" s="36" t="s">
        <v>262</v>
      </c>
      <c r="EC227" s="36" t="s">
        <v>267</v>
      </c>
      <c r="ED227" s="36">
        <v>32</v>
      </c>
      <c r="EE227" s="36" t="s">
        <v>827</v>
      </c>
      <c r="EF227" s="36" t="str">
        <f>Tabulacao!MC227</f>
        <v>Santo Amaro das Brotas</v>
      </c>
      <c r="EG227" s="36" t="s">
        <v>828</v>
      </c>
      <c r="EH227" s="36" t="str">
        <f>Tabulacao!MG227</f>
        <v>Santo Amaro das Brotas</v>
      </c>
      <c r="EI227" s="36" t="s">
        <v>459</v>
      </c>
      <c r="EJ227" s="36" t="str">
        <f>Tabulacao!MK227</f>
        <v>São Cristóvão</v>
      </c>
      <c r="EK227" s="36" t="s">
        <v>134</v>
      </c>
      <c r="EL227" s="36" t="s">
        <v>134</v>
      </c>
      <c r="EM227" s="36" t="s">
        <v>134</v>
      </c>
      <c r="EN227" s="36" t="s">
        <v>134</v>
      </c>
      <c r="EO227" s="36" t="s">
        <v>134</v>
      </c>
      <c r="EP227" s="36" t="s">
        <v>134</v>
      </c>
      <c r="EQ227" s="36" t="s">
        <v>272</v>
      </c>
      <c r="ER227" s="36" t="str">
        <f>IF(OR(EQ227=CaractAmostra!$BD$9,EQ227=CaractAmostra!$BD$10,EQ227=CaractAmostra!$BD$11,EQ227=CaractAmostra!$BD$12,EQ227=CaractAmostra!$BD$13),Respostas_Formatadas!EQ227,"Outros")</f>
        <v>Morava sozinho</v>
      </c>
      <c r="ES227" s="36" t="s">
        <v>277</v>
      </c>
      <c r="ET227" s="36" t="str">
        <f>IF(OR(ES227=CaractAmostra!$BH$9,ES227=CaractAmostra!$BH$10,ES227=CaractAmostra!$BH$11,ES227=CaractAmostra!$BH$12),Respostas_Formatadas!ES227,"Outros")</f>
        <v>Sozinho</v>
      </c>
      <c r="EU227" s="36" t="s">
        <v>279</v>
      </c>
      <c r="EV227" s="36" t="s">
        <v>288</v>
      </c>
      <c r="EW227" s="36" t="s">
        <v>282</v>
      </c>
      <c r="FE227" s="47">
        <v>2018</v>
      </c>
      <c r="FF227" s="97">
        <v>9.3454999999999995</v>
      </c>
      <c r="FG227" s="47">
        <v>2018</v>
      </c>
      <c r="FH227" s="47">
        <f t="shared" si="10"/>
        <v>0</v>
      </c>
      <c r="FI227" s="47" t="str">
        <f t="shared" si="8"/>
        <v>Aracaju</v>
      </c>
      <c r="FJ227" s="47" t="str">
        <f t="shared" si="9"/>
        <v>Licenciatura</v>
      </c>
    </row>
    <row r="228" spans="1:166" s="36" customFormat="1" ht="15.75" customHeight="1" x14ac:dyDescent="0.2">
      <c r="A228" s="38">
        <v>43425.910132442128</v>
      </c>
      <c r="B228" s="41"/>
      <c r="C228" s="36" t="s">
        <v>120</v>
      </c>
      <c r="D228" s="47" t="s">
        <v>134</v>
      </c>
      <c r="M228" s="36" t="s">
        <v>146</v>
      </c>
      <c r="N228" s="36" t="s">
        <v>133</v>
      </c>
      <c r="O228" s="36" t="s">
        <v>133</v>
      </c>
      <c r="P228" s="36" t="s">
        <v>133</v>
      </c>
      <c r="Q228" s="36" t="s">
        <v>133</v>
      </c>
      <c r="R228" s="36" t="s">
        <v>151</v>
      </c>
      <c r="Y228" s="36" t="s">
        <v>166</v>
      </c>
      <c r="AC228" s="36" t="s">
        <v>181</v>
      </c>
      <c r="AD228" s="36" t="s">
        <v>829</v>
      </c>
      <c r="AE228" s="36">
        <v>5</v>
      </c>
      <c r="AF228" s="36" t="s">
        <v>189</v>
      </c>
      <c r="AG228" s="36" t="s">
        <v>189</v>
      </c>
      <c r="AH228" s="36" t="s">
        <v>134</v>
      </c>
      <c r="AI228" s="40">
        <v>2500</v>
      </c>
      <c r="AJ228" s="36">
        <v>5</v>
      </c>
      <c r="AK228" s="36">
        <v>3</v>
      </c>
      <c r="AL228" s="36" t="s">
        <v>134</v>
      </c>
      <c r="AM228" s="36" t="s">
        <v>169</v>
      </c>
      <c r="AO228" s="36" t="s">
        <v>133</v>
      </c>
      <c r="AP228" s="36" t="s">
        <v>830</v>
      </c>
      <c r="AQ228" s="40">
        <v>2500</v>
      </c>
      <c r="AR228" s="36">
        <v>2</v>
      </c>
      <c r="AS228" s="36">
        <v>4</v>
      </c>
      <c r="AT228" s="36">
        <v>3</v>
      </c>
      <c r="AU228" s="36">
        <v>3</v>
      </c>
      <c r="AV228" s="36">
        <v>5</v>
      </c>
      <c r="AW228" s="36" t="s">
        <v>192</v>
      </c>
      <c r="AX228" s="36" t="s">
        <v>206</v>
      </c>
      <c r="AY228" s="36" t="s">
        <v>210</v>
      </c>
      <c r="AZ228" s="36" t="s">
        <v>133</v>
      </c>
      <c r="BA228" s="36" t="s">
        <v>170</v>
      </c>
      <c r="BB228" s="36" t="s">
        <v>831</v>
      </c>
      <c r="BC228" s="36" t="s">
        <v>291</v>
      </c>
      <c r="BD228" s="36" t="s">
        <v>189</v>
      </c>
      <c r="BF228" s="36" t="s">
        <v>220</v>
      </c>
      <c r="BG228" s="36">
        <v>5</v>
      </c>
      <c r="BH228" s="36">
        <v>3</v>
      </c>
      <c r="BI228" s="36">
        <v>5</v>
      </c>
      <c r="BJ228" s="36">
        <v>3</v>
      </c>
      <c r="BK228" s="36">
        <v>3</v>
      </c>
      <c r="BL228" s="36">
        <v>3</v>
      </c>
      <c r="BM228" s="36">
        <v>5</v>
      </c>
      <c r="BN228" s="36">
        <v>5</v>
      </c>
      <c r="BO228" s="36">
        <v>5</v>
      </c>
      <c r="BP228" s="36">
        <v>5</v>
      </c>
      <c r="BQ228" s="36">
        <v>3</v>
      </c>
      <c r="BR228" s="36">
        <v>2</v>
      </c>
      <c r="BS228" s="36">
        <v>1</v>
      </c>
      <c r="BT228" s="36">
        <v>3</v>
      </c>
      <c r="BU228" s="36">
        <v>2</v>
      </c>
      <c r="BV228" s="36">
        <v>4</v>
      </c>
      <c r="BW228" s="36">
        <v>3</v>
      </c>
      <c r="BX228" s="36">
        <v>3</v>
      </c>
      <c r="BY228" s="36">
        <v>3</v>
      </c>
      <c r="BZ228" s="36">
        <v>5</v>
      </c>
      <c r="CA228" s="36">
        <v>5</v>
      </c>
      <c r="CB228" s="36">
        <v>3</v>
      </c>
      <c r="CC228" s="36">
        <v>3</v>
      </c>
      <c r="CD228" s="36">
        <v>4</v>
      </c>
      <c r="CE228" s="36">
        <v>2</v>
      </c>
      <c r="CF228" s="36">
        <v>1</v>
      </c>
      <c r="CG228" s="36">
        <v>5</v>
      </c>
      <c r="CH228" s="36" t="s">
        <v>226</v>
      </c>
      <c r="CI228"/>
      <c r="CJ228"/>
      <c r="CK228" s="36" t="s">
        <v>235</v>
      </c>
      <c r="CL228"/>
      <c r="CM228"/>
      <c r="CN228" s="36" t="s">
        <v>242</v>
      </c>
      <c r="CO228" s="36" t="s">
        <v>133</v>
      </c>
      <c r="CP228" s="36">
        <v>3</v>
      </c>
      <c r="CQ228" s="36">
        <v>3</v>
      </c>
      <c r="CR228" s="36" t="s">
        <v>249</v>
      </c>
      <c r="CS228" s="36">
        <v>2</v>
      </c>
      <c r="CT228" s="36">
        <v>1</v>
      </c>
      <c r="CU228" s="36">
        <v>3</v>
      </c>
      <c r="CV228" s="36">
        <v>2</v>
      </c>
      <c r="CW228" s="36">
        <v>3</v>
      </c>
      <c r="CX228" s="36">
        <v>3</v>
      </c>
      <c r="CY228" s="36">
        <v>3</v>
      </c>
      <c r="CZ228" s="36">
        <v>4</v>
      </c>
      <c r="DA228" s="36">
        <v>5</v>
      </c>
      <c r="DB228" s="36">
        <v>5</v>
      </c>
      <c r="DC228" s="36">
        <v>4</v>
      </c>
      <c r="DD228" s="36">
        <v>4</v>
      </c>
      <c r="DE228" s="36">
        <v>5</v>
      </c>
      <c r="DF228" s="36">
        <v>4</v>
      </c>
      <c r="DG228" s="36">
        <v>4</v>
      </c>
      <c r="DH228" s="36">
        <v>2</v>
      </c>
      <c r="DI228" s="36" t="s">
        <v>251</v>
      </c>
      <c r="DJ228" s="36" t="s">
        <v>133</v>
      </c>
      <c r="DK228" s="36" t="s">
        <v>255</v>
      </c>
      <c r="DL228"/>
      <c r="DM228"/>
      <c r="DN228"/>
      <c r="DO228"/>
      <c r="DP228"/>
      <c r="DQ228" s="36">
        <v>2</v>
      </c>
      <c r="DR228" s="36" t="s">
        <v>134</v>
      </c>
      <c r="DT228"/>
      <c r="DU228"/>
      <c r="DV228"/>
      <c r="DW228"/>
      <c r="DX228"/>
      <c r="DZ228" s="36" t="s">
        <v>134</v>
      </c>
      <c r="EB228" s="36" t="s">
        <v>262</v>
      </c>
      <c r="EC228" s="36" t="s">
        <v>267</v>
      </c>
      <c r="ED228" s="36">
        <v>28</v>
      </c>
      <c r="EE228" s="36" t="s">
        <v>291</v>
      </c>
      <c r="EF228" s="36" t="str">
        <f>Tabulacao!MC228</f>
        <v>Lagarto</v>
      </c>
      <c r="EG228" s="36" t="s">
        <v>466</v>
      </c>
      <c r="EH228" s="36" t="str">
        <f>Tabulacao!MG228</f>
        <v>Lagarto</v>
      </c>
      <c r="EI228" s="36" t="s">
        <v>466</v>
      </c>
      <c r="EJ228" s="36" t="str">
        <f>Tabulacao!MK228</f>
        <v>Lagarto</v>
      </c>
      <c r="EK228" s="36" t="s">
        <v>134</v>
      </c>
      <c r="EL228" s="36" t="s">
        <v>134</v>
      </c>
      <c r="EM228" s="36" t="s">
        <v>134</v>
      </c>
      <c r="EN228" s="36" t="s">
        <v>134</v>
      </c>
      <c r="EO228" s="36" t="s">
        <v>134</v>
      </c>
      <c r="EP228" s="36" t="s">
        <v>134</v>
      </c>
      <c r="EQ228" s="36" t="s">
        <v>275</v>
      </c>
      <c r="ER228" s="36" t="str">
        <f>IF(OR(EQ228=CaractAmostra!$BD$9,EQ228=CaractAmostra!$BD$10,EQ228=CaractAmostra!$BD$11,EQ228=CaractAmostra!$BD$12,EQ228=CaractAmostra!$BD$13),Respostas_Formatadas!EQ228,"Outros")</f>
        <v>Com os pais</v>
      </c>
      <c r="ES228" s="36" t="s">
        <v>275</v>
      </c>
      <c r="ET228" s="36" t="str">
        <f>IF(OR(ES228=CaractAmostra!$BH$9,ES228=CaractAmostra!$BH$10,ES228=CaractAmostra!$BH$11,ES228=CaractAmostra!$BH$12),Respostas_Formatadas!ES228,"Outros")</f>
        <v>Com os pais</v>
      </c>
      <c r="EU228" s="36" t="s">
        <v>134</v>
      </c>
      <c r="EV228" s="36" t="s">
        <v>282</v>
      </c>
      <c r="EW228" s="36" t="s">
        <v>285</v>
      </c>
      <c r="EY228" s="42"/>
      <c r="FE228" s="47">
        <v>2018</v>
      </c>
      <c r="FF228" s="97">
        <v>7.4065000000000003</v>
      </c>
      <c r="FG228" s="47">
        <v>2018</v>
      </c>
      <c r="FH228" s="47">
        <f t="shared" si="10"/>
        <v>0</v>
      </c>
      <c r="FI228" s="47" t="str">
        <f t="shared" si="8"/>
        <v>Lagarto</v>
      </c>
      <c r="FJ228" s="47" t="str">
        <f t="shared" si="9"/>
        <v>Bacharelado</v>
      </c>
    </row>
    <row r="229" spans="1:166" s="36" customFormat="1" ht="15.75" customHeight="1" x14ac:dyDescent="0.2">
      <c r="A229" s="38">
        <v>43425.910146921291</v>
      </c>
      <c r="B229" s="41"/>
      <c r="C229" s="36" t="s">
        <v>127</v>
      </c>
      <c r="D229" s="47" t="s">
        <v>134</v>
      </c>
      <c r="M229" s="36" t="s">
        <v>150</v>
      </c>
      <c r="N229" s="36" t="s">
        <v>134</v>
      </c>
      <c r="O229" s="36" t="s">
        <v>133</v>
      </c>
      <c r="P229" s="36" t="s">
        <v>133</v>
      </c>
      <c r="Q229" s="36" t="s">
        <v>133</v>
      </c>
      <c r="R229" s="36" t="s">
        <v>151</v>
      </c>
      <c r="Y229" s="36" t="s">
        <v>166</v>
      </c>
      <c r="AC229" s="36" t="s">
        <v>178</v>
      </c>
      <c r="AD229" s="36" t="s">
        <v>388</v>
      </c>
      <c r="AE229" s="36">
        <v>3</v>
      </c>
      <c r="AF229" s="36" t="s">
        <v>190</v>
      </c>
      <c r="AG229" s="36" t="s">
        <v>190</v>
      </c>
      <c r="AH229" s="36" t="s">
        <v>134</v>
      </c>
      <c r="AI229" s="40">
        <v>3500</v>
      </c>
      <c r="AJ229" s="36">
        <v>3</v>
      </c>
      <c r="AK229" s="36">
        <v>3</v>
      </c>
      <c r="AL229" s="36" t="s">
        <v>133</v>
      </c>
      <c r="AP229" s="36" t="s">
        <v>388</v>
      </c>
      <c r="AQ229" s="40">
        <v>7000</v>
      </c>
      <c r="AR229" s="36">
        <v>4</v>
      </c>
      <c r="AS229" s="36">
        <v>4</v>
      </c>
      <c r="AT229" s="36">
        <v>3</v>
      </c>
      <c r="AU229" s="36">
        <v>3</v>
      </c>
      <c r="AV229" s="36">
        <v>4</v>
      </c>
      <c r="AW229" s="36" t="s">
        <v>194</v>
      </c>
      <c r="AX229" s="36" t="s">
        <v>207</v>
      </c>
      <c r="AY229" s="36" t="s">
        <v>208</v>
      </c>
      <c r="AZ229" s="36" t="s">
        <v>133</v>
      </c>
      <c r="BA229" s="36" t="s">
        <v>170</v>
      </c>
      <c r="BB229" s="36" t="s">
        <v>832</v>
      </c>
      <c r="BC229" s="36" t="s">
        <v>322</v>
      </c>
      <c r="BD229" s="36" t="s">
        <v>190</v>
      </c>
      <c r="BG229" s="36">
        <v>5</v>
      </c>
      <c r="BH229" s="36">
        <v>5</v>
      </c>
      <c r="BI229" s="36">
        <v>5</v>
      </c>
      <c r="BJ229" s="36">
        <v>3</v>
      </c>
      <c r="BK229" s="36">
        <v>4</v>
      </c>
      <c r="BL229" s="36">
        <v>4</v>
      </c>
      <c r="BM229" s="36">
        <v>5</v>
      </c>
      <c r="BN229" s="36">
        <v>3</v>
      </c>
      <c r="BO229" s="36">
        <v>4</v>
      </c>
      <c r="BP229" s="36">
        <v>4</v>
      </c>
      <c r="BQ229" s="36">
        <v>3</v>
      </c>
      <c r="BR229" s="36">
        <v>3</v>
      </c>
      <c r="BS229" s="36">
        <v>2</v>
      </c>
      <c r="BT229" s="36">
        <v>5</v>
      </c>
      <c r="BU229" s="36">
        <v>5</v>
      </c>
      <c r="BV229" s="36">
        <v>4</v>
      </c>
      <c r="BW229" s="36">
        <v>4</v>
      </c>
      <c r="BX229" s="36">
        <v>4</v>
      </c>
      <c r="BY229" s="36">
        <v>4</v>
      </c>
      <c r="BZ229" s="36">
        <v>4</v>
      </c>
      <c r="CA229" s="36">
        <v>4</v>
      </c>
      <c r="CB229" s="36">
        <v>4</v>
      </c>
      <c r="CC229" s="36">
        <v>4</v>
      </c>
      <c r="CD229" s="36">
        <v>4</v>
      </c>
      <c r="CE229" s="36">
        <v>4</v>
      </c>
      <c r="CF229" s="36">
        <v>3</v>
      </c>
      <c r="CG229" s="36">
        <v>3</v>
      </c>
      <c r="CH229" s="36" t="s">
        <v>229</v>
      </c>
      <c r="CI229"/>
      <c r="CJ229"/>
      <c r="CK229" s="36" t="s">
        <v>239</v>
      </c>
      <c r="CL229"/>
      <c r="CM229"/>
      <c r="CN229" s="36" t="s">
        <v>242</v>
      </c>
      <c r="CO229" s="36" t="s">
        <v>134</v>
      </c>
      <c r="CP229" s="36">
        <v>4</v>
      </c>
      <c r="CQ229" s="36">
        <v>5</v>
      </c>
      <c r="CR229" s="36" t="s">
        <v>249</v>
      </c>
      <c r="CS229" s="36">
        <v>4</v>
      </c>
      <c r="CT229" s="36">
        <v>4</v>
      </c>
      <c r="CU229" s="36">
        <v>2</v>
      </c>
      <c r="CV229" s="36">
        <v>2</v>
      </c>
      <c r="CW229" s="36">
        <v>4</v>
      </c>
      <c r="CX229" s="36">
        <v>4</v>
      </c>
      <c r="CY229" s="36">
        <v>5</v>
      </c>
      <c r="CZ229" s="36">
        <v>4</v>
      </c>
      <c r="DA229" s="36">
        <v>4</v>
      </c>
      <c r="DB229" s="36">
        <v>4</v>
      </c>
      <c r="DC229" s="36">
        <v>4</v>
      </c>
      <c r="DD229" s="36">
        <v>5</v>
      </c>
      <c r="DE229" s="36">
        <v>5</v>
      </c>
      <c r="DF229" s="36">
        <v>5</v>
      </c>
      <c r="DG229" s="36">
        <v>5</v>
      </c>
      <c r="DH229" s="36">
        <v>5</v>
      </c>
      <c r="DI229" s="36" t="s">
        <v>133</v>
      </c>
      <c r="DJ229" s="36" t="s">
        <v>134</v>
      </c>
      <c r="DL229"/>
      <c r="DM229"/>
      <c r="DN229"/>
      <c r="DO229"/>
      <c r="DP229"/>
      <c r="DR229" s="36" t="s">
        <v>134</v>
      </c>
      <c r="DT229"/>
      <c r="DU229"/>
      <c r="DV229"/>
      <c r="DW229"/>
      <c r="DX229"/>
      <c r="DZ229" s="36" t="s">
        <v>134</v>
      </c>
      <c r="EB229" s="36" t="s">
        <v>262</v>
      </c>
      <c r="EC229" s="36" t="s">
        <v>264</v>
      </c>
      <c r="ED229" s="36">
        <v>41</v>
      </c>
      <c r="EE229" s="36" t="s">
        <v>322</v>
      </c>
      <c r="EF229" s="36" t="str">
        <f>Tabulacao!MC229</f>
        <v>Itabaiana</v>
      </c>
      <c r="EG229" s="36" t="s">
        <v>322</v>
      </c>
      <c r="EH229" s="36" t="str">
        <f>Tabulacao!MG229</f>
        <v>Itabaiana</v>
      </c>
      <c r="EI229" s="36" t="s">
        <v>322</v>
      </c>
      <c r="EJ229" s="36" t="str">
        <f>Tabulacao!MK229</f>
        <v>Itabaiana</v>
      </c>
      <c r="EK229" s="36" t="s">
        <v>134</v>
      </c>
      <c r="EL229" s="36" t="s">
        <v>134</v>
      </c>
      <c r="EM229" s="36" t="s">
        <v>134</v>
      </c>
      <c r="EN229" s="36" t="s">
        <v>134</v>
      </c>
      <c r="EO229" s="36" t="s">
        <v>134</v>
      </c>
      <c r="EP229" s="36" t="s">
        <v>134</v>
      </c>
      <c r="EQ229" s="36" t="s">
        <v>275</v>
      </c>
      <c r="ER229" s="36" t="str">
        <f>IF(OR(EQ229=CaractAmostra!$BD$9,EQ229=CaractAmostra!$BD$10,EQ229=CaractAmostra!$BD$11,EQ229=CaractAmostra!$BD$12,EQ229=CaractAmostra!$BD$13),Respostas_Formatadas!EQ229,"Outros")</f>
        <v>Com os pais</v>
      </c>
      <c r="ES229" s="36" t="s">
        <v>275</v>
      </c>
      <c r="ET229" s="36" t="str">
        <f>IF(OR(ES229=CaractAmostra!$BH$9,ES229=CaractAmostra!$BH$10,ES229=CaractAmostra!$BH$11,ES229=CaractAmostra!$BH$12),Respostas_Formatadas!ES229,"Outros")</f>
        <v>Com os pais</v>
      </c>
      <c r="EU229" s="36" t="s">
        <v>279</v>
      </c>
      <c r="EV229" s="36" t="s">
        <v>192</v>
      </c>
      <c r="EW229" s="36" t="s">
        <v>192</v>
      </c>
      <c r="FE229" s="47">
        <v>2017</v>
      </c>
      <c r="FF229" s="97">
        <v>7.5587999999999997</v>
      </c>
      <c r="FG229" s="47">
        <v>2017</v>
      </c>
      <c r="FH229" s="47">
        <f t="shared" si="10"/>
        <v>0</v>
      </c>
      <c r="FI229" s="47" t="str">
        <f t="shared" si="8"/>
        <v>Itabaiana</v>
      </c>
      <c r="FJ229" s="47" t="str">
        <f t="shared" si="9"/>
        <v>Tecnologia</v>
      </c>
    </row>
    <row r="230" spans="1:166" s="36" customFormat="1" ht="15.75" customHeight="1" x14ac:dyDescent="0.2">
      <c r="A230" s="38">
        <v>43425.924219930559</v>
      </c>
      <c r="B230" s="41"/>
      <c r="C230" s="36" t="s">
        <v>119</v>
      </c>
      <c r="D230" s="47" t="s">
        <v>134</v>
      </c>
      <c r="M230" s="36" t="s">
        <v>146</v>
      </c>
      <c r="N230" s="36" t="s">
        <v>134</v>
      </c>
      <c r="O230" s="36" t="s">
        <v>133</v>
      </c>
      <c r="P230" s="36" t="s">
        <v>134</v>
      </c>
      <c r="Q230" s="36" t="s">
        <v>134</v>
      </c>
      <c r="R230" s="36" t="s">
        <v>151</v>
      </c>
      <c r="Y230" s="36" t="s">
        <v>134</v>
      </c>
      <c r="AI230" s="40"/>
      <c r="AQ230" s="40"/>
      <c r="BT230" s="36">
        <v>4</v>
      </c>
      <c r="BU230" s="36">
        <v>4</v>
      </c>
      <c r="BV230" s="36">
        <v>4</v>
      </c>
      <c r="BW230" s="36">
        <v>3</v>
      </c>
      <c r="BX230" s="36">
        <v>3</v>
      </c>
      <c r="BY230" s="36">
        <v>3</v>
      </c>
      <c r="BZ230" s="36">
        <v>3</v>
      </c>
      <c r="CA230" s="36">
        <v>4</v>
      </c>
      <c r="CB230" s="36">
        <v>4</v>
      </c>
      <c r="CC230" s="36">
        <v>5</v>
      </c>
      <c r="CD230" s="36">
        <v>4</v>
      </c>
      <c r="CE230" s="36">
        <v>4</v>
      </c>
      <c r="CF230" s="36">
        <v>2</v>
      </c>
      <c r="CG230" s="36">
        <v>4</v>
      </c>
      <c r="CH230" s="36" t="s">
        <v>225</v>
      </c>
      <c r="CI230" t="s">
        <v>226</v>
      </c>
      <c r="CJ230" t="s">
        <v>229</v>
      </c>
      <c r="CK230" s="36" t="s">
        <v>233</v>
      </c>
      <c r="CL230" t="s">
        <v>234</v>
      </c>
      <c r="CM230" t="s">
        <v>240</v>
      </c>
      <c r="CN230" s="36" t="s">
        <v>242</v>
      </c>
      <c r="CP230" s="36">
        <v>1</v>
      </c>
      <c r="CQ230" s="36">
        <v>5</v>
      </c>
      <c r="CR230" s="36" t="s">
        <v>249</v>
      </c>
      <c r="CS230" s="36">
        <v>2</v>
      </c>
      <c r="CT230" s="36">
        <v>1</v>
      </c>
      <c r="CU230" s="36">
        <v>3</v>
      </c>
      <c r="CV230" s="36">
        <v>2</v>
      </c>
      <c r="CW230" s="36">
        <v>3</v>
      </c>
      <c r="CX230" s="36">
        <v>4</v>
      </c>
      <c r="CY230" s="36">
        <v>3</v>
      </c>
      <c r="CZ230" s="36">
        <v>4</v>
      </c>
      <c r="DA230" s="36">
        <v>2</v>
      </c>
      <c r="DB230" s="36">
        <v>1</v>
      </c>
      <c r="DC230" s="36">
        <v>1</v>
      </c>
      <c r="DD230" s="36">
        <v>3</v>
      </c>
      <c r="DE230" s="36">
        <v>5</v>
      </c>
      <c r="DF230" s="36">
        <v>5</v>
      </c>
      <c r="DG230" s="36">
        <v>5</v>
      </c>
      <c r="DH230" s="36">
        <v>4</v>
      </c>
      <c r="DI230" s="36" t="s">
        <v>133</v>
      </c>
      <c r="DJ230" s="36" t="s">
        <v>133</v>
      </c>
      <c r="DK230" s="36" t="s">
        <v>255</v>
      </c>
      <c r="DL230"/>
      <c r="DM230"/>
      <c r="DN230"/>
      <c r="DO230"/>
      <c r="DP230"/>
      <c r="DQ230" s="36">
        <v>5</v>
      </c>
      <c r="DR230" s="36" t="s">
        <v>134</v>
      </c>
      <c r="DT230"/>
      <c r="DU230"/>
      <c r="DV230"/>
      <c r="DW230"/>
      <c r="DX230"/>
      <c r="DZ230" s="36" t="s">
        <v>134</v>
      </c>
      <c r="EB230" s="36" t="s">
        <v>262</v>
      </c>
      <c r="EC230" s="36" t="s">
        <v>266</v>
      </c>
      <c r="ED230" s="36">
        <v>28</v>
      </c>
      <c r="EE230" s="36" t="s">
        <v>292</v>
      </c>
      <c r="EF230" s="36" t="str">
        <f>Tabulacao!MC230</f>
        <v>Aracaju</v>
      </c>
      <c r="EG230" s="36" t="s">
        <v>292</v>
      </c>
      <c r="EH230" s="36" t="str">
        <f>Tabulacao!MG230</f>
        <v>Aracaju</v>
      </c>
      <c r="EI230" s="36" t="s">
        <v>292</v>
      </c>
      <c r="EJ230" s="36" t="str">
        <f>Tabulacao!MK230</f>
        <v>Aracaju</v>
      </c>
      <c r="EK230" s="36" t="s">
        <v>134</v>
      </c>
      <c r="EL230" s="36" t="s">
        <v>134</v>
      </c>
      <c r="EM230" s="36" t="s">
        <v>134</v>
      </c>
      <c r="EN230" s="36" t="s">
        <v>134</v>
      </c>
      <c r="EO230" s="36" t="s">
        <v>134</v>
      </c>
      <c r="EP230" s="36" t="s">
        <v>134</v>
      </c>
      <c r="EQ230" s="36" t="s">
        <v>272</v>
      </c>
      <c r="ER230" s="36" t="str">
        <f>IF(OR(EQ230=CaractAmostra!$BD$9,EQ230=CaractAmostra!$BD$10,EQ230=CaractAmostra!$BD$11,EQ230=CaractAmostra!$BD$12,EQ230=CaractAmostra!$BD$13),Respostas_Formatadas!EQ230,"Outros")</f>
        <v>Morava sozinho</v>
      </c>
      <c r="ES230" s="36" t="s">
        <v>277</v>
      </c>
      <c r="ET230" s="36" t="str">
        <f>IF(OR(ES230=CaractAmostra!$BH$9,ES230=CaractAmostra!$BH$10,ES230=CaractAmostra!$BH$11,ES230=CaractAmostra!$BH$12),Respostas_Formatadas!ES230,"Outros")</f>
        <v>Sozinho</v>
      </c>
      <c r="EU230" s="36" t="s">
        <v>134</v>
      </c>
      <c r="EV230" s="36" t="s">
        <v>285</v>
      </c>
      <c r="EW230" s="36" t="s">
        <v>287</v>
      </c>
      <c r="FE230" s="47">
        <v>2018</v>
      </c>
      <c r="FF230" s="97">
        <v>8.4867000000000008</v>
      </c>
      <c r="FG230" s="47">
        <v>2018</v>
      </c>
      <c r="FH230" s="47">
        <f t="shared" si="10"/>
        <v>0</v>
      </c>
      <c r="FI230" s="47" t="str">
        <f t="shared" si="8"/>
        <v>Aracaju</v>
      </c>
      <c r="FJ230" s="47" t="str">
        <f t="shared" si="9"/>
        <v>Bacharelado</v>
      </c>
    </row>
    <row r="231" spans="1:166" s="36" customFormat="1" ht="15.75" customHeight="1" x14ac:dyDescent="0.2">
      <c r="A231" s="38">
        <v>43425.928184675926</v>
      </c>
      <c r="B231" s="41"/>
      <c r="C231" s="36" t="s">
        <v>126</v>
      </c>
      <c r="D231" s="47" t="s">
        <v>134</v>
      </c>
      <c r="M231" s="36" t="s">
        <v>146</v>
      </c>
      <c r="N231" s="36" t="s">
        <v>134</v>
      </c>
      <c r="O231" s="36" t="s">
        <v>134</v>
      </c>
      <c r="P231" s="36" t="s">
        <v>133</v>
      </c>
      <c r="Q231" s="36" t="s">
        <v>134</v>
      </c>
      <c r="R231" s="36" t="s">
        <v>151</v>
      </c>
      <c r="Y231" s="36" t="s">
        <v>134</v>
      </c>
      <c r="AI231" s="40"/>
      <c r="AQ231" s="40"/>
      <c r="BT231" s="36">
        <v>4</v>
      </c>
      <c r="BU231" s="36">
        <v>4</v>
      </c>
      <c r="BV231" s="36">
        <v>4</v>
      </c>
      <c r="BW231" s="36">
        <v>4</v>
      </c>
      <c r="BX231" s="36">
        <v>4</v>
      </c>
      <c r="BY231" s="36">
        <v>5</v>
      </c>
      <c r="BZ231" s="36">
        <v>4</v>
      </c>
      <c r="CA231" s="36">
        <v>4</v>
      </c>
      <c r="CB231" s="36">
        <v>4</v>
      </c>
      <c r="CC231" s="36">
        <v>5</v>
      </c>
      <c r="CD231" s="36">
        <v>4</v>
      </c>
      <c r="CE231" s="36">
        <v>5</v>
      </c>
      <c r="CF231" s="36">
        <v>2</v>
      </c>
      <c r="CG231" s="36">
        <v>2</v>
      </c>
      <c r="CH231" s="36" t="s">
        <v>225</v>
      </c>
      <c r="CI231" t="s">
        <v>226</v>
      </c>
      <c r="CJ231" t="s">
        <v>229</v>
      </c>
      <c r="CK231" s="36" t="s">
        <v>233</v>
      </c>
      <c r="CL231"/>
      <c r="CM231"/>
      <c r="CN231" s="36" t="s">
        <v>242</v>
      </c>
      <c r="CO231" s="36" t="s">
        <v>134</v>
      </c>
      <c r="CP231" s="36">
        <v>4</v>
      </c>
      <c r="CQ231" s="36">
        <v>4</v>
      </c>
      <c r="CR231" s="36" t="s">
        <v>248</v>
      </c>
      <c r="CS231" s="36">
        <v>3</v>
      </c>
      <c r="CT231" s="36">
        <v>3</v>
      </c>
      <c r="CU231" s="36">
        <v>4</v>
      </c>
      <c r="CV231" s="36">
        <v>3</v>
      </c>
      <c r="CW231" s="36">
        <v>4</v>
      </c>
      <c r="CX231" s="36">
        <v>5</v>
      </c>
      <c r="CY231" s="36">
        <v>4</v>
      </c>
      <c r="CZ231" s="36">
        <v>4</v>
      </c>
      <c r="DA231" s="36">
        <v>3</v>
      </c>
      <c r="DB231" s="36">
        <v>4</v>
      </c>
      <c r="DC231" s="36">
        <v>2</v>
      </c>
      <c r="DD231" s="36">
        <v>3</v>
      </c>
      <c r="DE231" s="36">
        <v>3</v>
      </c>
      <c r="DF231" s="36">
        <v>2</v>
      </c>
      <c r="DG231" s="36">
        <v>3</v>
      </c>
      <c r="DH231" s="36">
        <v>3</v>
      </c>
      <c r="DI231" s="36" t="s">
        <v>252</v>
      </c>
      <c r="DJ231" s="36" t="s">
        <v>133</v>
      </c>
      <c r="DK231" s="36" t="s">
        <v>254</v>
      </c>
      <c r="DL231" t="s">
        <v>255</v>
      </c>
      <c r="DM231"/>
      <c r="DN231"/>
      <c r="DO231" t="s">
        <v>256</v>
      </c>
      <c r="DP231"/>
      <c r="DQ231" s="36">
        <v>1</v>
      </c>
      <c r="DR231" s="36" t="s">
        <v>133</v>
      </c>
      <c r="DS231" s="36" t="s">
        <v>259</v>
      </c>
      <c r="DT231"/>
      <c r="DU231"/>
      <c r="DV231" t="s">
        <v>260</v>
      </c>
      <c r="DW231" t="s">
        <v>261</v>
      </c>
      <c r="DX231"/>
      <c r="DY231" s="36">
        <v>2</v>
      </c>
      <c r="DZ231" s="36" t="s">
        <v>133</v>
      </c>
      <c r="EA231" s="36">
        <v>4</v>
      </c>
      <c r="EB231" s="36" t="s">
        <v>262</v>
      </c>
      <c r="EC231" s="36" t="s">
        <v>267</v>
      </c>
      <c r="ED231" s="36">
        <v>24</v>
      </c>
      <c r="EE231" s="36" t="s">
        <v>833</v>
      </c>
      <c r="EF231" s="36" t="str">
        <f>Tabulacao!MC231</f>
        <v>Boquim</v>
      </c>
      <c r="EG231" s="36" t="s">
        <v>833</v>
      </c>
      <c r="EH231" s="36" t="str">
        <f>Tabulacao!MG231</f>
        <v>Boquim</v>
      </c>
      <c r="EI231" s="36" t="s">
        <v>627</v>
      </c>
      <c r="EJ231" s="36" t="str">
        <f>Tabulacao!MK231</f>
        <v>Boquim</v>
      </c>
      <c r="EK231" s="36" t="s">
        <v>134</v>
      </c>
      <c r="EL231" s="36" t="s">
        <v>134</v>
      </c>
      <c r="EM231" s="36" t="s">
        <v>134</v>
      </c>
      <c r="EN231" s="36" t="s">
        <v>134</v>
      </c>
      <c r="EO231" s="36" t="s">
        <v>134</v>
      </c>
      <c r="EP231" s="36" t="s">
        <v>134</v>
      </c>
      <c r="EQ231" s="36" t="s">
        <v>275</v>
      </c>
      <c r="ER231" s="36" t="str">
        <f>IF(OR(EQ231=CaractAmostra!$BD$9,EQ231=CaractAmostra!$BD$10,EQ231=CaractAmostra!$BD$11,EQ231=CaractAmostra!$BD$12,EQ231=CaractAmostra!$BD$13),Respostas_Formatadas!EQ231,"Outros")</f>
        <v>Com os pais</v>
      </c>
      <c r="ES231" s="36" t="s">
        <v>275</v>
      </c>
      <c r="ET231" s="36" t="str">
        <f>IF(OR(ES231=CaractAmostra!$BH$9,ES231=CaractAmostra!$BH$10,ES231=CaractAmostra!$BH$11,ES231=CaractAmostra!$BH$12),Respostas_Formatadas!ES231,"Outros")</f>
        <v>Com os pais</v>
      </c>
      <c r="EU231" s="36" t="s">
        <v>134</v>
      </c>
      <c r="EV231" s="36" t="s">
        <v>282</v>
      </c>
      <c r="EW231" s="36" t="s">
        <v>282</v>
      </c>
      <c r="FE231" s="47">
        <v>2018</v>
      </c>
      <c r="FF231" s="97">
        <v>7.1497999999999999</v>
      </c>
      <c r="FG231" s="47">
        <v>2018</v>
      </c>
      <c r="FH231" s="47">
        <f t="shared" si="10"/>
        <v>0</v>
      </c>
      <c r="FI231" s="47" t="str">
        <f t="shared" si="8"/>
        <v>Lagarto</v>
      </c>
      <c r="FJ231" s="47" t="str">
        <f t="shared" si="9"/>
        <v>Tecnologia</v>
      </c>
    </row>
    <row r="232" spans="1:166" s="36" customFormat="1" ht="15.75" customHeight="1" x14ac:dyDescent="0.2">
      <c r="A232" s="38">
        <v>43425.930107615743</v>
      </c>
      <c r="B232" s="41"/>
      <c r="C232" s="36" t="s">
        <v>119</v>
      </c>
      <c r="D232" s="47" t="s">
        <v>134</v>
      </c>
      <c r="M232" s="36" t="s">
        <v>146</v>
      </c>
      <c r="N232" s="36" t="s">
        <v>134</v>
      </c>
      <c r="O232" s="36" t="s">
        <v>133</v>
      </c>
      <c r="P232" s="36" t="s">
        <v>134</v>
      </c>
      <c r="Q232" s="36" t="s">
        <v>134</v>
      </c>
      <c r="R232" s="36" t="s">
        <v>151</v>
      </c>
      <c r="Y232" s="36" t="s">
        <v>134</v>
      </c>
      <c r="AI232" s="40"/>
      <c r="AQ232" s="40"/>
      <c r="BT232" s="36">
        <v>3</v>
      </c>
      <c r="BU232" s="36">
        <v>5</v>
      </c>
      <c r="BV232" s="36">
        <v>5</v>
      </c>
      <c r="BW232" s="36">
        <v>5</v>
      </c>
      <c r="BX232" s="36">
        <v>5</v>
      </c>
      <c r="BY232" s="36">
        <v>5</v>
      </c>
      <c r="BZ232" s="36">
        <v>5</v>
      </c>
      <c r="CA232" s="36">
        <v>5</v>
      </c>
      <c r="CB232" s="36">
        <v>5</v>
      </c>
      <c r="CC232" s="36">
        <v>5</v>
      </c>
      <c r="CD232" s="36">
        <v>3</v>
      </c>
      <c r="CE232" s="36">
        <v>4</v>
      </c>
      <c r="CF232" s="36">
        <v>1</v>
      </c>
      <c r="CG232" s="36">
        <v>5</v>
      </c>
      <c r="CH232" s="36" t="s">
        <v>222</v>
      </c>
      <c r="CI232" t="s">
        <v>225</v>
      </c>
      <c r="CJ232" t="s">
        <v>229</v>
      </c>
      <c r="CK232" s="36" t="s">
        <v>234</v>
      </c>
      <c r="CL232" t="s">
        <v>240</v>
      </c>
      <c r="CM232" t="s">
        <v>1027</v>
      </c>
      <c r="CN232" s="36" t="s">
        <v>242</v>
      </c>
      <c r="CO232" s="36" t="s">
        <v>134</v>
      </c>
      <c r="CP232" s="36">
        <v>3</v>
      </c>
      <c r="CQ232" s="36">
        <v>4</v>
      </c>
      <c r="CR232" s="36" t="s">
        <v>248</v>
      </c>
      <c r="CS232" s="36">
        <v>1</v>
      </c>
      <c r="CT232" s="36">
        <v>1</v>
      </c>
      <c r="CU232" s="36">
        <v>1</v>
      </c>
      <c r="CV232" s="36">
        <v>1</v>
      </c>
      <c r="CW232" s="36">
        <v>2</v>
      </c>
      <c r="CX232" s="36">
        <v>5</v>
      </c>
      <c r="CY232" s="36">
        <v>3</v>
      </c>
      <c r="CZ232" s="36">
        <v>3</v>
      </c>
      <c r="DA232" s="36">
        <v>2</v>
      </c>
      <c r="DB232" s="36">
        <v>1</v>
      </c>
      <c r="DC232" s="36">
        <v>2</v>
      </c>
      <c r="DD232" s="36">
        <v>3</v>
      </c>
      <c r="DE232" s="36">
        <v>3</v>
      </c>
      <c r="DF232" s="36">
        <v>3</v>
      </c>
      <c r="DG232" s="36">
        <v>1</v>
      </c>
      <c r="DH232" s="36">
        <v>3</v>
      </c>
      <c r="DI232" s="36" t="s">
        <v>133</v>
      </c>
      <c r="DJ232" s="36" t="s">
        <v>134</v>
      </c>
      <c r="DL232"/>
      <c r="DM232"/>
      <c r="DN232"/>
      <c r="DO232"/>
      <c r="DP232"/>
      <c r="DR232" s="36" t="s">
        <v>134</v>
      </c>
      <c r="DT232"/>
      <c r="DU232"/>
      <c r="DV232"/>
      <c r="DW232"/>
      <c r="DX232"/>
      <c r="DZ232" s="36" t="s">
        <v>134</v>
      </c>
      <c r="EB232" s="36" t="s">
        <v>263</v>
      </c>
      <c r="EC232" s="36" t="s">
        <v>267</v>
      </c>
      <c r="ED232" s="36">
        <v>24</v>
      </c>
      <c r="EE232" s="36" t="s">
        <v>304</v>
      </c>
      <c r="EF232" s="36" t="str">
        <f>Tabulacao!MC232</f>
        <v>Aracaju</v>
      </c>
      <c r="EG232" s="36" t="s">
        <v>304</v>
      </c>
      <c r="EH232" s="36" t="str">
        <f>Tabulacao!MG232</f>
        <v>Aracaju</v>
      </c>
      <c r="EI232" s="36" t="s">
        <v>304</v>
      </c>
      <c r="EJ232" s="36" t="str">
        <f>Tabulacao!MK232</f>
        <v>Aracaju</v>
      </c>
      <c r="EK232" s="36" t="s">
        <v>134</v>
      </c>
      <c r="EL232" s="36" t="s">
        <v>134</v>
      </c>
      <c r="EM232" s="36" t="s">
        <v>134</v>
      </c>
      <c r="EN232" s="36" t="s">
        <v>134</v>
      </c>
      <c r="EO232" s="36" t="s">
        <v>134</v>
      </c>
      <c r="EP232" s="36" t="s">
        <v>134</v>
      </c>
      <c r="EQ232" s="36" t="s">
        <v>275</v>
      </c>
      <c r="ER232" s="36" t="str">
        <f>IF(OR(EQ232=CaractAmostra!$BD$9,EQ232=CaractAmostra!$BD$10,EQ232=CaractAmostra!$BD$11,EQ232=CaractAmostra!$BD$12,EQ232=CaractAmostra!$BD$13),Respostas_Formatadas!EQ232,"Outros")</f>
        <v>Com os pais</v>
      </c>
      <c r="ES232" s="36" t="s">
        <v>275</v>
      </c>
      <c r="ET232" s="36" t="str">
        <f>IF(OR(ES232=CaractAmostra!$BH$9,ES232=CaractAmostra!$BH$10,ES232=CaractAmostra!$BH$11,ES232=CaractAmostra!$BH$12),Respostas_Formatadas!ES232,"Outros")</f>
        <v>Com os pais</v>
      </c>
      <c r="EU232" s="36" t="s">
        <v>134</v>
      </c>
      <c r="EV232" s="36" t="s">
        <v>288</v>
      </c>
      <c r="EW232" s="36" t="s">
        <v>286</v>
      </c>
      <c r="FE232" s="47">
        <v>2017</v>
      </c>
      <c r="FF232" s="97">
        <v>7.5545999999999998</v>
      </c>
      <c r="FG232" s="47">
        <v>2017</v>
      </c>
      <c r="FH232" s="47">
        <f t="shared" si="10"/>
        <v>0</v>
      </c>
      <c r="FI232" s="47" t="str">
        <f t="shared" si="8"/>
        <v>Aracaju</v>
      </c>
      <c r="FJ232" s="47" t="str">
        <f t="shared" si="9"/>
        <v>Bacharelado</v>
      </c>
    </row>
    <row r="233" spans="1:166" s="36" customFormat="1" ht="15.75" customHeight="1" x14ac:dyDescent="0.2">
      <c r="A233" s="38">
        <v>43425.933173761572</v>
      </c>
      <c r="B233" s="41"/>
      <c r="C233" s="36" t="s">
        <v>125</v>
      </c>
      <c r="D233" s="47" t="s">
        <v>133</v>
      </c>
      <c r="E233" s="36" t="s">
        <v>135</v>
      </c>
      <c r="H233" s="36" t="s">
        <v>142</v>
      </c>
      <c r="M233" s="36" t="s">
        <v>146</v>
      </c>
      <c r="N233" s="36" t="s">
        <v>134</v>
      </c>
      <c r="O233" s="36" t="s">
        <v>133</v>
      </c>
      <c r="P233" s="36" t="s">
        <v>134</v>
      </c>
      <c r="Q233" s="36" t="s">
        <v>134</v>
      </c>
      <c r="R233" s="36" t="s">
        <v>151</v>
      </c>
      <c r="Y233" s="36" t="s">
        <v>165</v>
      </c>
      <c r="Z233" s="36" t="s">
        <v>167</v>
      </c>
      <c r="AA233" s="36" t="s">
        <v>173</v>
      </c>
      <c r="AB233" s="36" t="s">
        <v>181</v>
      </c>
      <c r="AD233" s="36" t="s">
        <v>834</v>
      </c>
      <c r="AE233" s="36">
        <v>5</v>
      </c>
      <c r="AF233" s="36" t="s">
        <v>189</v>
      </c>
      <c r="AG233" s="36" t="s">
        <v>189</v>
      </c>
      <c r="AH233" s="36" t="s">
        <v>134</v>
      </c>
      <c r="AI233" s="40">
        <v>1025</v>
      </c>
      <c r="AJ233" s="36">
        <v>4</v>
      </c>
      <c r="AK233" s="36">
        <v>4</v>
      </c>
      <c r="AL233" s="36" t="s">
        <v>133</v>
      </c>
      <c r="AP233" s="36" t="s">
        <v>835</v>
      </c>
      <c r="AQ233" s="40">
        <v>1025</v>
      </c>
      <c r="AR233" s="36">
        <v>3</v>
      </c>
      <c r="AS233" s="36">
        <v>4</v>
      </c>
      <c r="AT233" s="36">
        <v>4</v>
      </c>
      <c r="AU233" s="36">
        <v>5</v>
      </c>
      <c r="AV233" s="36">
        <v>5</v>
      </c>
      <c r="AW233" s="36" t="s">
        <v>192</v>
      </c>
      <c r="AX233" s="36" t="s">
        <v>206</v>
      </c>
      <c r="AY233" s="36" t="s">
        <v>210</v>
      </c>
      <c r="AZ233" s="36" t="s">
        <v>133</v>
      </c>
      <c r="BA233" s="36" t="s">
        <v>167</v>
      </c>
      <c r="BB233" s="36" t="s">
        <v>458</v>
      </c>
      <c r="BC233" s="36" t="s">
        <v>292</v>
      </c>
      <c r="BD233" s="36" t="s">
        <v>189</v>
      </c>
      <c r="BF233" s="36" t="s">
        <v>218</v>
      </c>
      <c r="BG233" s="36">
        <v>4</v>
      </c>
      <c r="BH233" s="36">
        <v>5</v>
      </c>
      <c r="BI233" s="36">
        <v>4</v>
      </c>
      <c r="BJ233" s="36">
        <v>5</v>
      </c>
      <c r="BK233" s="36">
        <v>5</v>
      </c>
      <c r="BL233" s="36">
        <v>5</v>
      </c>
      <c r="BM233" s="36">
        <v>5</v>
      </c>
      <c r="BN233" s="36">
        <v>5</v>
      </c>
      <c r="BO233" s="36">
        <v>4</v>
      </c>
      <c r="BP233" s="36">
        <v>4</v>
      </c>
      <c r="BQ233" s="36">
        <v>5</v>
      </c>
      <c r="BR233" s="36">
        <v>5</v>
      </c>
      <c r="BS233" s="36">
        <v>5</v>
      </c>
      <c r="BT233" s="36">
        <v>5</v>
      </c>
      <c r="BU233" s="36">
        <v>4</v>
      </c>
      <c r="BV233" s="36">
        <v>5</v>
      </c>
      <c r="BW233" s="36">
        <v>5</v>
      </c>
      <c r="BX233" s="36">
        <v>5</v>
      </c>
      <c r="BY233" s="36">
        <v>5</v>
      </c>
      <c r="BZ233" s="36">
        <v>5</v>
      </c>
      <c r="CA233" s="36">
        <v>5</v>
      </c>
      <c r="CB233" s="36">
        <v>5</v>
      </c>
      <c r="CC233" s="36">
        <v>4</v>
      </c>
      <c r="CD233" s="36">
        <v>5</v>
      </c>
      <c r="CE233" s="36">
        <v>5</v>
      </c>
      <c r="CF233" s="36">
        <v>5</v>
      </c>
      <c r="CG233" s="36">
        <v>4</v>
      </c>
      <c r="CH233" s="36" t="s">
        <v>222</v>
      </c>
      <c r="CI233" t="s">
        <v>225</v>
      </c>
      <c r="CJ233"/>
      <c r="CK233" s="36" t="s">
        <v>234</v>
      </c>
      <c r="CL233" t="s">
        <v>225</v>
      </c>
      <c r="CM233" t="s">
        <v>237</v>
      </c>
      <c r="CN233" s="36" t="s">
        <v>242</v>
      </c>
      <c r="CO233" s="36" t="s">
        <v>134</v>
      </c>
      <c r="CP233" s="36">
        <v>3</v>
      </c>
      <c r="CQ233" s="36">
        <v>4</v>
      </c>
      <c r="CR233" s="36" t="s">
        <v>248</v>
      </c>
      <c r="CS233" s="36">
        <v>4</v>
      </c>
      <c r="CT233" s="36">
        <v>3</v>
      </c>
      <c r="CU233" s="36">
        <v>3</v>
      </c>
      <c r="CV233" s="36">
        <v>2</v>
      </c>
      <c r="CW233" s="36">
        <v>3</v>
      </c>
      <c r="CX233" s="36">
        <v>3</v>
      </c>
      <c r="CY233" s="36">
        <v>4</v>
      </c>
      <c r="CZ233" s="36">
        <v>5</v>
      </c>
      <c r="DA233" s="36">
        <v>2</v>
      </c>
      <c r="DB233" s="36">
        <v>3</v>
      </c>
      <c r="DC233" s="36">
        <v>2</v>
      </c>
      <c r="DD233" s="36">
        <v>5</v>
      </c>
      <c r="DE233" s="36">
        <v>4</v>
      </c>
      <c r="DF233" s="36">
        <v>4</v>
      </c>
      <c r="DG233" s="36">
        <v>4</v>
      </c>
      <c r="DH233" s="36">
        <v>4</v>
      </c>
      <c r="DI233" s="36" t="s">
        <v>133</v>
      </c>
      <c r="DJ233" s="36" t="s">
        <v>133</v>
      </c>
      <c r="DK233" s="36" t="s">
        <v>254</v>
      </c>
      <c r="DL233" t="s">
        <v>255</v>
      </c>
      <c r="DM233"/>
      <c r="DN233"/>
      <c r="DO233"/>
      <c r="DP233"/>
      <c r="DQ233" s="36">
        <v>5</v>
      </c>
      <c r="DR233" s="36" t="s">
        <v>133</v>
      </c>
      <c r="DS233" s="36" t="s">
        <v>258</v>
      </c>
      <c r="DT233" t="s">
        <v>259</v>
      </c>
      <c r="DU233"/>
      <c r="DV233"/>
      <c r="DW233" t="s">
        <v>260</v>
      </c>
      <c r="DX233"/>
      <c r="DY233" s="36">
        <v>5</v>
      </c>
      <c r="DZ233" s="36" t="s">
        <v>133</v>
      </c>
      <c r="EA233" s="36">
        <v>5</v>
      </c>
      <c r="EB233" s="36" t="s">
        <v>262</v>
      </c>
      <c r="EC233" s="36" t="s">
        <v>267</v>
      </c>
      <c r="ED233" s="36">
        <v>22</v>
      </c>
      <c r="EE233" s="36" t="s">
        <v>836</v>
      </c>
      <c r="EF233" s="36" t="str">
        <f>Tabulacao!MC233</f>
        <v>Malhador</v>
      </c>
      <c r="EG233" s="36" t="s">
        <v>836</v>
      </c>
      <c r="EH233" s="36" t="str">
        <f>Tabulacao!MG233</f>
        <v>Malhador</v>
      </c>
      <c r="EI233" s="36" t="s">
        <v>292</v>
      </c>
      <c r="EJ233" s="36" t="str">
        <f>Tabulacao!MK233</f>
        <v>Aracaju</v>
      </c>
      <c r="EK233" s="36" t="s">
        <v>271</v>
      </c>
      <c r="EL233" s="36" t="s">
        <v>134</v>
      </c>
      <c r="EM233" s="36" t="s">
        <v>270</v>
      </c>
      <c r="EN233" s="36" t="s">
        <v>134</v>
      </c>
      <c r="EO233" s="36" t="s">
        <v>134</v>
      </c>
      <c r="EP233" s="36" t="s">
        <v>134</v>
      </c>
      <c r="EQ233" s="36" t="s">
        <v>275</v>
      </c>
      <c r="ER233" s="36" t="str">
        <f>IF(OR(EQ233=CaractAmostra!$BD$9,EQ233=CaractAmostra!$BD$10,EQ233=CaractAmostra!$BD$11,EQ233=CaractAmostra!$BD$12,EQ233=CaractAmostra!$BD$13),Respostas_Formatadas!EQ233,"Outros")</f>
        <v>Com os pais</v>
      </c>
      <c r="ES233" s="36" t="s">
        <v>278</v>
      </c>
      <c r="ET233" s="36" t="str">
        <f>IF(OR(ES233=CaractAmostra!$BH$9,ES233=CaractAmostra!$BH$10,ES233=CaractAmostra!$BH$11,ES233=CaractAmostra!$BH$12),Respostas_Formatadas!ES233,"Outros")</f>
        <v>Divido residência com outras pessoas</v>
      </c>
      <c r="EU233" s="36" t="s">
        <v>134</v>
      </c>
      <c r="EV233" s="36" t="s">
        <v>192</v>
      </c>
      <c r="EW233" s="36" t="s">
        <v>283</v>
      </c>
      <c r="FE233" s="47">
        <v>2018</v>
      </c>
      <c r="FF233" s="97">
        <v>7.9972000000000003</v>
      </c>
      <c r="FG233" s="47">
        <v>2017</v>
      </c>
      <c r="FH233" s="47">
        <f t="shared" si="10"/>
        <v>-1</v>
      </c>
      <c r="FI233" s="47" t="str">
        <f t="shared" si="8"/>
        <v>Aracaju</v>
      </c>
      <c r="FJ233" s="47" t="str">
        <f t="shared" si="9"/>
        <v>Tecnologia</v>
      </c>
    </row>
    <row r="234" spans="1:166" s="36" customFormat="1" ht="15.75" customHeight="1" x14ac:dyDescent="0.2">
      <c r="A234" s="38">
        <v>43425.935784259258</v>
      </c>
      <c r="C234" s="36" t="s">
        <v>125</v>
      </c>
      <c r="D234" s="47" t="s">
        <v>134</v>
      </c>
      <c r="M234" s="36" t="s">
        <v>146</v>
      </c>
      <c r="N234" s="36" t="s">
        <v>134</v>
      </c>
      <c r="O234" s="36" t="s">
        <v>133</v>
      </c>
      <c r="P234" s="36" t="s">
        <v>133</v>
      </c>
      <c r="Q234" s="36" t="s">
        <v>133</v>
      </c>
      <c r="R234" s="36" t="s">
        <v>151</v>
      </c>
      <c r="Y234" s="36" t="s">
        <v>166</v>
      </c>
      <c r="AC234" s="36" t="s">
        <v>181</v>
      </c>
      <c r="AE234" s="36">
        <v>1</v>
      </c>
      <c r="AF234" s="36" t="s">
        <v>189</v>
      </c>
      <c r="AG234" s="36" t="s">
        <v>189</v>
      </c>
      <c r="AH234" s="36" t="s">
        <v>134</v>
      </c>
      <c r="AI234" s="40"/>
      <c r="AJ234" s="36">
        <v>3</v>
      </c>
      <c r="AK234" s="36">
        <v>2</v>
      </c>
      <c r="AL234" s="36" t="s">
        <v>133</v>
      </c>
      <c r="AQ234" s="40"/>
      <c r="AR234" s="36">
        <v>2</v>
      </c>
      <c r="AS234" s="36">
        <v>1</v>
      </c>
      <c r="AT234" s="36">
        <v>2</v>
      </c>
      <c r="AU234" s="36">
        <v>2</v>
      </c>
      <c r="AV234" s="36">
        <v>2</v>
      </c>
      <c r="AW234" s="36" t="s">
        <v>193</v>
      </c>
      <c r="AX234" s="36" t="s">
        <v>205</v>
      </c>
      <c r="AY234" s="36" t="s">
        <v>210</v>
      </c>
      <c r="AZ234" s="36" t="s">
        <v>134</v>
      </c>
      <c r="BA234" s="36" t="s">
        <v>170</v>
      </c>
      <c r="BB234" s="36" t="s">
        <v>292</v>
      </c>
      <c r="BC234" s="36" t="s">
        <v>292</v>
      </c>
      <c r="BD234" s="36" t="s">
        <v>189</v>
      </c>
      <c r="BF234" s="36" t="s">
        <v>221</v>
      </c>
      <c r="BG234" s="36">
        <v>1</v>
      </c>
      <c r="BH234" s="36">
        <v>1</v>
      </c>
      <c r="BI234" s="36">
        <v>5</v>
      </c>
      <c r="BJ234" s="36">
        <v>5</v>
      </c>
      <c r="BK234" s="36">
        <v>4</v>
      </c>
      <c r="BL234" s="36">
        <v>5</v>
      </c>
      <c r="BM234" s="36">
        <v>5</v>
      </c>
      <c r="BN234" s="36">
        <v>5</v>
      </c>
      <c r="BO234" s="36">
        <v>3</v>
      </c>
      <c r="BP234" s="36">
        <v>2</v>
      </c>
      <c r="BQ234" s="36">
        <v>1</v>
      </c>
      <c r="BR234" s="36">
        <v>3</v>
      </c>
      <c r="BS234" s="36">
        <v>1</v>
      </c>
      <c r="BT234" s="36">
        <v>1</v>
      </c>
      <c r="BU234" s="36">
        <v>1</v>
      </c>
      <c r="BV234" s="36">
        <v>5</v>
      </c>
      <c r="BW234" s="36">
        <v>5</v>
      </c>
      <c r="BX234" s="36">
        <v>4</v>
      </c>
      <c r="BY234" s="36">
        <v>5</v>
      </c>
      <c r="BZ234" s="36">
        <v>5</v>
      </c>
      <c r="CA234" s="36">
        <v>3</v>
      </c>
      <c r="CB234" s="36">
        <v>3</v>
      </c>
      <c r="CC234" s="36">
        <v>2</v>
      </c>
      <c r="CD234" s="36">
        <v>3</v>
      </c>
      <c r="CE234" s="36">
        <v>3</v>
      </c>
      <c r="CF234" s="36">
        <v>2</v>
      </c>
      <c r="CG234" s="36">
        <v>2</v>
      </c>
      <c r="CH234" s="36" t="s">
        <v>229</v>
      </c>
      <c r="CI234"/>
      <c r="CJ234"/>
      <c r="CK234" s="36" t="s">
        <v>235</v>
      </c>
      <c r="CL234"/>
      <c r="CM234"/>
      <c r="CN234" s="36" t="s">
        <v>242</v>
      </c>
      <c r="CP234" s="36">
        <v>3</v>
      </c>
      <c r="CQ234" s="36">
        <v>4</v>
      </c>
      <c r="CR234" s="36" t="s">
        <v>249</v>
      </c>
      <c r="CS234" s="36">
        <v>4</v>
      </c>
      <c r="CT234" s="36">
        <v>4</v>
      </c>
      <c r="CU234" s="36">
        <v>4</v>
      </c>
      <c r="CV234" s="36">
        <v>4</v>
      </c>
      <c r="CW234" s="36">
        <v>4</v>
      </c>
      <c r="CX234" s="36">
        <v>4</v>
      </c>
      <c r="CY234" s="36">
        <v>4</v>
      </c>
      <c r="CZ234" s="36">
        <v>5</v>
      </c>
      <c r="DA234" s="36">
        <v>4</v>
      </c>
      <c r="DB234" s="36">
        <v>4</v>
      </c>
      <c r="DC234" s="36">
        <v>5</v>
      </c>
      <c r="DD234" s="36">
        <v>5</v>
      </c>
      <c r="DE234" s="36">
        <v>4</v>
      </c>
      <c r="DF234" s="36">
        <v>5</v>
      </c>
      <c r="DG234" s="36">
        <v>5</v>
      </c>
      <c r="DH234" s="36">
        <v>5</v>
      </c>
      <c r="DI234" s="36" t="s">
        <v>133</v>
      </c>
      <c r="DJ234" s="36" t="s">
        <v>133</v>
      </c>
      <c r="DK234" s="36" t="s">
        <v>254</v>
      </c>
      <c r="DL234"/>
      <c r="DM234"/>
      <c r="DN234"/>
      <c r="DO234"/>
      <c r="DP234"/>
      <c r="DQ234" s="36">
        <v>3</v>
      </c>
      <c r="DR234" s="36" t="s">
        <v>133</v>
      </c>
      <c r="DS234" s="36" t="s">
        <v>260</v>
      </c>
      <c r="DT234"/>
      <c r="DU234"/>
      <c r="DV234"/>
      <c r="DW234"/>
      <c r="DX234"/>
      <c r="DY234" s="36">
        <v>5</v>
      </c>
      <c r="DZ234" s="36" t="s">
        <v>134</v>
      </c>
      <c r="EB234" s="36" t="s">
        <v>262</v>
      </c>
      <c r="EC234" s="36" t="s">
        <v>267</v>
      </c>
      <c r="ED234" s="36">
        <v>22</v>
      </c>
      <c r="EE234" s="36" t="s">
        <v>358</v>
      </c>
      <c r="EF234" s="36" t="str">
        <f>Tabulacao!MC234</f>
        <v>Nossa Senhora do Socorro</v>
      </c>
      <c r="EG234" s="36" t="s">
        <v>358</v>
      </c>
      <c r="EH234" s="36" t="str">
        <f>Tabulacao!MG234</f>
        <v>Nossa Senhora do Socorro</v>
      </c>
      <c r="EI234" s="36" t="s">
        <v>358</v>
      </c>
      <c r="EJ234" s="36" t="str">
        <f>Tabulacao!MK234</f>
        <v>Nossa Senhora do Socorro</v>
      </c>
      <c r="EK234" s="36" t="s">
        <v>134</v>
      </c>
      <c r="EL234" s="36" t="s">
        <v>134</v>
      </c>
      <c r="EM234" s="36" t="s">
        <v>134</v>
      </c>
      <c r="EN234" s="36" t="s">
        <v>134</v>
      </c>
      <c r="EO234" s="36" t="s">
        <v>134</v>
      </c>
      <c r="EP234" s="36" t="s">
        <v>134</v>
      </c>
      <c r="EQ234" s="36" t="s">
        <v>275</v>
      </c>
      <c r="ER234" s="36" t="str">
        <f>IF(OR(EQ234=CaractAmostra!$BD$9,EQ234=CaractAmostra!$BD$10,EQ234=CaractAmostra!$BD$11,EQ234=CaractAmostra!$BD$12,EQ234=CaractAmostra!$BD$13),Respostas_Formatadas!EQ234,"Outros")</f>
        <v>Com os pais</v>
      </c>
      <c r="ES234" s="36" t="s">
        <v>275</v>
      </c>
      <c r="ET234" s="36" t="str">
        <f>IF(OR(ES234=CaractAmostra!$BH$9,ES234=CaractAmostra!$BH$10,ES234=CaractAmostra!$BH$11,ES234=CaractAmostra!$BH$12),Respostas_Formatadas!ES234,"Outros")</f>
        <v>Com os pais</v>
      </c>
      <c r="EU234" s="36" t="s">
        <v>134</v>
      </c>
      <c r="EV234" s="36" t="s">
        <v>285</v>
      </c>
      <c r="EW234" s="36" t="s">
        <v>285</v>
      </c>
      <c r="FE234" s="47">
        <v>2018</v>
      </c>
      <c r="FF234" s="97">
        <v>7.7434000000000003</v>
      </c>
      <c r="FG234" s="47">
        <v>2017</v>
      </c>
      <c r="FH234" s="47">
        <f t="shared" si="10"/>
        <v>-1</v>
      </c>
      <c r="FI234" s="47" t="str">
        <f t="shared" si="8"/>
        <v>Aracaju</v>
      </c>
      <c r="FJ234" s="47" t="str">
        <f t="shared" si="9"/>
        <v>Tecnologia</v>
      </c>
    </row>
    <row r="235" spans="1:166" s="36" customFormat="1" ht="15.75" customHeight="1" x14ac:dyDescent="0.2">
      <c r="A235" s="38">
        <v>43425.9375759838</v>
      </c>
      <c r="B235" s="41"/>
      <c r="C235" s="36" t="s">
        <v>124</v>
      </c>
      <c r="D235" s="47" t="s">
        <v>134</v>
      </c>
      <c r="M235" s="36" t="s">
        <v>146</v>
      </c>
      <c r="N235" s="36" t="s">
        <v>134</v>
      </c>
      <c r="O235" s="36" t="s">
        <v>134</v>
      </c>
      <c r="P235" s="36" t="s">
        <v>133</v>
      </c>
      <c r="Q235" s="36" t="s">
        <v>133</v>
      </c>
      <c r="R235" s="36" t="s">
        <v>151</v>
      </c>
      <c r="Y235" s="36" t="s">
        <v>166</v>
      </c>
      <c r="AC235" s="36" t="s">
        <v>186</v>
      </c>
      <c r="AD235" s="36" t="s">
        <v>837</v>
      </c>
      <c r="AE235" s="36">
        <v>2</v>
      </c>
      <c r="AF235" s="36" t="s">
        <v>190</v>
      </c>
      <c r="AG235" s="36" t="s">
        <v>190</v>
      </c>
      <c r="AH235" s="36" t="s">
        <v>134</v>
      </c>
      <c r="AI235" s="40">
        <v>2000</v>
      </c>
      <c r="AJ235" s="36">
        <v>2</v>
      </c>
      <c r="AK235" s="36">
        <v>2</v>
      </c>
      <c r="AL235" s="36" t="s">
        <v>134</v>
      </c>
      <c r="AM235" s="36" t="s">
        <v>170</v>
      </c>
      <c r="AO235" s="36" t="s">
        <v>133</v>
      </c>
      <c r="AP235" s="36" t="s">
        <v>838</v>
      </c>
      <c r="AQ235" s="40">
        <v>3000</v>
      </c>
      <c r="AR235" s="36">
        <v>2</v>
      </c>
      <c r="AS235" s="36">
        <v>2</v>
      </c>
      <c r="AT235" s="36">
        <v>2</v>
      </c>
      <c r="AU235" s="36">
        <v>3</v>
      </c>
      <c r="AV235" s="36">
        <v>2</v>
      </c>
      <c r="AW235" s="36" t="s">
        <v>201</v>
      </c>
      <c r="AX235" s="36" t="s">
        <v>206</v>
      </c>
      <c r="AY235" s="36" t="s">
        <v>208</v>
      </c>
      <c r="AZ235" s="36" t="s">
        <v>133</v>
      </c>
      <c r="BA235" s="36" t="s">
        <v>170</v>
      </c>
      <c r="BB235" s="36" t="s">
        <v>292</v>
      </c>
      <c r="BC235" s="36" t="s">
        <v>292</v>
      </c>
      <c r="BD235" s="36" t="s">
        <v>190</v>
      </c>
      <c r="BG235" s="36">
        <v>2</v>
      </c>
      <c r="BH235" s="36">
        <v>3</v>
      </c>
      <c r="BI235" s="36">
        <v>2</v>
      </c>
      <c r="BJ235" s="36">
        <v>3</v>
      </c>
      <c r="BK235" s="36">
        <v>3</v>
      </c>
      <c r="BL235" s="36">
        <v>3</v>
      </c>
      <c r="BM235" s="36">
        <v>3</v>
      </c>
      <c r="BN235" s="36">
        <v>3</v>
      </c>
      <c r="BO235" s="36">
        <v>3</v>
      </c>
      <c r="BP235" s="36">
        <v>3</v>
      </c>
      <c r="BQ235" s="36">
        <v>3</v>
      </c>
      <c r="BR235" s="36">
        <v>3</v>
      </c>
      <c r="BS235" s="36">
        <v>3</v>
      </c>
      <c r="BT235" s="36">
        <v>2</v>
      </c>
      <c r="BU235" s="36">
        <v>3</v>
      </c>
      <c r="BV235" s="36">
        <v>2</v>
      </c>
      <c r="BW235" s="36">
        <v>3</v>
      </c>
      <c r="BX235" s="36">
        <v>3</v>
      </c>
      <c r="BY235" s="36">
        <v>3</v>
      </c>
      <c r="BZ235" s="36">
        <v>3</v>
      </c>
      <c r="CA235" s="36">
        <v>3</v>
      </c>
      <c r="CB235" s="36">
        <v>3</v>
      </c>
      <c r="CC235" s="36">
        <v>3</v>
      </c>
      <c r="CD235" s="36">
        <v>3</v>
      </c>
      <c r="CE235" s="36">
        <v>3</v>
      </c>
      <c r="CF235" s="36">
        <v>3</v>
      </c>
      <c r="CG235" s="36">
        <v>3</v>
      </c>
      <c r="CH235" s="36" t="s">
        <v>226</v>
      </c>
      <c r="CI235"/>
      <c r="CJ235"/>
      <c r="CK235" s="36" t="s">
        <v>839</v>
      </c>
      <c r="CL235"/>
      <c r="CM235"/>
      <c r="CN235" s="36" t="s">
        <v>241</v>
      </c>
      <c r="CO235" s="36" t="s">
        <v>134</v>
      </c>
      <c r="CP235" s="36">
        <v>3</v>
      </c>
      <c r="CQ235" s="36">
        <v>3</v>
      </c>
      <c r="CR235" s="36" t="s">
        <v>249</v>
      </c>
      <c r="CS235" s="36">
        <v>3</v>
      </c>
      <c r="CT235" s="36">
        <v>3</v>
      </c>
      <c r="CU235" s="36">
        <v>2</v>
      </c>
      <c r="CV235" s="36">
        <v>1</v>
      </c>
      <c r="CW235" s="36">
        <v>1</v>
      </c>
      <c r="CX235" s="36">
        <v>3</v>
      </c>
      <c r="CY235" s="36">
        <v>3</v>
      </c>
      <c r="CZ235" s="36">
        <v>3</v>
      </c>
      <c r="DA235" s="36">
        <v>3</v>
      </c>
      <c r="DB235" s="36">
        <v>1</v>
      </c>
      <c r="DC235" s="36">
        <v>3</v>
      </c>
      <c r="DD235" s="36">
        <v>2</v>
      </c>
      <c r="DE235" s="36">
        <v>2</v>
      </c>
      <c r="DF235" s="36">
        <v>2</v>
      </c>
      <c r="DG235" s="36">
        <v>2</v>
      </c>
      <c r="DH235" s="36">
        <v>2</v>
      </c>
      <c r="DI235" s="36" t="s">
        <v>133</v>
      </c>
      <c r="DJ235" s="36" t="s">
        <v>134</v>
      </c>
      <c r="DL235"/>
      <c r="DM235"/>
      <c r="DN235"/>
      <c r="DO235"/>
      <c r="DP235"/>
      <c r="DR235" s="36" t="s">
        <v>134</v>
      </c>
      <c r="DT235"/>
      <c r="DU235"/>
      <c r="DV235"/>
      <c r="DW235"/>
      <c r="DX235"/>
      <c r="DZ235" s="36" t="s">
        <v>133</v>
      </c>
      <c r="EA235" s="36">
        <v>4</v>
      </c>
      <c r="EB235" s="36" t="s">
        <v>262</v>
      </c>
      <c r="EC235" s="36" t="s">
        <v>265</v>
      </c>
      <c r="ED235" s="36">
        <v>26</v>
      </c>
      <c r="EE235" s="36" t="s">
        <v>399</v>
      </c>
      <c r="EF235" s="36" t="str">
        <f>Tabulacao!MC235</f>
        <v>São Cristóvão</v>
      </c>
      <c r="EG235" s="36" t="s">
        <v>399</v>
      </c>
      <c r="EH235" s="36" t="str">
        <f>Tabulacao!MG235</f>
        <v>São Cristóvão</v>
      </c>
      <c r="EI235" s="36" t="s">
        <v>399</v>
      </c>
      <c r="EJ235" s="36" t="str">
        <f>Tabulacao!MK235</f>
        <v>São Cristóvão</v>
      </c>
      <c r="EK235" s="36" t="s">
        <v>134</v>
      </c>
      <c r="EL235" s="36" t="s">
        <v>134</v>
      </c>
      <c r="EM235" s="36" t="s">
        <v>134</v>
      </c>
      <c r="EN235" s="36" t="s">
        <v>134</v>
      </c>
      <c r="EO235" s="36" t="s">
        <v>134</v>
      </c>
      <c r="EP235" s="36" t="s">
        <v>134</v>
      </c>
      <c r="EQ235" s="36" t="s">
        <v>272</v>
      </c>
      <c r="ER235" s="36" t="str">
        <f>IF(OR(EQ235=CaractAmostra!$BD$9,EQ235=CaractAmostra!$BD$10,EQ235=CaractAmostra!$BD$11,EQ235=CaractAmostra!$BD$12,EQ235=CaractAmostra!$BD$13),Respostas_Formatadas!EQ235,"Outros")</f>
        <v>Morava sozinho</v>
      </c>
      <c r="ES235" s="36" t="s">
        <v>275</v>
      </c>
      <c r="ET235" s="36" t="str">
        <f>IF(OR(ES235=CaractAmostra!$BH$9,ES235=CaractAmostra!$BH$10,ES235=CaractAmostra!$BH$11,ES235=CaractAmostra!$BH$12),Respostas_Formatadas!ES235,"Outros")</f>
        <v>Com os pais</v>
      </c>
      <c r="EU235" s="36" t="s">
        <v>134</v>
      </c>
      <c r="EV235" s="36" t="s">
        <v>286</v>
      </c>
      <c r="EW235" s="36" t="s">
        <v>285</v>
      </c>
      <c r="FE235" s="47">
        <v>2018</v>
      </c>
      <c r="FF235" s="97">
        <v>5.7308000000000003</v>
      </c>
      <c r="FG235" s="47">
        <v>2017</v>
      </c>
      <c r="FH235" s="47">
        <f t="shared" si="10"/>
        <v>-1</v>
      </c>
      <c r="FI235" s="47" t="str">
        <f t="shared" si="8"/>
        <v>Aracaju</v>
      </c>
      <c r="FJ235" s="47" t="str">
        <f t="shared" si="9"/>
        <v>Tecnologia</v>
      </c>
    </row>
    <row r="236" spans="1:166" s="36" customFormat="1" ht="15.75" customHeight="1" x14ac:dyDescent="0.2">
      <c r="A236" s="38">
        <v>43425.949107372682</v>
      </c>
      <c r="B236" s="41"/>
      <c r="C236" s="36" t="s">
        <v>122</v>
      </c>
      <c r="D236" s="47" t="s">
        <v>134</v>
      </c>
      <c r="M236" s="36" t="s">
        <v>146</v>
      </c>
      <c r="N236" s="36" t="s">
        <v>134</v>
      </c>
      <c r="O236" s="36" t="s">
        <v>134</v>
      </c>
      <c r="P236" s="36" t="s">
        <v>134</v>
      </c>
      <c r="Q236" s="36" t="s">
        <v>134</v>
      </c>
      <c r="R236" s="36" t="s">
        <v>151</v>
      </c>
      <c r="Y236" s="36" t="s">
        <v>134</v>
      </c>
      <c r="AI236" s="40"/>
      <c r="AQ236" s="40"/>
      <c r="BT236" s="36">
        <v>3</v>
      </c>
      <c r="BU236" s="36">
        <v>3</v>
      </c>
      <c r="BV236" s="36">
        <v>4</v>
      </c>
      <c r="BW236" s="36">
        <v>3</v>
      </c>
      <c r="BX236" s="36">
        <v>3</v>
      </c>
      <c r="BY236" s="36">
        <v>4</v>
      </c>
      <c r="BZ236" s="36">
        <v>5</v>
      </c>
      <c r="CA236" s="36">
        <v>5</v>
      </c>
      <c r="CB236" s="36">
        <v>4</v>
      </c>
      <c r="CC236" s="36">
        <v>4</v>
      </c>
      <c r="CD236" s="36">
        <v>5</v>
      </c>
      <c r="CE236" s="36">
        <v>3</v>
      </c>
      <c r="CF236" s="36">
        <v>3</v>
      </c>
      <c r="CG236" s="36">
        <v>2</v>
      </c>
      <c r="CH236" s="36" t="s">
        <v>224</v>
      </c>
      <c r="CI236" t="s">
        <v>226</v>
      </c>
      <c r="CJ236" t="s">
        <v>229</v>
      </c>
      <c r="CK236" s="36" t="s">
        <v>840</v>
      </c>
      <c r="CL236"/>
      <c r="CM236"/>
      <c r="CN236" s="36" t="s">
        <v>242</v>
      </c>
      <c r="CO236" s="36" t="s">
        <v>134</v>
      </c>
      <c r="CP236" s="36">
        <v>1</v>
      </c>
      <c r="CQ236" s="36">
        <v>4</v>
      </c>
      <c r="CR236" s="36" t="s">
        <v>249</v>
      </c>
      <c r="CS236" s="36">
        <v>3</v>
      </c>
      <c r="CT236" s="36">
        <v>2</v>
      </c>
      <c r="CU236" s="36">
        <v>3</v>
      </c>
      <c r="CV236" s="36">
        <v>3</v>
      </c>
      <c r="CW236" s="36">
        <v>2</v>
      </c>
      <c r="CX236" s="36">
        <v>3</v>
      </c>
      <c r="CY236" s="36">
        <v>3</v>
      </c>
      <c r="CZ236" s="36">
        <v>3</v>
      </c>
      <c r="DA236" s="36">
        <v>2</v>
      </c>
      <c r="DB236" s="36">
        <v>2</v>
      </c>
      <c r="DC236" s="36">
        <v>2</v>
      </c>
      <c r="DD236" s="36">
        <v>2</v>
      </c>
      <c r="DE236" s="36">
        <v>4</v>
      </c>
      <c r="DF236" s="36">
        <v>3</v>
      </c>
      <c r="DG236" s="36">
        <v>2</v>
      </c>
      <c r="DH236" s="36">
        <v>2</v>
      </c>
      <c r="DI236" s="36" t="s">
        <v>251</v>
      </c>
      <c r="DJ236" s="36" t="s">
        <v>134</v>
      </c>
      <c r="DL236"/>
      <c r="DM236"/>
      <c r="DN236"/>
      <c r="DO236"/>
      <c r="DP236"/>
      <c r="DR236" s="36" t="s">
        <v>134</v>
      </c>
      <c r="DT236"/>
      <c r="DU236"/>
      <c r="DV236"/>
      <c r="DW236"/>
      <c r="DX236"/>
      <c r="DZ236" s="36" t="s">
        <v>134</v>
      </c>
      <c r="EB236" s="36" t="s">
        <v>263</v>
      </c>
      <c r="EC236" s="36" t="s">
        <v>267</v>
      </c>
      <c r="ED236" s="36">
        <v>28</v>
      </c>
      <c r="EE236" s="36" t="s">
        <v>841</v>
      </c>
      <c r="EF236" s="36" t="str">
        <f>Tabulacao!MC236</f>
        <v>Nossa Senhora do Socorro</v>
      </c>
      <c r="EG236" s="36" t="s">
        <v>841</v>
      </c>
      <c r="EH236" s="36" t="str">
        <f>Tabulacao!MG236</f>
        <v>Nossa Senhora do Socorro</v>
      </c>
      <c r="EI236" s="36" t="s">
        <v>292</v>
      </c>
      <c r="EJ236" s="36" t="str">
        <f>Tabulacao!MK236</f>
        <v>Aracaju</v>
      </c>
      <c r="EK236" s="36" t="s">
        <v>134</v>
      </c>
      <c r="EL236" s="36" t="s">
        <v>134</v>
      </c>
      <c r="EM236" s="36" t="s">
        <v>134</v>
      </c>
      <c r="EN236" s="36" t="s">
        <v>134</v>
      </c>
      <c r="EO236" s="36" t="s">
        <v>134</v>
      </c>
      <c r="EP236" s="36" t="s">
        <v>134</v>
      </c>
      <c r="EQ236" s="36" t="s">
        <v>274</v>
      </c>
      <c r="ER236" s="36" t="str">
        <f>IF(OR(EQ236=CaractAmostra!$BD$9,EQ236=CaractAmostra!$BD$10,EQ236=CaractAmostra!$BD$11,EQ236=CaractAmostra!$BD$12,EQ236=CaractAmostra!$BD$13),Respostas_Formatadas!EQ236,"Outros")</f>
        <v>Com um(a) parceiro(a)</v>
      </c>
      <c r="ES236" s="36" t="s">
        <v>275</v>
      </c>
      <c r="ET236" s="36" t="str">
        <f>IF(OR(ES236=CaractAmostra!$BH$9,ES236=CaractAmostra!$BH$10,ES236=CaractAmostra!$BH$11,ES236=CaractAmostra!$BH$12),Respostas_Formatadas!ES236,"Outros")</f>
        <v>Com os pais</v>
      </c>
      <c r="EU236" s="36" t="s">
        <v>280</v>
      </c>
      <c r="EV236" s="36" t="s">
        <v>285</v>
      </c>
      <c r="EW236" s="36" t="s">
        <v>282</v>
      </c>
      <c r="FD236" s="36" t="s">
        <v>842</v>
      </c>
      <c r="FE236" s="47">
        <v>2016</v>
      </c>
      <c r="FF236" s="97">
        <v>5.3830999999999998</v>
      </c>
      <c r="FG236" s="47">
        <v>2016</v>
      </c>
      <c r="FH236" s="47">
        <f t="shared" si="10"/>
        <v>0</v>
      </c>
      <c r="FI236" s="47" t="str">
        <f t="shared" si="8"/>
        <v>Aracaju</v>
      </c>
      <c r="FJ236" s="47" t="str">
        <f t="shared" si="9"/>
        <v>Licenciatura</v>
      </c>
    </row>
    <row r="237" spans="1:166" s="36" customFormat="1" ht="15.75" customHeight="1" x14ac:dyDescent="0.2">
      <c r="A237" s="38">
        <v>43425.962369386572</v>
      </c>
      <c r="B237" s="41"/>
      <c r="C237" s="36" t="s">
        <v>121</v>
      </c>
      <c r="D237" s="47" t="s">
        <v>134</v>
      </c>
      <c r="M237" s="36" t="s">
        <v>146</v>
      </c>
      <c r="N237" s="36" t="s">
        <v>133</v>
      </c>
      <c r="O237" s="36" t="s">
        <v>133</v>
      </c>
      <c r="P237" s="36" t="s">
        <v>133</v>
      </c>
      <c r="Q237" s="36" t="s">
        <v>133</v>
      </c>
      <c r="R237" s="36" t="s">
        <v>151</v>
      </c>
      <c r="Y237" s="36" t="s">
        <v>165</v>
      </c>
      <c r="Z237" s="36" t="s">
        <v>167</v>
      </c>
      <c r="AA237" s="36" t="s">
        <v>172</v>
      </c>
      <c r="AB237" s="36" t="s">
        <v>179</v>
      </c>
      <c r="AD237" s="36" t="s">
        <v>388</v>
      </c>
      <c r="AE237" s="36">
        <v>3</v>
      </c>
      <c r="AF237" s="36" t="s">
        <v>190</v>
      </c>
      <c r="AG237" s="36" t="s">
        <v>190</v>
      </c>
      <c r="AH237" s="36" t="s">
        <v>133</v>
      </c>
      <c r="AI237" s="40">
        <v>890</v>
      </c>
      <c r="AJ237" s="36">
        <v>4</v>
      </c>
      <c r="AK237" s="36">
        <v>4</v>
      </c>
      <c r="AL237" s="36" t="s">
        <v>134</v>
      </c>
      <c r="AM237" s="36" t="s">
        <v>169</v>
      </c>
      <c r="AN237" s="36">
        <v>1</v>
      </c>
      <c r="AO237" s="36" t="s">
        <v>134</v>
      </c>
      <c r="AQ237" s="40"/>
      <c r="BT237" s="36">
        <v>4</v>
      </c>
      <c r="BU237" s="36">
        <v>4</v>
      </c>
      <c r="BV237" s="36">
        <v>3</v>
      </c>
      <c r="BW237" s="36">
        <v>4</v>
      </c>
      <c r="BX237" s="36">
        <v>5</v>
      </c>
      <c r="BY237" s="36">
        <v>5</v>
      </c>
      <c r="BZ237" s="36">
        <v>4</v>
      </c>
      <c r="CA237" s="36">
        <v>5</v>
      </c>
      <c r="CB237" s="36">
        <v>3</v>
      </c>
      <c r="CC237" s="36">
        <v>4</v>
      </c>
      <c r="CD237" s="36">
        <v>5</v>
      </c>
      <c r="CE237" s="36">
        <v>3</v>
      </c>
      <c r="CF237" s="36">
        <v>3</v>
      </c>
      <c r="CG237" s="36">
        <v>2</v>
      </c>
      <c r="CH237" s="36" t="s">
        <v>229</v>
      </c>
      <c r="CI237" t="s">
        <v>231</v>
      </c>
      <c r="CJ237"/>
      <c r="CK237" s="36" t="s">
        <v>232</v>
      </c>
      <c r="CL237" t="s">
        <v>233</v>
      </c>
      <c r="CM237"/>
      <c r="CN237" s="36" t="s">
        <v>242</v>
      </c>
      <c r="CO237" s="36" t="s">
        <v>133</v>
      </c>
      <c r="CP237" s="36">
        <v>4</v>
      </c>
      <c r="CQ237" s="36">
        <v>4</v>
      </c>
      <c r="CR237" s="36" t="s">
        <v>248</v>
      </c>
      <c r="CS237" s="36">
        <v>3</v>
      </c>
      <c r="CT237" s="36">
        <v>3</v>
      </c>
      <c r="CU237" s="36">
        <v>3</v>
      </c>
      <c r="CV237" s="36">
        <v>5</v>
      </c>
      <c r="CW237" s="36">
        <v>3</v>
      </c>
      <c r="CX237" s="36">
        <v>3</v>
      </c>
      <c r="CY237" s="36">
        <v>5</v>
      </c>
      <c r="CZ237" s="36">
        <v>3</v>
      </c>
      <c r="DA237" s="36">
        <v>4</v>
      </c>
      <c r="DB237" s="36">
        <v>2</v>
      </c>
      <c r="DC237" s="36">
        <v>2</v>
      </c>
      <c r="DD237" s="36">
        <v>4</v>
      </c>
      <c r="DE237" s="36">
        <v>3</v>
      </c>
      <c r="DF237" s="36">
        <v>3</v>
      </c>
      <c r="DG237" s="36">
        <v>3</v>
      </c>
      <c r="DH237" s="36">
        <v>2</v>
      </c>
      <c r="DI237" s="36" t="s">
        <v>133</v>
      </c>
      <c r="DJ237" s="36" t="s">
        <v>134</v>
      </c>
      <c r="DL237"/>
      <c r="DM237"/>
      <c r="DN237"/>
      <c r="DO237"/>
      <c r="DP237"/>
      <c r="DR237" s="36" t="s">
        <v>134</v>
      </c>
      <c r="DT237"/>
      <c r="DU237"/>
      <c r="DV237"/>
      <c r="DW237"/>
      <c r="DX237"/>
      <c r="DZ237" s="36" t="s">
        <v>133</v>
      </c>
      <c r="EA237" s="36">
        <v>5</v>
      </c>
      <c r="EB237" s="36" t="s">
        <v>262</v>
      </c>
      <c r="EC237" s="36" t="s">
        <v>267</v>
      </c>
      <c r="ED237" s="36">
        <v>22</v>
      </c>
      <c r="EE237" s="36" t="s">
        <v>843</v>
      </c>
      <c r="EF237" s="36" t="str">
        <f>Tabulacao!MC237</f>
        <v>Itaporanga D'Ajuda</v>
      </c>
      <c r="EG237" s="36" t="s">
        <v>843</v>
      </c>
      <c r="EH237" s="36" t="str">
        <f>Tabulacao!MG237</f>
        <v>Itaporanga D'Ajuda</v>
      </c>
      <c r="EI237" s="36" t="s">
        <v>843</v>
      </c>
      <c r="EJ237" s="36" t="str">
        <f>Tabulacao!MK237</f>
        <v>Itaporanga D'Ajuda</v>
      </c>
      <c r="EK237" s="36" t="s">
        <v>134</v>
      </c>
      <c r="EL237" s="36" t="s">
        <v>134</v>
      </c>
      <c r="EM237" s="36" t="s">
        <v>134</v>
      </c>
      <c r="EN237" s="36" t="s">
        <v>134</v>
      </c>
      <c r="EO237" s="36" t="s">
        <v>134</v>
      </c>
      <c r="EP237" s="36" t="s">
        <v>134</v>
      </c>
      <c r="EQ237" s="36" t="s">
        <v>275</v>
      </c>
      <c r="ER237" s="36" t="str">
        <f>IF(OR(EQ237=CaractAmostra!$BD$9,EQ237=CaractAmostra!$BD$10,EQ237=CaractAmostra!$BD$11,EQ237=CaractAmostra!$BD$12,EQ237=CaractAmostra!$BD$13),Respostas_Formatadas!EQ237,"Outros")</f>
        <v>Com os pais</v>
      </c>
      <c r="ES237" s="36" t="s">
        <v>275</v>
      </c>
      <c r="ET237" s="36" t="str">
        <f>IF(OR(ES237=CaractAmostra!$BH$9,ES237=CaractAmostra!$BH$10,ES237=CaractAmostra!$BH$11,ES237=CaractAmostra!$BH$12),Respostas_Formatadas!ES237,"Outros")</f>
        <v>Com os pais</v>
      </c>
      <c r="EU237" s="36" t="s">
        <v>134</v>
      </c>
      <c r="EV237" s="36" t="s">
        <v>285</v>
      </c>
      <c r="EW237" s="36" t="s">
        <v>285</v>
      </c>
      <c r="FD237" s="36" t="s">
        <v>844</v>
      </c>
      <c r="FE237" s="47">
        <v>2018</v>
      </c>
      <c r="FF237" s="97">
        <v>7.6794000000000002</v>
      </c>
      <c r="FG237" s="47">
        <v>2018</v>
      </c>
      <c r="FH237" s="47">
        <f t="shared" si="10"/>
        <v>0</v>
      </c>
      <c r="FI237" s="47" t="str">
        <f t="shared" si="8"/>
        <v>Aracaju</v>
      </c>
      <c r="FJ237" s="47" t="str">
        <f t="shared" si="9"/>
        <v>Licenciatura</v>
      </c>
    </row>
    <row r="238" spans="1:166" s="36" customFormat="1" ht="15.75" customHeight="1" x14ac:dyDescent="0.2">
      <c r="A238" s="38">
        <v>43426.050675266204</v>
      </c>
      <c r="B238" s="41"/>
      <c r="C238" s="36" t="s">
        <v>122</v>
      </c>
      <c r="D238" s="47" t="s">
        <v>134</v>
      </c>
      <c r="M238" s="36" t="s">
        <v>146</v>
      </c>
      <c r="N238" s="36" t="s">
        <v>134</v>
      </c>
      <c r="O238" s="36" t="s">
        <v>134</v>
      </c>
      <c r="P238" s="36" t="s">
        <v>133</v>
      </c>
      <c r="Q238" s="36" t="s">
        <v>133</v>
      </c>
      <c r="R238" s="36" t="s">
        <v>151</v>
      </c>
      <c r="Y238" s="36" t="s">
        <v>166</v>
      </c>
      <c r="AC238" s="36" t="s">
        <v>183</v>
      </c>
      <c r="AD238" s="36" t="s">
        <v>845</v>
      </c>
      <c r="AE238" s="36">
        <v>5</v>
      </c>
      <c r="AF238" s="36" t="s">
        <v>188</v>
      </c>
      <c r="AG238" s="36" t="s">
        <v>188</v>
      </c>
      <c r="AH238" s="36" t="s">
        <v>133</v>
      </c>
      <c r="AI238" s="40">
        <v>1500</v>
      </c>
      <c r="AJ238" s="36">
        <v>5</v>
      </c>
      <c r="AK238" s="36">
        <v>3</v>
      </c>
      <c r="AL238" s="36" t="s">
        <v>133</v>
      </c>
      <c r="AP238" s="36" t="s">
        <v>845</v>
      </c>
      <c r="AQ238" s="40">
        <v>1500</v>
      </c>
      <c r="AR238" s="36">
        <v>5</v>
      </c>
      <c r="AS238" s="36">
        <v>5</v>
      </c>
      <c r="AT238" s="36">
        <v>3</v>
      </c>
      <c r="AU238" s="36">
        <v>5</v>
      </c>
      <c r="AV238" s="36">
        <v>5</v>
      </c>
      <c r="AW238" s="36" t="s">
        <v>192</v>
      </c>
      <c r="AX238" s="36" t="s">
        <v>207</v>
      </c>
      <c r="AY238" s="36" t="s">
        <v>211</v>
      </c>
      <c r="BG238" s="36">
        <v>5</v>
      </c>
      <c r="BH238" s="36">
        <v>4</v>
      </c>
      <c r="BI238" s="36">
        <v>5</v>
      </c>
      <c r="BJ238" s="36">
        <v>5</v>
      </c>
      <c r="BK238" s="36">
        <v>4</v>
      </c>
      <c r="BL238" s="36">
        <v>5</v>
      </c>
      <c r="BM238" s="36">
        <v>4</v>
      </c>
      <c r="BN238" s="36">
        <v>5</v>
      </c>
      <c r="BO238" s="36">
        <v>4</v>
      </c>
      <c r="BP238" s="36">
        <v>4</v>
      </c>
      <c r="BQ238" s="36">
        <v>4</v>
      </c>
      <c r="BR238" s="36">
        <v>4</v>
      </c>
      <c r="BS238" s="36">
        <v>1</v>
      </c>
      <c r="BT238" s="36">
        <v>5</v>
      </c>
      <c r="BU238" s="36">
        <v>4</v>
      </c>
      <c r="BV238" s="36">
        <v>4</v>
      </c>
      <c r="BW238" s="36">
        <v>4</v>
      </c>
      <c r="BX238" s="36">
        <v>4</v>
      </c>
      <c r="BY238" s="36">
        <v>4</v>
      </c>
      <c r="BZ238" s="36">
        <v>4</v>
      </c>
      <c r="CA238" s="36">
        <v>5</v>
      </c>
      <c r="CB238" s="36">
        <v>4</v>
      </c>
      <c r="CC238" s="36">
        <v>4</v>
      </c>
      <c r="CD238" s="36">
        <v>4</v>
      </c>
      <c r="CE238" s="36">
        <v>4</v>
      </c>
      <c r="CF238" s="36">
        <v>1</v>
      </c>
      <c r="CG238" s="36">
        <v>5</v>
      </c>
      <c r="CH238" s="36" t="s">
        <v>229</v>
      </c>
      <c r="CI238"/>
      <c r="CJ238"/>
      <c r="CK238" s="36" t="s">
        <v>225</v>
      </c>
      <c r="CL238" t="s">
        <v>240</v>
      </c>
      <c r="CM238"/>
      <c r="CN238" s="36" t="s">
        <v>241</v>
      </c>
      <c r="CO238" s="36" t="s">
        <v>133</v>
      </c>
      <c r="CP238" s="36">
        <v>3</v>
      </c>
      <c r="CQ238" s="36">
        <v>4</v>
      </c>
      <c r="CR238" s="36" t="s">
        <v>249</v>
      </c>
      <c r="CS238" s="36">
        <v>4</v>
      </c>
      <c r="CT238" s="36">
        <v>4</v>
      </c>
      <c r="CU238" s="36">
        <v>4</v>
      </c>
      <c r="CV238" s="36">
        <v>4</v>
      </c>
      <c r="CW238" s="36">
        <v>4</v>
      </c>
      <c r="CX238" s="36">
        <v>4</v>
      </c>
      <c r="CY238" s="36">
        <v>4</v>
      </c>
      <c r="CZ238" s="36">
        <v>4</v>
      </c>
      <c r="DA238" s="36">
        <v>4</v>
      </c>
      <c r="DB238" s="36">
        <v>4</v>
      </c>
      <c r="DC238" s="36">
        <v>4</v>
      </c>
      <c r="DD238" s="36">
        <v>3</v>
      </c>
      <c r="DE238" s="36">
        <v>4</v>
      </c>
      <c r="DF238" s="36">
        <v>3</v>
      </c>
      <c r="DG238" s="36">
        <v>4</v>
      </c>
      <c r="DH238" s="36">
        <v>4</v>
      </c>
      <c r="DI238" s="36" t="s">
        <v>133</v>
      </c>
      <c r="DJ238" s="36" t="s">
        <v>133</v>
      </c>
      <c r="DK238" s="36" t="s">
        <v>254</v>
      </c>
      <c r="DL238" t="s">
        <v>256</v>
      </c>
      <c r="DM238" t="s">
        <v>257</v>
      </c>
      <c r="DN238"/>
      <c r="DO238"/>
      <c r="DP238"/>
      <c r="DQ238" s="36">
        <v>5</v>
      </c>
      <c r="DR238" s="36" t="s">
        <v>133</v>
      </c>
      <c r="DS238" s="36" t="s">
        <v>259</v>
      </c>
      <c r="DT238"/>
      <c r="DU238"/>
      <c r="DV238" t="s">
        <v>261</v>
      </c>
      <c r="DW238"/>
      <c r="DX238"/>
      <c r="DY238" s="36">
        <v>4</v>
      </c>
      <c r="DZ238" s="36" t="s">
        <v>133</v>
      </c>
      <c r="EA238" s="36">
        <v>4</v>
      </c>
      <c r="EB238" s="36" t="s">
        <v>262</v>
      </c>
      <c r="EC238" s="36" t="s">
        <v>267</v>
      </c>
      <c r="ED238" s="36">
        <v>25</v>
      </c>
      <c r="EE238" s="36" t="s">
        <v>846</v>
      </c>
      <c r="EF238" s="36" t="str">
        <f>Tabulacao!MC238</f>
        <v>Poço Verde</v>
      </c>
      <c r="EG238" s="36" t="s">
        <v>458</v>
      </c>
      <c r="EH238" s="36" t="str">
        <f>Tabulacao!MG238</f>
        <v>Aracaju</v>
      </c>
      <c r="EI238" s="36" t="s">
        <v>458</v>
      </c>
      <c r="EJ238" s="36" t="str">
        <f>Tabulacao!MK238</f>
        <v>Aracaju</v>
      </c>
      <c r="EK238" s="36" t="s">
        <v>134</v>
      </c>
      <c r="EL238" s="36" t="s">
        <v>134</v>
      </c>
      <c r="EM238" s="36" t="s">
        <v>134</v>
      </c>
      <c r="EN238" s="36" t="s">
        <v>134</v>
      </c>
      <c r="EO238" s="36" t="s">
        <v>134</v>
      </c>
      <c r="EP238" s="36" t="s">
        <v>134</v>
      </c>
      <c r="EQ238" s="36" t="s">
        <v>274</v>
      </c>
      <c r="ER238" s="36" t="str">
        <f>IF(OR(EQ238=CaractAmostra!$BD$9,EQ238=CaractAmostra!$BD$10,EQ238=CaractAmostra!$BD$11,EQ238=CaractAmostra!$BD$12,EQ238=CaractAmostra!$BD$13),Respostas_Formatadas!EQ238,"Outros")</f>
        <v>Com um(a) parceiro(a)</v>
      </c>
      <c r="ES238" s="36" t="s">
        <v>274</v>
      </c>
      <c r="ET238" s="36" t="str">
        <f>IF(OR(ES238=CaractAmostra!$BH$9,ES238=CaractAmostra!$BH$10,ES238=CaractAmostra!$BH$11,ES238=CaractAmostra!$BH$12),Respostas_Formatadas!ES238,"Outros")</f>
        <v>Com um(a) parceiro(a)</v>
      </c>
      <c r="EU238" s="36" t="s">
        <v>134</v>
      </c>
      <c r="EV238" s="36" t="s">
        <v>282</v>
      </c>
      <c r="EW238" s="36" t="s">
        <v>283</v>
      </c>
      <c r="FE238" s="47">
        <v>2017</v>
      </c>
      <c r="FF238" s="97">
        <v>6.2</v>
      </c>
      <c r="FG238" s="47">
        <v>2017</v>
      </c>
      <c r="FH238" s="47">
        <f t="shared" si="10"/>
        <v>0</v>
      </c>
      <c r="FI238" s="47" t="str">
        <f t="shared" si="8"/>
        <v>Aracaju</v>
      </c>
      <c r="FJ238" s="47" t="str">
        <f t="shared" si="9"/>
        <v>Licenciatura</v>
      </c>
    </row>
    <row r="239" spans="1:166" s="36" customFormat="1" ht="15.75" customHeight="1" x14ac:dyDescent="0.2">
      <c r="A239" s="38">
        <v>43426.272744756949</v>
      </c>
      <c r="B239" s="41"/>
      <c r="C239" s="36" t="s">
        <v>126</v>
      </c>
      <c r="D239" s="47" t="s">
        <v>134</v>
      </c>
      <c r="M239" s="36" t="s">
        <v>146</v>
      </c>
      <c r="N239" s="36" t="s">
        <v>134</v>
      </c>
      <c r="O239" s="36" t="s">
        <v>134</v>
      </c>
      <c r="P239" s="36" t="s">
        <v>133</v>
      </c>
      <c r="Q239" s="36" t="s">
        <v>133</v>
      </c>
      <c r="R239" s="36" t="s">
        <v>152</v>
      </c>
      <c r="S239" s="36" t="s">
        <v>697</v>
      </c>
      <c r="T239" s="36" t="s">
        <v>154</v>
      </c>
      <c r="U239" s="36" t="s">
        <v>156</v>
      </c>
      <c r="V239" s="36">
        <v>3</v>
      </c>
      <c r="W239" s="36">
        <v>1</v>
      </c>
      <c r="X239" s="36">
        <v>3</v>
      </c>
      <c r="Y239" s="36" t="s">
        <v>166</v>
      </c>
      <c r="AC239" s="36" t="s">
        <v>183</v>
      </c>
      <c r="AD239" s="36" t="s">
        <v>605</v>
      </c>
      <c r="AE239" s="36">
        <v>1</v>
      </c>
      <c r="AF239" s="36" t="s">
        <v>188</v>
      </c>
      <c r="AG239" s="36" t="s">
        <v>188</v>
      </c>
      <c r="AH239" s="36" t="s">
        <v>133</v>
      </c>
      <c r="AI239" s="40">
        <v>800</v>
      </c>
      <c r="AJ239" s="36">
        <v>1</v>
      </c>
      <c r="AK239" s="36">
        <v>1</v>
      </c>
      <c r="AL239" s="36" t="s">
        <v>133</v>
      </c>
      <c r="AP239" s="36" t="s">
        <v>605</v>
      </c>
      <c r="AQ239" s="40">
        <v>800</v>
      </c>
      <c r="AR239" s="36">
        <v>1</v>
      </c>
      <c r="AS239" s="36">
        <v>1</v>
      </c>
      <c r="AT239" s="36">
        <v>1</v>
      </c>
      <c r="AU239" s="36">
        <v>2</v>
      </c>
      <c r="AV239" s="36">
        <v>1</v>
      </c>
      <c r="AW239" s="36" t="s">
        <v>847</v>
      </c>
      <c r="AX239" s="36" t="s">
        <v>203</v>
      </c>
      <c r="AY239" s="36" t="s">
        <v>211</v>
      </c>
      <c r="BG239" s="36">
        <v>1</v>
      </c>
      <c r="BH239" s="36">
        <v>1</v>
      </c>
      <c r="BI239" s="36">
        <v>1</v>
      </c>
      <c r="BJ239" s="36">
        <v>5</v>
      </c>
      <c r="BK239" s="36">
        <v>5</v>
      </c>
      <c r="BL239" s="36">
        <v>1</v>
      </c>
      <c r="BM239" s="36">
        <v>3</v>
      </c>
      <c r="BN239" s="36">
        <v>3</v>
      </c>
      <c r="BO239" s="36">
        <v>5</v>
      </c>
      <c r="BP239" s="36">
        <v>2</v>
      </c>
      <c r="BQ239" s="36">
        <v>1</v>
      </c>
      <c r="BR239" s="36">
        <v>1</v>
      </c>
      <c r="BS239" s="36">
        <v>1</v>
      </c>
      <c r="BT239" s="36">
        <v>4</v>
      </c>
      <c r="BU239" s="36">
        <v>4</v>
      </c>
      <c r="BV239" s="36">
        <v>4</v>
      </c>
      <c r="BW239" s="36">
        <v>5</v>
      </c>
      <c r="BX239" s="36">
        <v>5</v>
      </c>
      <c r="BY239" s="36">
        <v>5</v>
      </c>
      <c r="BZ239" s="36">
        <v>5</v>
      </c>
      <c r="CA239" s="36">
        <v>5</v>
      </c>
      <c r="CB239" s="36">
        <v>5</v>
      </c>
      <c r="CC239" s="36">
        <v>5</v>
      </c>
      <c r="CD239" s="36">
        <v>5</v>
      </c>
      <c r="CE239" s="36">
        <v>4</v>
      </c>
      <c r="CF239" s="36">
        <v>2</v>
      </c>
      <c r="CG239" s="36">
        <v>3</v>
      </c>
      <c r="CH239" s="36" t="s">
        <v>222</v>
      </c>
      <c r="CI239" t="s">
        <v>226</v>
      </c>
      <c r="CJ239" t="s">
        <v>231</v>
      </c>
      <c r="CK239" s="36" t="s">
        <v>233</v>
      </c>
      <c r="CL239"/>
      <c r="CM239"/>
      <c r="CN239" s="36" t="s">
        <v>241</v>
      </c>
      <c r="CO239" s="36" t="s">
        <v>133</v>
      </c>
      <c r="CP239" s="36">
        <v>1</v>
      </c>
      <c r="CQ239" s="36">
        <v>5</v>
      </c>
      <c r="CR239" s="36" t="s">
        <v>248</v>
      </c>
      <c r="CS239" s="36">
        <v>3</v>
      </c>
      <c r="CT239" s="36">
        <v>1</v>
      </c>
      <c r="CU239" s="36">
        <v>2</v>
      </c>
      <c r="CV239" s="36">
        <v>1</v>
      </c>
      <c r="CW239" s="36">
        <v>1</v>
      </c>
      <c r="CX239" s="36">
        <v>5</v>
      </c>
      <c r="CY239" s="36">
        <v>3</v>
      </c>
      <c r="CZ239" s="36">
        <v>1</v>
      </c>
      <c r="DA239" s="36">
        <v>1</v>
      </c>
      <c r="DB239" s="36">
        <v>1</v>
      </c>
      <c r="DC239" s="36">
        <v>1</v>
      </c>
      <c r="DD239" s="36">
        <v>4</v>
      </c>
      <c r="DE239" s="36">
        <v>1</v>
      </c>
      <c r="DF239" s="36">
        <v>4</v>
      </c>
      <c r="DG239" s="36">
        <v>4</v>
      </c>
      <c r="DH239" s="36">
        <v>4</v>
      </c>
      <c r="DI239" s="36" t="s">
        <v>133</v>
      </c>
      <c r="DJ239" s="36" t="s">
        <v>133</v>
      </c>
      <c r="DK239" s="36" t="s">
        <v>254</v>
      </c>
      <c r="DL239" t="s">
        <v>255</v>
      </c>
      <c r="DM239"/>
      <c r="DN239"/>
      <c r="DO239" t="s">
        <v>256</v>
      </c>
      <c r="DP239" t="s">
        <v>257</v>
      </c>
      <c r="DQ239" s="36">
        <v>3</v>
      </c>
      <c r="DR239" s="36" t="s">
        <v>133</v>
      </c>
      <c r="DS239" s="36" t="s">
        <v>259</v>
      </c>
      <c r="DT239"/>
      <c r="DU239"/>
      <c r="DV239" t="s">
        <v>260</v>
      </c>
      <c r="DW239" t="s">
        <v>261</v>
      </c>
      <c r="DX239"/>
      <c r="DY239" s="36">
        <v>2</v>
      </c>
      <c r="DZ239" s="36" t="s">
        <v>133</v>
      </c>
      <c r="EA239" s="36">
        <v>5</v>
      </c>
      <c r="EB239" s="36" t="s">
        <v>263</v>
      </c>
      <c r="EC239" s="36" t="s">
        <v>264</v>
      </c>
      <c r="ED239" s="36">
        <v>26</v>
      </c>
      <c r="EE239" s="36">
        <v>26</v>
      </c>
      <c r="EF239" s="36" t="str">
        <f>Tabulacao!MC239</f>
        <v>Lagarto</v>
      </c>
      <c r="EG239" s="36" t="s">
        <v>291</v>
      </c>
      <c r="EH239" s="36" t="str">
        <f>Tabulacao!MG239</f>
        <v>Lagarto</v>
      </c>
      <c r="EI239" s="36" t="s">
        <v>291</v>
      </c>
      <c r="EJ239" s="36" t="str">
        <f>Tabulacao!MK239</f>
        <v>Lagarto</v>
      </c>
      <c r="EK239" s="36" t="s">
        <v>134</v>
      </c>
      <c r="EL239" s="36" t="s">
        <v>134</v>
      </c>
      <c r="EM239" s="36" t="s">
        <v>134</v>
      </c>
      <c r="EN239" s="36" t="s">
        <v>134</v>
      </c>
      <c r="EO239" s="36" t="s">
        <v>134</v>
      </c>
      <c r="EP239" s="36" t="s">
        <v>134</v>
      </c>
      <c r="EQ239" s="36" t="s">
        <v>275</v>
      </c>
      <c r="ER239" s="36" t="str">
        <f>IF(OR(EQ239=CaractAmostra!$BD$9,EQ239=CaractAmostra!$BD$10,EQ239=CaractAmostra!$BD$11,EQ239=CaractAmostra!$BD$12,EQ239=CaractAmostra!$BD$13),Respostas_Formatadas!EQ239,"Outros")</f>
        <v>Com os pais</v>
      </c>
      <c r="ES239" s="36" t="s">
        <v>275</v>
      </c>
      <c r="ET239" s="36" t="str">
        <f>IF(OR(ES239=CaractAmostra!$BH$9,ES239=CaractAmostra!$BH$10,ES239=CaractAmostra!$BH$11,ES239=CaractAmostra!$BH$12),Respostas_Formatadas!ES239,"Outros")</f>
        <v>Com os pais</v>
      </c>
      <c r="EU239" s="36" t="s">
        <v>279</v>
      </c>
      <c r="EV239" s="36" t="s">
        <v>285</v>
      </c>
      <c r="EW239" s="36" t="s">
        <v>285</v>
      </c>
      <c r="FE239" s="47">
        <v>2016</v>
      </c>
      <c r="FF239" s="97">
        <v>7.7709000000000001</v>
      </c>
      <c r="FG239" s="47">
        <v>2017</v>
      </c>
      <c r="FH239" s="47">
        <f t="shared" si="10"/>
        <v>1</v>
      </c>
      <c r="FI239" s="47" t="str">
        <f t="shared" si="8"/>
        <v>Lagarto</v>
      </c>
      <c r="FJ239" s="47" t="str">
        <f t="shared" si="9"/>
        <v>Tecnologia</v>
      </c>
    </row>
    <row r="240" spans="1:166" s="36" customFormat="1" ht="15.75" customHeight="1" x14ac:dyDescent="0.2">
      <c r="A240" s="38">
        <v>43426.389462094907</v>
      </c>
      <c r="B240" s="41"/>
      <c r="C240" s="36" t="s">
        <v>127</v>
      </c>
      <c r="D240" s="47" t="s">
        <v>134</v>
      </c>
      <c r="M240" s="36" t="s">
        <v>146</v>
      </c>
      <c r="N240" s="36" t="s">
        <v>134</v>
      </c>
      <c r="O240" s="36" t="s">
        <v>134</v>
      </c>
      <c r="P240" s="36" t="s">
        <v>134</v>
      </c>
      <c r="Q240" s="36" t="s">
        <v>134</v>
      </c>
      <c r="R240" s="36" t="s">
        <v>151</v>
      </c>
      <c r="Y240" s="36" t="s">
        <v>134</v>
      </c>
      <c r="AI240" s="40"/>
      <c r="AQ240" s="40"/>
      <c r="BT240" s="36">
        <v>2</v>
      </c>
      <c r="BU240" s="36">
        <v>2</v>
      </c>
      <c r="BV240" s="36">
        <v>1</v>
      </c>
      <c r="BW240" s="36">
        <v>4</v>
      </c>
      <c r="BX240" s="36">
        <v>3</v>
      </c>
      <c r="BY240" s="36">
        <v>5</v>
      </c>
      <c r="BZ240" s="36">
        <v>3</v>
      </c>
      <c r="CA240" s="36">
        <v>2</v>
      </c>
      <c r="CB240" s="36">
        <v>3</v>
      </c>
      <c r="CC240" s="36">
        <v>3</v>
      </c>
      <c r="CD240" s="36">
        <v>2</v>
      </c>
      <c r="CE240" s="36">
        <v>2</v>
      </c>
      <c r="CF240" s="36">
        <v>1</v>
      </c>
      <c r="CG240" s="36">
        <v>2</v>
      </c>
      <c r="CH240" s="36" t="s">
        <v>226</v>
      </c>
      <c r="CI240"/>
      <c r="CJ240"/>
      <c r="CK240" s="36" t="s">
        <v>235</v>
      </c>
      <c r="CL240"/>
      <c r="CM240"/>
      <c r="CN240" s="36" t="s">
        <v>242</v>
      </c>
      <c r="CO240" s="36" t="s">
        <v>133</v>
      </c>
      <c r="CP240" s="36">
        <v>3</v>
      </c>
      <c r="CQ240" s="36">
        <v>4</v>
      </c>
      <c r="CR240" s="36" t="s">
        <v>248</v>
      </c>
      <c r="CS240" s="36">
        <v>4</v>
      </c>
      <c r="CT240" s="36">
        <v>4</v>
      </c>
      <c r="CU240" s="36">
        <v>3</v>
      </c>
      <c r="CV240" s="36">
        <v>1</v>
      </c>
      <c r="CW240" s="36">
        <v>4</v>
      </c>
      <c r="CX240" s="36">
        <v>4</v>
      </c>
      <c r="CY240" s="36">
        <v>3</v>
      </c>
      <c r="CZ240" s="36">
        <v>3</v>
      </c>
      <c r="DA240" s="36">
        <v>4</v>
      </c>
      <c r="DB240" s="36">
        <v>3</v>
      </c>
      <c r="DC240" s="36">
        <v>3</v>
      </c>
      <c r="DD240" s="36">
        <v>3</v>
      </c>
      <c r="DE240" s="36">
        <v>1</v>
      </c>
      <c r="DF240" s="36">
        <v>1</v>
      </c>
      <c r="DG240" s="36">
        <v>3</v>
      </c>
      <c r="DH240" s="36">
        <v>3</v>
      </c>
      <c r="DI240" s="36" t="s">
        <v>250</v>
      </c>
      <c r="DJ240" s="36" t="s">
        <v>133</v>
      </c>
      <c r="DK240" s="36" t="s">
        <v>254</v>
      </c>
      <c r="DL240"/>
      <c r="DM240"/>
      <c r="DN240"/>
      <c r="DO240"/>
      <c r="DP240"/>
      <c r="DQ240" s="36">
        <v>2</v>
      </c>
      <c r="DR240" s="36" t="s">
        <v>134</v>
      </c>
      <c r="DT240"/>
      <c r="DU240"/>
      <c r="DV240"/>
      <c r="DW240"/>
      <c r="DX240"/>
      <c r="DZ240" s="36" t="s">
        <v>133</v>
      </c>
      <c r="EA240" s="36">
        <v>3</v>
      </c>
      <c r="EB240" s="36" t="s">
        <v>263</v>
      </c>
      <c r="EC240" s="36" t="s">
        <v>265</v>
      </c>
      <c r="ED240" s="36">
        <v>29</v>
      </c>
      <c r="EE240" s="36" t="s">
        <v>848</v>
      </c>
      <c r="EF240" s="36" t="str">
        <f>Tabulacao!MC240</f>
        <v>Moita Bonita</v>
      </c>
      <c r="EG240" s="36" t="s">
        <v>824</v>
      </c>
      <c r="EH240" s="36" t="str">
        <f>Tabulacao!MG240</f>
        <v>Malhador</v>
      </c>
      <c r="EI240" s="36" t="s">
        <v>824</v>
      </c>
      <c r="EJ240" s="36" t="str">
        <f>Tabulacao!MK240</f>
        <v>Malhador</v>
      </c>
      <c r="EK240" s="36" t="s">
        <v>134</v>
      </c>
      <c r="EL240" s="36" t="s">
        <v>134</v>
      </c>
      <c r="EM240" s="36" t="s">
        <v>134</v>
      </c>
      <c r="EN240" s="36" t="s">
        <v>134</v>
      </c>
      <c r="EO240" s="36" t="s">
        <v>134</v>
      </c>
      <c r="EP240" s="36" t="s">
        <v>134</v>
      </c>
      <c r="EQ240" s="36" t="s">
        <v>275</v>
      </c>
      <c r="ER240" s="36" t="str">
        <f>IF(OR(EQ240=CaractAmostra!$BD$9,EQ240=CaractAmostra!$BD$10,EQ240=CaractAmostra!$BD$11,EQ240=CaractAmostra!$BD$12,EQ240=CaractAmostra!$BD$13),Respostas_Formatadas!EQ240,"Outros")</f>
        <v>Com os pais</v>
      </c>
      <c r="ES240" s="36" t="s">
        <v>274</v>
      </c>
      <c r="ET240" s="36" t="str">
        <f>IF(OR(ES240=CaractAmostra!$BH$9,ES240=CaractAmostra!$BH$10,ES240=CaractAmostra!$BH$11,ES240=CaractAmostra!$BH$12),Respostas_Formatadas!ES240,"Outros")</f>
        <v>Com um(a) parceiro(a)</v>
      </c>
      <c r="EU240" s="36" t="s">
        <v>279</v>
      </c>
      <c r="EV240" s="36" t="s">
        <v>192</v>
      </c>
      <c r="EW240" s="36" t="s">
        <v>282</v>
      </c>
      <c r="FD240" s="36" t="s">
        <v>849</v>
      </c>
      <c r="FE240" s="47">
        <v>2018</v>
      </c>
      <c r="FF240" s="97">
        <v>7.1456999999999997</v>
      </c>
      <c r="FG240" s="47">
        <v>2017</v>
      </c>
      <c r="FH240" s="47">
        <f t="shared" si="10"/>
        <v>-1</v>
      </c>
      <c r="FI240" s="47" t="str">
        <f t="shared" si="8"/>
        <v>Itabaiana</v>
      </c>
      <c r="FJ240" s="47" t="str">
        <f t="shared" si="9"/>
        <v>Tecnologia</v>
      </c>
    </row>
    <row r="241" spans="1:166" s="36" customFormat="1" ht="15.75" customHeight="1" x14ac:dyDescent="0.2">
      <c r="A241" s="38">
        <v>43426.396987673608</v>
      </c>
      <c r="B241" s="41"/>
      <c r="C241" s="36" t="s">
        <v>122</v>
      </c>
      <c r="D241" s="47" t="s">
        <v>134</v>
      </c>
      <c r="M241" s="36" t="s">
        <v>149</v>
      </c>
      <c r="N241" s="36" t="s">
        <v>133</v>
      </c>
      <c r="O241" s="36" t="s">
        <v>133</v>
      </c>
      <c r="P241" s="36" t="s">
        <v>134</v>
      </c>
      <c r="Q241" s="36" t="s">
        <v>134</v>
      </c>
      <c r="R241" s="36" t="s">
        <v>151</v>
      </c>
      <c r="Y241" s="36" t="s">
        <v>165</v>
      </c>
      <c r="Z241" s="36" t="s">
        <v>167</v>
      </c>
      <c r="AA241" s="36" t="s">
        <v>171</v>
      </c>
      <c r="AB241" s="36" t="s">
        <v>181</v>
      </c>
      <c r="AD241" s="36" t="s">
        <v>388</v>
      </c>
      <c r="AE241" s="36">
        <v>4</v>
      </c>
      <c r="AF241" s="36" t="s">
        <v>189</v>
      </c>
      <c r="AG241" s="36" t="s">
        <v>189</v>
      </c>
      <c r="AH241" s="36" t="s">
        <v>133</v>
      </c>
      <c r="AI241" s="40">
        <v>1000</v>
      </c>
      <c r="AJ241" s="36">
        <v>4</v>
      </c>
      <c r="AK241" s="36">
        <v>4</v>
      </c>
      <c r="AL241" s="36" t="s">
        <v>134</v>
      </c>
      <c r="AM241" s="36" t="s">
        <v>170</v>
      </c>
      <c r="AN241" s="36">
        <v>2</v>
      </c>
      <c r="AO241" s="36" t="s">
        <v>133</v>
      </c>
      <c r="AP241" s="36" t="s">
        <v>388</v>
      </c>
      <c r="AQ241" s="40">
        <v>1500</v>
      </c>
      <c r="AR241" s="36">
        <v>2</v>
      </c>
      <c r="AS241" s="36">
        <v>4</v>
      </c>
      <c r="AT241" s="36">
        <v>4</v>
      </c>
      <c r="AU241" s="36">
        <v>4</v>
      </c>
      <c r="AV241" s="36">
        <v>2</v>
      </c>
      <c r="AW241" s="36" t="s">
        <v>192</v>
      </c>
      <c r="AX241" s="36" t="s">
        <v>203</v>
      </c>
      <c r="AY241" s="36" t="s">
        <v>209</v>
      </c>
      <c r="AZ241" s="36" t="s">
        <v>134</v>
      </c>
      <c r="BA241" s="36" t="s">
        <v>213</v>
      </c>
      <c r="BB241" s="36" t="s">
        <v>850</v>
      </c>
      <c r="BC241" s="36" t="s">
        <v>778</v>
      </c>
      <c r="BD241" s="36" t="s">
        <v>190</v>
      </c>
      <c r="BG241" s="36">
        <v>4</v>
      </c>
      <c r="BH241" s="36">
        <v>4</v>
      </c>
      <c r="BI241" s="36">
        <v>4</v>
      </c>
      <c r="BJ241" s="36">
        <v>4</v>
      </c>
      <c r="BK241" s="36">
        <v>4</v>
      </c>
      <c r="BL241" s="36">
        <v>4</v>
      </c>
      <c r="BM241" s="36">
        <v>4</v>
      </c>
      <c r="BN241" s="36">
        <v>5</v>
      </c>
      <c r="BO241" s="36">
        <v>5</v>
      </c>
      <c r="BP241" s="36">
        <v>5</v>
      </c>
      <c r="BQ241" s="36">
        <v>5</v>
      </c>
      <c r="BR241" s="36">
        <v>5</v>
      </c>
      <c r="BS241" s="36">
        <v>1</v>
      </c>
      <c r="BT241" s="36">
        <v>3</v>
      </c>
      <c r="BU241" s="36">
        <v>4</v>
      </c>
      <c r="BV241" s="36">
        <v>4</v>
      </c>
      <c r="BW241" s="36">
        <v>4</v>
      </c>
      <c r="BX241" s="36">
        <v>4</v>
      </c>
      <c r="BY241" s="36">
        <v>4</v>
      </c>
      <c r="BZ241" s="36">
        <v>4</v>
      </c>
      <c r="CA241" s="36">
        <v>5</v>
      </c>
      <c r="CB241" s="36">
        <v>5</v>
      </c>
      <c r="CC241" s="36">
        <v>4</v>
      </c>
      <c r="CD241" s="36">
        <v>3</v>
      </c>
      <c r="CE241" s="36">
        <v>3</v>
      </c>
      <c r="CF241" s="36">
        <v>1</v>
      </c>
      <c r="CG241" s="36">
        <v>4</v>
      </c>
      <c r="CH241" s="36" t="s">
        <v>225</v>
      </c>
      <c r="CI241" t="s">
        <v>226</v>
      </c>
      <c r="CJ241" t="s">
        <v>230</v>
      </c>
      <c r="CK241" s="36" t="s">
        <v>235</v>
      </c>
      <c r="CL241" t="s">
        <v>239</v>
      </c>
      <c r="CM241"/>
      <c r="CN241" s="36" t="s">
        <v>242</v>
      </c>
      <c r="CO241" s="36" t="s">
        <v>134</v>
      </c>
      <c r="CP241" s="36">
        <v>5</v>
      </c>
      <c r="CQ241" s="36">
        <v>5</v>
      </c>
      <c r="CR241" s="36" t="s">
        <v>248</v>
      </c>
      <c r="CS241" s="36">
        <v>4</v>
      </c>
      <c r="CT241" s="36">
        <v>4</v>
      </c>
      <c r="CU241" s="36">
        <v>4</v>
      </c>
      <c r="CV241" s="36">
        <v>3</v>
      </c>
      <c r="CW241" s="36">
        <v>5</v>
      </c>
      <c r="CX241" s="36">
        <v>5</v>
      </c>
      <c r="CY241" s="36">
        <v>5</v>
      </c>
      <c r="CZ241" s="36">
        <v>5</v>
      </c>
      <c r="DA241" s="36">
        <v>3</v>
      </c>
      <c r="DB241" s="36">
        <v>2</v>
      </c>
      <c r="DC241" s="36">
        <v>5</v>
      </c>
      <c r="DD241" s="36">
        <v>5</v>
      </c>
      <c r="DE241" s="36">
        <v>5</v>
      </c>
      <c r="DF241" s="36">
        <v>5</v>
      </c>
      <c r="DG241" s="36">
        <v>5</v>
      </c>
      <c r="DH241" s="36">
        <v>5</v>
      </c>
      <c r="DI241" s="36" t="s">
        <v>133</v>
      </c>
      <c r="DJ241" s="36" t="s">
        <v>133</v>
      </c>
      <c r="DK241" s="36" t="s">
        <v>254</v>
      </c>
      <c r="DL241" t="s">
        <v>255</v>
      </c>
      <c r="DM241"/>
      <c r="DN241"/>
      <c r="DO241" t="s">
        <v>256</v>
      </c>
      <c r="DP241" t="s">
        <v>257</v>
      </c>
      <c r="DQ241" s="36">
        <v>5</v>
      </c>
      <c r="DR241" s="36" t="s">
        <v>133</v>
      </c>
      <c r="DS241" s="36" t="s">
        <v>259</v>
      </c>
      <c r="DT241"/>
      <c r="DU241"/>
      <c r="DV241"/>
      <c r="DW241"/>
      <c r="DX241"/>
      <c r="DY241" s="36">
        <v>5</v>
      </c>
      <c r="DZ241" s="36" t="s">
        <v>134</v>
      </c>
      <c r="EB241" s="36" t="s">
        <v>263</v>
      </c>
      <c r="EC241" s="36" t="s">
        <v>267</v>
      </c>
      <c r="ED241" s="36">
        <v>46</v>
      </c>
      <c r="EE241" s="36" t="s">
        <v>850</v>
      </c>
      <c r="EF241" s="36" t="str">
        <f>Tabulacao!MC241</f>
        <v>Barra dos Coqueiros</v>
      </c>
      <c r="EG241" s="36" t="s">
        <v>850</v>
      </c>
      <c r="EH241" s="36" t="str">
        <f>Tabulacao!MG241</f>
        <v>Barra dos Coqueiros</v>
      </c>
      <c r="EI241" s="36" t="s">
        <v>850</v>
      </c>
      <c r="EJ241" s="36" t="str">
        <f>Tabulacao!MK241</f>
        <v>Barra dos Coqueiros</v>
      </c>
      <c r="EK241" s="36" t="s">
        <v>134</v>
      </c>
      <c r="EL241" s="36" t="s">
        <v>134</v>
      </c>
      <c r="EM241" s="36" t="s">
        <v>134</v>
      </c>
      <c r="EN241" s="36" t="s">
        <v>134</v>
      </c>
      <c r="EO241" s="36" t="s">
        <v>134</v>
      </c>
      <c r="EP241" s="36" t="s">
        <v>134</v>
      </c>
      <c r="EQ241" s="36" t="s">
        <v>275</v>
      </c>
      <c r="ER241" s="36" t="str">
        <f>IF(OR(EQ241=CaractAmostra!$BD$9,EQ241=CaractAmostra!$BD$10,EQ241=CaractAmostra!$BD$11,EQ241=CaractAmostra!$BD$12,EQ241=CaractAmostra!$BD$13),Respostas_Formatadas!EQ241,"Outros")</f>
        <v>Com os pais</v>
      </c>
      <c r="ES241" s="36" t="s">
        <v>277</v>
      </c>
      <c r="ET241" s="36" t="str">
        <f>IF(OR(ES241=CaractAmostra!$BH$9,ES241=CaractAmostra!$BH$10,ES241=CaractAmostra!$BH$11,ES241=CaractAmostra!$BH$12),Respostas_Formatadas!ES241,"Outros")</f>
        <v>Sozinho</v>
      </c>
      <c r="EU241" s="36" t="s">
        <v>134</v>
      </c>
      <c r="EV241" s="36" t="s">
        <v>283</v>
      </c>
      <c r="EW241" s="36" t="s">
        <v>283</v>
      </c>
      <c r="FE241" s="47">
        <v>2014</v>
      </c>
      <c r="FF241" s="97">
        <v>6.7061000000000002</v>
      </c>
      <c r="FG241" s="47">
        <v>2014</v>
      </c>
      <c r="FH241" s="47">
        <f t="shared" si="10"/>
        <v>0</v>
      </c>
      <c r="FI241" s="47" t="str">
        <f t="shared" si="8"/>
        <v>Aracaju</v>
      </c>
      <c r="FJ241" s="47" t="str">
        <f t="shared" si="9"/>
        <v>Licenciatura</v>
      </c>
    </row>
    <row r="242" spans="1:166" s="36" customFormat="1" ht="15.75" customHeight="1" x14ac:dyDescent="0.2">
      <c r="A242" s="38">
        <v>43426.41468386574</v>
      </c>
      <c r="C242" s="36" t="s">
        <v>127</v>
      </c>
      <c r="D242" s="47" t="s">
        <v>134</v>
      </c>
      <c r="M242" s="36" t="s">
        <v>147</v>
      </c>
      <c r="N242" s="36" t="s">
        <v>134</v>
      </c>
      <c r="O242" s="36" t="s">
        <v>134</v>
      </c>
      <c r="P242" s="36" t="s">
        <v>133</v>
      </c>
      <c r="Q242" s="36" t="s">
        <v>133</v>
      </c>
      <c r="R242" s="36" t="s">
        <v>153</v>
      </c>
      <c r="S242" s="36" t="s">
        <v>938</v>
      </c>
      <c r="T242" s="36" t="s">
        <v>154</v>
      </c>
      <c r="U242" s="36" t="s">
        <v>157</v>
      </c>
      <c r="V242" s="36">
        <v>3</v>
      </c>
      <c r="W242" s="36">
        <v>2</v>
      </c>
      <c r="X242" s="36">
        <v>3</v>
      </c>
      <c r="Y242" s="36" t="s">
        <v>166</v>
      </c>
      <c r="AC242" s="36" t="s">
        <v>181</v>
      </c>
      <c r="AD242" s="36" t="s">
        <v>541</v>
      </c>
      <c r="AE242" s="36">
        <v>3</v>
      </c>
      <c r="AF242" s="36" t="s">
        <v>189</v>
      </c>
      <c r="AG242" s="36" t="s">
        <v>189</v>
      </c>
      <c r="AH242" s="36" t="s">
        <v>134</v>
      </c>
      <c r="AI242" s="40">
        <v>1100</v>
      </c>
      <c r="AJ242" s="36">
        <v>4</v>
      </c>
      <c r="AK242" s="36">
        <v>3</v>
      </c>
      <c r="AL242" s="36" t="s">
        <v>134</v>
      </c>
      <c r="AM242" s="36" t="s">
        <v>170</v>
      </c>
      <c r="AN242" s="36">
        <v>2</v>
      </c>
      <c r="AO242" s="36" t="s">
        <v>133</v>
      </c>
      <c r="AP242" s="36" t="s">
        <v>851</v>
      </c>
      <c r="AQ242" s="40">
        <v>1500</v>
      </c>
      <c r="AR242" s="36">
        <v>3</v>
      </c>
      <c r="AS242" s="36">
        <v>2</v>
      </c>
      <c r="AT242" s="36">
        <v>2</v>
      </c>
      <c r="AU242" s="36">
        <v>3</v>
      </c>
      <c r="AV242" s="36">
        <v>2</v>
      </c>
      <c r="AW242" s="36" t="s">
        <v>193</v>
      </c>
      <c r="AX242" s="36" t="s">
        <v>206</v>
      </c>
      <c r="AY242" s="36" t="s">
        <v>210</v>
      </c>
      <c r="AZ242" s="36" t="s">
        <v>134</v>
      </c>
      <c r="BA242" s="36" t="s">
        <v>213</v>
      </c>
      <c r="BB242" s="36" t="s">
        <v>852</v>
      </c>
      <c r="BC242" s="36" t="s">
        <v>853</v>
      </c>
      <c r="BD242" s="36" t="s">
        <v>189</v>
      </c>
      <c r="BF242" s="36" t="s">
        <v>218</v>
      </c>
      <c r="BG242" s="36">
        <v>3</v>
      </c>
      <c r="BH242" s="36">
        <v>3</v>
      </c>
      <c r="BI242" s="36">
        <v>3</v>
      </c>
      <c r="BJ242" s="36">
        <v>3</v>
      </c>
      <c r="BK242" s="36">
        <v>4</v>
      </c>
      <c r="BL242" s="36">
        <v>4</v>
      </c>
      <c r="BM242" s="36">
        <v>4</v>
      </c>
      <c r="BN242" s="36">
        <v>5</v>
      </c>
      <c r="BO242" s="36">
        <v>4</v>
      </c>
      <c r="BP242" s="36">
        <v>4</v>
      </c>
      <c r="BQ242" s="36">
        <v>4</v>
      </c>
      <c r="BR242" s="36">
        <v>3</v>
      </c>
      <c r="BS242" s="36">
        <v>2</v>
      </c>
      <c r="BT242" s="36">
        <v>3</v>
      </c>
      <c r="BU242" s="36">
        <v>3</v>
      </c>
      <c r="BV242" s="36">
        <v>3</v>
      </c>
      <c r="BW242" s="36">
        <v>4</v>
      </c>
      <c r="BX242" s="36">
        <v>4</v>
      </c>
      <c r="BY242" s="36">
        <v>4</v>
      </c>
      <c r="BZ242" s="36">
        <v>4</v>
      </c>
      <c r="CA242" s="36">
        <v>5</v>
      </c>
      <c r="CB242" s="36">
        <v>4</v>
      </c>
      <c r="CC242" s="36">
        <v>4</v>
      </c>
      <c r="CD242" s="36">
        <v>4</v>
      </c>
      <c r="CE242" s="36">
        <v>3</v>
      </c>
      <c r="CF242" s="36">
        <v>2</v>
      </c>
      <c r="CG242" s="36">
        <v>3</v>
      </c>
      <c r="CH242" s="36" t="s">
        <v>222</v>
      </c>
      <c r="CI242" t="s">
        <v>227</v>
      </c>
      <c r="CJ242"/>
      <c r="CK242" s="36" t="s">
        <v>233</v>
      </c>
      <c r="CL242"/>
      <c r="CM242"/>
      <c r="CN242" s="36" t="s">
        <v>242</v>
      </c>
      <c r="CO242" s="36" t="s">
        <v>133</v>
      </c>
      <c r="CP242" s="36">
        <v>2</v>
      </c>
      <c r="CQ242" s="36">
        <v>3</v>
      </c>
      <c r="CR242" s="36" t="s">
        <v>249</v>
      </c>
      <c r="CS242" s="36">
        <v>2</v>
      </c>
      <c r="CT242" s="36">
        <v>3</v>
      </c>
      <c r="CU242" s="36">
        <v>1</v>
      </c>
      <c r="CV242" s="36">
        <v>1</v>
      </c>
      <c r="CW242" s="36">
        <v>1</v>
      </c>
      <c r="CX242" s="36">
        <v>2</v>
      </c>
      <c r="CY242" s="36">
        <v>3</v>
      </c>
      <c r="CZ242" s="36">
        <v>3</v>
      </c>
      <c r="DA242" s="36">
        <v>2</v>
      </c>
      <c r="DB242" s="36">
        <v>3</v>
      </c>
      <c r="DC242" s="36">
        <v>3</v>
      </c>
      <c r="DD242" s="36">
        <v>3</v>
      </c>
      <c r="DE242" s="36">
        <v>2</v>
      </c>
      <c r="DF242" s="36">
        <v>4</v>
      </c>
      <c r="DG242" s="36">
        <v>4</v>
      </c>
      <c r="DH242" s="36">
        <v>4</v>
      </c>
      <c r="DI242" s="36" t="s">
        <v>133</v>
      </c>
      <c r="DJ242" s="36" t="s">
        <v>134</v>
      </c>
      <c r="DL242"/>
      <c r="DM242"/>
      <c r="DN242"/>
      <c r="DO242"/>
      <c r="DP242"/>
      <c r="DR242" s="36" t="s">
        <v>134</v>
      </c>
      <c r="DT242"/>
      <c r="DU242"/>
      <c r="DV242"/>
      <c r="DW242"/>
      <c r="DX242"/>
      <c r="DZ242" s="36" t="s">
        <v>133</v>
      </c>
      <c r="EA242" s="36">
        <v>5</v>
      </c>
      <c r="EB242" s="36" t="s">
        <v>262</v>
      </c>
      <c r="EC242" s="36" t="s">
        <v>267</v>
      </c>
      <c r="ED242" s="36">
        <v>27</v>
      </c>
      <c r="EE242" s="36" t="s">
        <v>853</v>
      </c>
      <c r="EF242" s="36" t="str">
        <f>Tabulacao!MC242</f>
        <v>Pinhão</v>
      </c>
      <c r="EG242" s="36" t="s">
        <v>853</v>
      </c>
      <c r="EH242" s="36" t="str">
        <f>Tabulacao!MG242</f>
        <v>Pinhão</v>
      </c>
      <c r="EI242" s="36" t="s">
        <v>853</v>
      </c>
      <c r="EJ242" s="36" t="str">
        <f>Tabulacao!MK242</f>
        <v>Pinhão</v>
      </c>
      <c r="EK242" s="36" t="s">
        <v>134</v>
      </c>
      <c r="EL242" s="36" t="s">
        <v>134</v>
      </c>
      <c r="EM242" s="36" t="s">
        <v>134</v>
      </c>
      <c r="EN242" s="36" t="s">
        <v>134</v>
      </c>
      <c r="EO242" s="36" t="s">
        <v>134</v>
      </c>
      <c r="EP242" s="36" t="s">
        <v>134</v>
      </c>
      <c r="EQ242" s="36" t="s">
        <v>272</v>
      </c>
      <c r="ER242" s="36" t="str">
        <f>IF(OR(EQ242=CaractAmostra!$BD$9,EQ242=CaractAmostra!$BD$10,EQ242=CaractAmostra!$BD$11,EQ242=CaractAmostra!$BD$12,EQ242=CaractAmostra!$BD$13),Respostas_Formatadas!EQ242,"Outros")</f>
        <v>Morava sozinho</v>
      </c>
      <c r="ES242" s="36" t="s">
        <v>274</v>
      </c>
      <c r="ET242" s="36" t="str">
        <f>IF(OR(ES242=CaractAmostra!$BH$9,ES242=CaractAmostra!$BH$10,ES242=CaractAmostra!$BH$11,ES242=CaractAmostra!$BH$12),Respostas_Formatadas!ES242,"Outros")</f>
        <v>Com um(a) parceiro(a)</v>
      </c>
      <c r="EU242" s="36" t="s">
        <v>134</v>
      </c>
      <c r="EV242" s="36" t="s">
        <v>288</v>
      </c>
      <c r="EW242" s="36" t="s">
        <v>285</v>
      </c>
      <c r="FE242" s="47">
        <v>2018</v>
      </c>
      <c r="FF242" s="97">
        <v>7.0888999999999998</v>
      </c>
      <c r="FG242" s="47">
        <v>2017</v>
      </c>
      <c r="FH242" s="47">
        <f t="shared" si="10"/>
        <v>-1</v>
      </c>
      <c r="FI242" s="47" t="str">
        <f t="shared" si="8"/>
        <v>Itabaiana</v>
      </c>
      <c r="FJ242" s="47" t="str">
        <f t="shared" si="9"/>
        <v>Tecnologia</v>
      </c>
    </row>
    <row r="243" spans="1:166" s="36" customFormat="1" ht="15.75" customHeight="1" x14ac:dyDescent="0.2">
      <c r="A243" s="38">
        <v>43426.448173495373</v>
      </c>
      <c r="B243" s="41"/>
      <c r="C243" s="36" t="s">
        <v>129</v>
      </c>
      <c r="D243" s="47" t="s">
        <v>134</v>
      </c>
      <c r="M243" s="36" t="s">
        <v>146</v>
      </c>
      <c r="N243" s="36" t="s">
        <v>134</v>
      </c>
      <c r="O243" s="36" t="s">
        <v>134</v>
      </c>
      <c r="P243" s="36" t="s">
        <v>133</v>
      </c>
      <c r="Q243" s="36" t="s">
        <v>133</v>
      </c>
      <c r="R243" s="36" t="s">
        <v>151</v>
      </c>
      <c r="Y243" s="36" t="s">
        <v>166</v>
      </c>
      <c r="AC243" s="36" t="s">
        <v>186</v>
      </c>
      <c r="AD243" s="36" t="s">
        <v>854</v>
      </c>
      <c r="AE243" s="36">
        <v>1</v>
      </c>
      <c r="AF243" s="36" t="s">
        <v>855</v>
      </c>
      <c r="AG243" s="36" t="s">
        <v>855</v>
      </c>
      <c r="AH243" s="36" t="s">
        <v>134</v>
      </c>
      <c r="AI243" s="40">
        <v>1000</v>
      </c>
      <c r="AJ243" s="36">
        <v>1</v>
      </c>
      <c r="AK243" s="36">
        <v>1</v>
      </c>
      <c r="AL243" s="36" t="s">
        <v>134</v>
      </c>
      <c r="AM243" s="36" t="s">
        <v>167</v>
      </c>
      <c r="AO243" s="36" t="s">
        <v>133</v>
      </c>
      <c r="AP243" s="36" t="s">
        <v>856</v>
      </c>
      <c r="AQ243" s="40"/>
      <c r="AR243" s="36">
        <v>4</v>
      </c>
      <c r="AS243" s="36">
        <v>3</v>
      </c>
      <c r="AT243" s="36">
        <v>5</v>
      </c>
      <c r="AU243" s="36">
        <v>4</v>
      </c>
      <c r="AV243" s="36">
        <v>5</v>
      </c>
      <c r="AW243" s="36" t="s">
        <v>198</v>
      </c>
      <c r="AX243" s="36" t="s">
        <v>204</v>
      </c>
      <c r="AY243" s="36" t="s">
        <v>208</v>
      </c>
      <c r="AZ243" s="36" t="s">
        <v>133</v>
      </c>
      <c r="BA243" s="36" t="s">
        <v>170</v>
      </c>
      <c r="BB243" s="36" t="s">
        <v>857</v>
      </c>
      <c r="BC243" s="36" t="s">
        <v>292</v>
      </c>
      <c r="BD243" s="36" t="s">
        <v>190</v>
      </c>
      <c r="BG243" s="36">
        <v>5</v>
      </c>
      <c r="BH243" s="36">
        <v>5</v>
      </c>
      <c r="BI243" s="36">
        <v>5</v>
      </c>
      <c r="BJ243" s="36">
        <v>1</v>
      </c>
      <c r="BK243" s="36">
        <v>4</v>
      </c>
      <c r="BL243" s="36">
        <v>5</v>
      </c>
      <c r="BM243" s="36">
        <v>5</v>
      </c>
      <c r="BN243" s="36">
        <v>1</v>
      </c>
      <c r="BO243" s="36">
        <v>1</v>
      </c>
      <c r="BP243" s="36">
        <v>1</v>
      </c>
      <c r="BQ243" s="36">
        <v>1</v>
      </c>
      <c r="BR243" s="36">
        <v>5</v>
      </c>
      <c r="BS243" s="36">
        <v>1</v>
      </c>
      <c r="BT243" s="36">
        <v>5</v>
      </c>
      <c r="BU243" s="36">
        <v>5</v>
      </c>
      <c r="BV243" s="36">
        <v>5</v>
      </c>
      <c r="BW243" s="36">
        <v>5</v>
      </c>
      <c r="BX243" s="36">
        <v>4</v>
      </c>
      <c r="BY243" s="36">
        <v>5</v>
      </c>
      <c r="BZ243" s="36">
        <v>5</v>
      </c>
      <c r="CA243" s="36">
        <v>1</v>
      </c>
      <c r="CB243" s="36">
        <v>4</v>
      </c>
      <c r="CC243" s="36">
        <v>3</v>
      </c>
      <c r="CD243" s="36">
        <v>1</v>
      </c>
      <c r="CE243" s="36">
        <v>2</v>
      </c>
      <c r="CF243" s="36">
        <v>1</v>
      </c>
      <c r="CG243" s="36">
        <v>2</v>
      </c>
      <c r="CH243" s="36" t="s">
        <v>229</v>
      </c>
      <c r="CI243"/>
      <c r="CJ243"/>
      <c r="CK243" s="36" t="s">
        <v>239</v>
      </c>
      <c r="CL243"/>
      <c r="CM243"/>
      <c r="CN243" s="36" t="s">
        <v>242</v>
      </c>
      <c r="CO243" s="36" t="s">
        <v>134</v>
      </c>
      <c r="CP243" s="36">
        <v>4</v>
      </c>
      <c r="CQ243" s="36">
        <v>5</v>
      </c>
      <c r="CR243" s="36" t="s">
        <v>248</v>
      </c>
      <c r="CS243" s="36">
        <v>3</v>
      </c>
      <c r="CT243" s="36">
        <v>4</v>
      </c>
      <c r="CU243" s="36">
        <v>3</v>
      </c>
      <c r="CV243" s="36">
        <v>1</v>
      </c>
      <c r="CW243" s="36">
        <v>4</v>
      </c>
      <c r="CX243" s="36">
        <v>5</v>
      </c>
      <c r="CY243" s="36">
        <v>5</v>
      </c>
      <c r="CZ243" s="36">
        <v>5</v>
      </c>
      <c r="DA243" s="36">
        <v>1</v>
      </c>
      <c r="DB243" s="36">
        <v>1</v>
      </c>
      <c r="DC243" s="36">
        <v>3</v>
      </c>
      <c r="DD243" s="36">
        <v>5</v>
      </c>
      <c r="DE243" s="36">
        <v>4</v>
      </c>
      <c r="DF243" s="36">
        <v>5</v>
      </c>
      <c r="DG243" s="36">
        <v>5</v>
      </c>
      <c r="DH243" s="36">
        <v>5</v>
      </c>
      <c r="DI243" s="36" t="s">
        <v>133</v>
      </c>
      <c r="DJ243" s="36" t="s">
        <v>133</v>
      </c>
      <c r="DK243" s="36" t="s">
        <v>254</v>
      </c>
      <c r="DL243"/>
      <c r="DM243"/>
      <c r="DN243"/>
      <c r="DO243"/>
      <c r="DP243"/>
      <c r="DQ243" s="36">
        <v>5</v>
      </c>
      <c r="DR243" s="36" t="s">
        <v>134</v>
      </c>
      <c r="DT243"/>
      <c r="DU243"/>
      <c r="DV243"/>
      <c r="DW243"/>
      <c r="DX243"/>
      <c r="DZ243" s="36" t="s">
        <v>134</v>
      </c>
      <c r="EB243" s="36" t="s">
        <v>262</v>
      </c>
      <c r="EC243" s="36" t="s">
        <v>267</v>
      </c>
      <c r="ED243" s="36">
        <v>31</v>
      </c>
      <c r="EE243" s="36" t="s">
        <v>292</v>
      </c>
      <c r="EF243" s="36" t="str">
        <f>Tabulacao!MC243</f>
        <v>Aracaju</v>
      </c>
      <c r="EG243" s="36" t="s">
        <v>458</v>
      </c>
      <c r="EH243" s="36" t="str">
        <f>Tabulacao!MG243</f>
        <v>Aracaju</v>
      </c>
      <c r="EI243" s="36" t="s">
        <v>458</v>
      </c>
      <c r="EJ243" s="36" t="str">
        <f>Tabulacao!MK243</f>
        <v>Aracaju</v>
      </c>
      <c r="EK243" s="36" t="s">
        <v>134</v>
      </c>
      <c r="EL243" s="36" t="s">
        <v>134</v>
      </c>
      <c r="EM243" s="36" t="s">
        <v>134</v>
      </c>
      <c r="EN243" s="36" t="s">
        <v>134</v>
      </c>
      <c r="EO243" s="36" t="s">
        <v>134</v>
      </c>
      <c r="EP243" s="36" t="s">
        <v>134</v>
      </c>
      <c r="EQ243" s="36" t="s">
        <v>858</v>
      </c>
      <c r="ER243" s="36" t="str">
        <f>IF(OR(EQ243=CaractAmostra!$BD$9,EQ243=CaractAmostra!$BD$10,EQ243=CaractAmostra!$BD$11,EQ243=CaractAmostra!$BD$12,EQ243=CaractAmostra!$BD$13),Respostas_Formatadas!EQ243,"Outros")</f>
        <v>Outros</v>
      </c>
      <c r="ES243" s="36" t="s">
        <v>859</v>
      </c>
      <c r="ET243" s="36" t="str">
        <f>IF(OR(ES243=CaractAmostra!$BH$9,ES243=CaractAmostra!$BH$10,ES243=CaractAmostra!$BH$11,ES243=CaractAmostra!$BH$12),Respostas_Formatadas!ES243,"Outros")</f>
        <v>Outros</v>
      </c>
      <c r="EU243" s="36" t="s">
        <v>279</v>
      </c>
      <c r="EV243" s="36" t="s">
        <v>285</v>
      </c>
      <c r="EW243" s="36" t="s">
        <v>285</v>
      </c>
      <c r="FE243" s="47">
        <v>2017</v>
      </c>
      <c r="FF243" s="97">
        <v>6.8041</v>
      </c>
      <c r="FG243" s="47">
        <v>2017</v>
      </c>
      <c r="FH243" s="47">
        <f t="shared" ref="FH243:FH273" si="11">FG243-FE243</f>
        <v>0</v>
      </c>
      <c r="FI243" s="47" t="str">
        <f t="shared" si="8"/>
        <v>São Cristóvão</v>
      </c>
      <c r="FJ243" s="47" t="str">
        <f t="shared" si="9"/>
        <v>Tecnologia</v>
      </c>
    </row>
    <row r="244" spans="1:166" s="36" customFormat="1" ht="15.75" customHeight="1" x14ac:dyDescent="0.2">
      <c r="A244" s="38">
        <v>43426.482974861108</v>
      </c>
      <c r="B244" s="41"/>
      <c r="C244" s="36" t="s">
        <v>119</v>
      </c>
      <c r="D244" s="47" t="s">
        <v>134</v>
      </c>
      <c r="M244" s="36" t="s">
        <v>146</v>
      </c>
      <c r="N244" s="36" t="s">
        <v>134</v>
      </c>
      <c r="O244" s="36" t="s">
        <v>133</v>
      </c>
      <c r="P244" s="36" t="s">
        <v>134</v>
      </c>
      <c r="Q244" s="36" t="s">
        <v>133</v>
      </c>
      <c r="R244" s="36" t="s">
        <v>151</v>
      </c>
      <c r="Y244" s="36" t="s">
        <v>166</v>
      </c>
      <c r="AC244" s="36" t="s">
        <v>186</v>
      </c>
      <c r="AD244" s="36" t="s">
        <v>860</v>
      </c>
      <c r="AE244" s="36">
        <v>1</v>
      </c>
      <c r="AF244" s="36" t="s">
        <v>190</v>
      </c>
      <c r="AG244" s="36" t="s">
        <v>190</v>
      </c>
      <c r="AH244" s="36" t="s">
        <v>134</v>
      </c>
      <c r="AI244" s="40">
        <v>3200</v>
      </c>
      <c r="AJ244" s="36">
        <v>2</v>
      </c>
      <c r="AK244" s="36">
        <v>1</v>
      </c>
      <c r="AL244" s="36" t="s">
        <v>133</v>
      </c>
      <c r="AP244" s="36" t="s">
        <v>860</v>
      </c>
      <c r="AQ244" s="40">
        <v>4100</v>
      </c>
      <c r="AR244" s="36">
        <v>3</v>
      </c>
      <c r="AS244" s="36">
        <v>2</v>
      </c>
      <c r="AT244" s="36">
        <v>1</v>
      </c>
      <c r="AU244" s="36">
        <v>4</v>
      </c>
      <c r="AV244" s="36">
        <v>4</v>
      </c>
      <c r="AW244" s="36" t="s">
        <v>194</v>
      </c>
      <c r="AX244" s="36" t="s">
        <v>206</v>
      </c>
      <c r="AY244" s="36" t="s">
        <v>208</v>
      </c>
      <c r="AZ244" s="36" t="s">
        <v>133</v>
      </c>
      <c r="BA244" s="36" t="s">
        <v>170</v>
      </c>
      <c r="BB244" s="36" t="s">
        <v>358</v>
      </c>
      <c r="BC244" s="36" t="s">
        <v>358</v>
      </c>
      <c r="BD244" s="36" t="s">
        <v>190</v>
      </c>
      <c r="BG244" s="36">
        <v>1</v>
      </c>
      <c r="BH244" s="36">
        <v>4</v>
      </c>
      <c r="BI244" s="36">
        <v>4</v>
      </c>
      <c r="BJ244" s="36">
        <v>2</v>
      </c>
      <c r="BK244" s="36">
        <v>5</v>
      </c>
      <c r="BL244" s="36">
        <v>5</v>
      </c>
      <c r="BM244" s="36">
        <v>4</v>
      </c>
      <c r="BN244" s="36">
        <v>4</v>
      </c>
      <c r="BO244" s="36">
        <v>4</v>
      </c>
      <c r="BP244" s="36">
        <v>5</v>
      </c>
      <c r="BQ244" s="36">
        <v>4</v>
      </c>
      <c r="BR244" s="36">
        <v>5</v>
      </c>
      <c r="BS244" s="36">
        <v>1</v>
      </c>
      <c r="BT244" s="36">
        <v>4</v>
      </c>
      <c r="BU244" s="36">
        <v>4</v>
      </c>
      <c r="BV244" s="36">
        <v>3</v>
      </c>
      <c r="BW244" s="36">
        <v>2</v>
      </c>
      <c r="BX244" s="36">
        <v>4</v>
      </c>
      <c r="BY244" s="36">
        <v>4</v>
      </c>
      <c r="BZ244" s="36">
        <v>4</v>
      </c>
      <c r="CA244" s="36">
        <v>3</v>
      </c>
      <c r="CB244" s="36">
        <v>4</v>
      </c>
      <c r="CC244" s="36">
        <v>5</v>
      </c>
      <c r="CD244" s="36">
        <v>3</v>
      </c>
      <c r="CE244" s="36">
        <v>3</v>
      </c>
      <c r="CF244" s="36">
        <v>1</v>
      </c>
      <c r="CG244" s="36">
        <v>5</v>
      </c>
      <c r="CH244" s="36" t="s">
        <v>481</v>
      </c>
      <c r="CI244"/>
      <c r="CJ244"/>
      <c r="CK244" s="36" t="s">
        <v>861</v>
      </c>
      <c r="CL244"/>
      <c r="CM244"/>
      <c r="CN244" s="36" t="s">
        <v>242</v>
      </c>
      <c r="CO244" s="36" t="s">
        <v>134</v>
      </c>
      <c r="CP244" s="36">
        <v>3</v>
      </c>
      <c r="CQ244" s="36">
        <v>3</v>
      </c>
      <c r="CR244" s="36" t="s">
        <v>248</v>
      </c>
      <c r="CS244" s="36">
        <v>2</v>
      </c>
      <c r="CT244" s="36">
        <v>2</v>
      </c>
      <c r="CU244" s="36">
        <v>3</v>
      </c>
      <c r="CV244" s="36">
        <v>1</v>
      </c>
      <c r="CW244" s="36">
        <v>1</v>
      </c>
      <c r="CX244" s="36">
        <v>3</v>
      </c>
      <c r="CY244" s="36">
        <v>3</v>
      </c>
      <c r="CZ244" s="36">
        <v>4</v>
      </c>
      <c r="DA244" s="36">
        <v>3</v>
      </c>
      <c r="DB244" s="36">
        <v>3</v>
      </c>
      <c r="DC244" s="36">
        <v>2</v>
      </c>
      <c r="DD244" s="36">
        <v>3</v>
      </c>
      <c r="DE244" s="36">
        <v>1</v>
      </c>
      <c r="DF244" s="36">
        <v>3</v>
      </c>
      <c r="DG244" s="36">
        <v>4</v>
      </c>
      <c r="DH244" s="36">
        <v>3</v>
      </c>
      <c r="DI244" s="36" t="s">
        <v>133</v>
      </c>
      <c r="DJ244" s="36" t="s">
        <v>133</v>
      </c>
      <c r="DK244" s="36" t="s">
        <v>254</v>
      </c>
      <c r="DL244"/>
      <c r="DM244"/>
      <c r="DN244"/>
      <c r="DO244"/>
      <c r="DP244"/>
      <c r="DQ244" s="36">
        <v>3</v>
      </c>
      <c r="DR244" s="36" t="s">
        <v>134</v>
      </c>
      <c r="DT244"/>
      <c r="DU244"/>
      <c r="DV244"/>
      <c r="DW244"/>
      <c r="DX244"/>
      <c r="DZ244" s="36" t="s">
        <v>134</v>
      </c>
      <c r="EB244" s="36" t="s">
        <v>263</v>
      </c>
      <c r="EC244" s="36" t="s">
        <v>267</v>
      </c>
      <c r="ED244" s="36">
        <v>24</v>
      </c>
      <c r="EE244" s="36" t="s">
        <v>292</v>
      </c>
      <c r="EF244" s="36" t="str">
        <f>Tabulacao!MC244</f>
        <v>Aracaju</v>
      </c>
      <c r="EG244" s="36" t="s">
        <v>292</v>
      </c>
      <c r="EH244" s="36" t="str">
        <f>Tabulacao!MG244</f>
        <v>Aracaju</v>
      </c>
      <c r="EI244" s="36" t="s">
        <v>292</v>
      </c>
      <c r="EJ244" s="36" t="str">
        <f>Tabulacao!MK244</f>
        <v>Aracaju</v>
      </c>
      <c r="EK244" s="36" t="s">
        <v>134</v>
      </c>
      <c r="EL244" s="36" t="s">
        <v>134</v>
      </c>
      <c r="EM244" s="36" t="s">
        <v>134</v>
      </c>
      <c r="EN244" s="36" t="s">
        <v>134</v>
      </c>
      <c r="EO244" s="36" t="s">
        <v>134</v>
      </c>
      <c r="EP244" s="36" t="s">
        <v>134</v>
      </c>
      <c r="EQ244" s="36" t="s">
        <v>275</v>
      </c>
      <c r="ER244" s="36" t="str">
        <f>IF(OR(EQ244=CaractAmostra!$BD$9,EQ244=CaractAmostra!$BD$10,EQ244=CaractAmostra!$BD$11,EQ244=CaractAmostra!$BD$12,EQ244=CaractAmostra!$BD$13),Respostas_Formatadas!EQ244,"Outros")</f>
        <v>Com os pais</v>
      </c>
      <c r="ES244" s="36" t="s">
        <v>275</v>
      </c>
      <c r="ET244" s="36" t="str">
        <f>IF(OR(ES244=CaractAmostra!$BH$9,ES244=CaractAmostra!$BH$10,ES244=CaractAmostra!$BH$11,ES244=CaractAmostra!$BH$12),Respostas_Formatadas!ES244,"Outros")</f>
        <v>Com os pais</v>
      </c>
      <c r="EU244" s="36" t="s">
        <v>134</v>
      </c>
      <c r="EV244" s="36" t="s">
        <v>287</v>
      </c>
      <c r="EW244" s="36" t="s">
        <v>285</v>
      </c>
      <c r="FE244" s="47">
        <v>2017</v>
      </c>
      <c r="FF244" s="97">
        <v>7.8289</v>
      </c>
      <c r="FG244" s="47">
        <v>2017</v>
      </c>
      <c r="FH244" s="47">
        <f t="shared" si="11"/>
        <v>0</v>
      </c>
      <c r="FI244" s="47" t="str">
        <f t="shared" si="8"/>
        <v>Aracaju</v>
      </c>
      <c r="FJ244" s="47" t="str">
        <f t="shared" si="9"/>
        <v>Bacharelado</v>
      </c>
    </row>
    <row r="245" spans="1:166" s="36" customFormat="1" ht="15.75" customHeight="1" x14ac:dyDescent="0.2">
      <c r="A245" s="38">
        <v>43426.482984340277</v>
      </c>
      <c r="B245" s="41"/>
      <c r="C245" s="36" t="s">
        <v>120</v>
      </c>
      <c r="D245" s="47" t="s">
        <v>134</v>
      </c>
      <c r="M245" s="36" t="s">
        <v>146</v>
      </c>
      <c r="N245" s="36" t="s">
        <v>134</v>
      </c>
      <c r="O245" s="36" t="s">
        <v>133</v>
      </c>
      <c r="P245" s="36" t="s">
        <v>134</v>
      </c>
      <c r="Q245" s="36" t="s">
        <v>133</v>
      </c>
      <c r="R245" s="36" t="s">
        <v>151</v>
      </c>
      <c r="Y245" s="36" t="s">
        <v>134</v>
      </c>
      <c r="AI245" s="40"/>
      <c r="AQ245" s="40"/>
      <c r="BT245" s="36">
        <v>4</v>
      </c>
      <c r="BU245" s="36">
        <v>3</v>
      </c>
      <c r="BV245" s="36">
        <v>5</v>
      </c>
      <c r="BW245" s="36">
        <v>5</v>
      </c>
      <c r="BX245" s="36">
        <v>5</v>
      </c>
      <c r="BY245" s="36">
        <v>5</v>
      </c>
      <c r="BZ245" s="36">
        <v>5</v>
      </c>
      <c r="CA245" s="36">
        <v>5</v>
      </c>
      <c r="CB245" s="36">
        <v>5</v>
      </c>
      <c r="CC245" s="36">
        <v>4</v>
      </c>
      <c r="CD245" s="36">
        <v>5</v>
      </c>
      <c r="CE245" s="36">
        <v>4</v>
      </c>
      <c r="CF245" s="36">
        <v>3</v>
      </c>
      <c r="CG245" s="36">
        <v>5</v>
      </c>
      <c r="CH245" s="36" t="s">
        <v>225</v>
      </c>
      <c r="CI245" t="s">
        <v>226</v>
      </c>
      <c r="CJ245" t="s">
        <v>229</v>
      </c>
      <c r="CK245" s="36" t="s">
        <v>239</v>
      </c>
      <c r="CL245" t="s">
        <v>240</v>
      </c>
      <c r="CM245"/>
      <c r="CN245" s="36" t="s">
        <v>242</v>
      </c>
      <c r="CO245" s="36" t="s">
        <v>134</v>
      </c>
      <c r="CP245" s="36">
        <v>3</v>
      </c>
      <c r="CQ245" s="36">
        <v>5</v>
      </c>
      <c r="CR245" s="36" t="s">
        <v>248</v>
      </c>
      <c r="CS245" s="36">
        <v>4</v>
      </c>
      <c r="CT245" s="36">
        <v>1</v>
      </c>
      <c r="CU245" s="36">
        <v>1</v>
      </c>
      <c r="CV245" s="36">
        <v>1</v>
      </c>
      <c r="CW245" s="36">
        <v>4</v>
      </c>
      <c r="CX245" s="36">
        <v>5</v>
      </c>
      <c r="CY245" s="36">
        <v>5</v>
      </c>
      <c r="CZ245" s="36">
        <v>4</v>
      </c>
      <c r="DA245" s="36">
        <v>1</v>
      </c>
      <c r="DB245" s="36">
        <v>1</v>
      </c>
      <c r="DC245" s="36">
        <v>3</v>
      </c>
      <c r="DD245" s="36">
        <v>4</v>
      </c>
      <c r="DE245" s="36">
        <v>4</v>
      </c>
      <c r="DF245" s="36">
        <v>4</v>
      </c>
      <c r="DG245" s="36">
        <v>4</v>
      </c>
      <c r="DH245" s="36">
        <v>2</v>
      </c>
      <c r="DI245" s="36" t="s">
        <v>133</v>
      </c>
      <c r="DJ245" s="36" t="s">
        <v>134</v>
      </c>
      <c r="DL245"/>
      <c r="DM245"/>
      <c r="DN245"/>
      <c r="DO245"/>
      <c r="DP245"/>
      <c r="DR245" s="36" t="s">
        <v>133</v>
      </c>
      <c r="DS245" s="36" t="s">
        <v>259</v>
      </c>
      <c r="DT245"/>
      <c r="DU245"/>
      <c r="DV245" t="s">
        <v>260</v>
      </c>
      <c r="DW245"/>
      <c r="DX245"/>
      <c r="DY245" s="36">
        <v>5</v>
      </c>
      <c r="DZ245" s="36" t="s">
        <v>134</v>
      </c>
      <c r="EB245" s="36" t="s">
        <v>262</v>
      </c>
      <c r="EC245" s="36" t="s">
        <v>267</v>
      </c>
      <c r="ED245" s="36">
        <v>25</v>
      </c>
      <c r="EE245" s="36" t="s">
        <v>325</v>
      </c>
      <c r="EF245" s="36" t="str">
        <f>Tabulacao!MC245</f>
        <v>Estância</v>
      </c>
      <c r="EG245" s="36" t="s">
        <v>325</v>
      </c>
      <c r="EH245" s="36" t="str">
        <f>Tabulacao!MG245</f>
        <v>Estância</v>
      </c>
      <c r="EI245" s="36" t="s">
        <v>325</v>
      </c>
      <c r="EJ245" s="36" t="str">
        <f>Tabulacao!MK245</f>
        <v>Estância</v>
      </c>
      <c r="EK245" s="36" t="s">
        <v>134</v>
      </c>
      <c r="EL245" s="36" t="s">
        <v>134</v>
      </c>
      <c r="EM245" s="36" t="s">
        <v>134</v>
      </c>
      <c r="EN245" s="36" t="s">
        <v>134</v>
      </c>
      <c r="EO245" s="36" t="s">
        <v>134</v>
      </c>
      <c r="EP245" s="36" t="s">
        <v>134</v>
      </c>
      <c r="EQ245" s="36" t="s">
        <v>275</v>
      </c>
      <c r="ER245" s="36" t="str">
        <f>IF(OR(EQ245=CaractAmostra!$BD$9,EQ245=CaractAmostra!$BD$10,EQ245=CaractAmostra!$BD$11,EQ245=CaractAmostra!$BD$12,EQ245=CaractAmostra!$BD$13),Respostas_Formatadas!EQ245,"Outros")</f>
        <v>Com os pais</v>
      </c>
      <c r="ES245" s="36" t="s">
        <v>275</v>
      </c>
      <c r="ET245" s="36" t="str">
        <f>IF(OR(ES245=CaractAmostra!$BH$9,ES245=CaractAmostra!$BH$10,ES245=CaractAmostra!$BH$11,ES245=CaractAmostra!$BH$12),Respostas_Formatadas!ES245,"Outros")</f>
        <v>Com os pais</v>
      </c>
      <c r="EU245" s="36" t="s">
        <v>134</v>
      </c>
      <c r="EV245" s="36" t="s">
        <v>287</v>
      </c>
      <c r="EW245" s="36" t="s">
        <v>287</v>
      </c>
      <c r="FE245" s="47">
        <v>2018</v>
      </c>
      <c r="FF245" s="97">
        <v>6.5719000000000003</v>
      </c>
      <c r="FG245" s="47">
        <v>2018</v>
      </c>
      <c r="FH245" s="47">
        <f t="shared" si="11"/>
        <v>0</v>
      </c>
      <c r="FI245" s="47" t="str">
        <f t="shared" si="8"/>
        <v>Lagarto</v>
      </c>
      <c r="FJ245" s="47" t="str">
        <f t="shared" si="9"/>
        <v>Bacharelado</v>
      </c>
    </row>
    <row r="246" spans="1:166" s="36" customFormat="1" ht="15.75" customHeight="1" x14ac:dyDescent="0.2">
      <c r="A246" s="38">
        <v>43426.485867800926</v>
      </c>
      <c r="B246" s="41"/>
      <c r="C246" s="36" t="s">
        <v>119</v>
      </c>
      <c r="D246" s="47" t="s">
        <v>134</v>
      </c>
      <c r="M246" s="36" t="s">
        <v>146</v>
      </c>
      <c r="N246" s="36" t="s">
        <v>134</v>
      </c>
      <c r="O246" s="36" t="s">
        <v>133</v>
      </c>
      <c r="P246" s="36" t="s">
        <v>133</v>
      </c>
      <c r="Q246" s="36" t="s">
        <v>134</v>
      </c>
      <c r="R246" s="36" t="s">
        <v>151</v>
      </c>
      <c r="Y246" s="36" t="s">
        <v>134</v>
      </c>
      <c r="AI246" s="40"/>
      <c r="AQ246" s="40"/>
      <c r="BT246" s="36">
        <v>4</v>
      </c>
      <c r="BU246" s="36">
        <v>4</v>
      </c>
      <c r="BV246" s="36">
        <v>4</v>
      </c>
      <c r="BW246" s="36">
        <v>3</v>
      </c>
      <c r="BX246" s="36">
        <v>3</v>
      </c>
      <c r="BY246" s="36">
        <v>5</v>
      </c>
      <c r="BZ246" s="36">
        <v>4</v>
      </c>
      <c r="CA246" s="36">
        <v>4</v>
      </c>
      <c r="CB246" s="36">
        <v>4</v>
      </c>
      <c r="CC246" s="36">
        <v>4</v>
      </c>
      <c r="CD246" s="36">
        <v>3</v>
      </c>
      <c r="CE246" s="36">
        <v>3</v>
      </c>
      <c r="CF246" s="36">
        <v>2</v>
      </c>
      <c r="CG246" s="36">
        <v>4</v>
      </c>
      <c r="CH246" s="36" t="s">
        <v>225</v>
      </c>
      <c r="CI246" t="s">
        <v>226</v>
      </c>
      <c r="CJ246" t="s">
        <v>229</v>
      </c>
      <c r="CK246" s="36" t="s">
        <v>233</v>
      </c>
      <c r="CL246"/>
      <c r="CM246"/>
      <c r="CN246" s="36" t="s">
        <v>242</v>
      </c>
      <c r="CO246" s="36" t="s">
        <v>134</v>
      </c>
      <c r="CP246" s="36">
        <v>2</v>
      </c>
      <c r="CQ246" s="36">
        <v>5</v>
      </c>
      <c r="CR246" s="36" t="s">
        <v>248</v>
      </c>
      <c r="CS246" s="36">
        <v>4</v>
      </c>
      <c r="CT246" s="36">
        <v>4</v>
      </c>
      <c r="CU246" s="36">
        <v>3</v>
      </c>
      <c r="CV246" s="36">
        <v>3</v>
      </c>
      <c r="CW246" s="36">
        <v>4</v>
      </c>
      <c r="CX246" s="36">
        <v>5</v>
      </c>
      <c r="CY246" s="36">
        <v>4</v>
      </c>
      <c r="CZ246" s="36">
        <v>5</v>
      </c>
      <c r="DA246" s="36">
        <v>3</v>
      </c>
      <c r="DB246" s="36">
        <v>3</v>
      </c>
      <c r="DC246" s="36">
        <v>1</v>
      </c>
      <c r="DD246" s="36">
        <v>4</v>
      </c>
      <c r="DE246" s="36">
        <v>4</v>
      </c>
      <c r="DF246" s="36">
        <v>4</v>
      </c>
      <c r="DG246" s="36">
        <v>5</v>
      </c>
      <c r="DH246" s="36">
        <v>4</v>
      </c>
      <c r="DI246" s="36" t="s">
        <v>133</v>
      </c>
      <c r="DJ246" s="36" t="s">
        <v>133</v>
      </c>
      <c r="DK246" s="36" t="s">
        <v>255</v>
      </c>
      <c r="DL246"/>
      <c r="DM246"/>
      <c r="DN246"/>
      <c r="DO246"/>
      <c r="DP246"/>
      <c r="DQ246" s="36">
        <v>5</v>
      </c>
      <c r="DR246" s="36" t="s">
        <v>134</v>
      </c>
      <c r="DT246"/>
      <c r="DU246"/>
      <c r="DV246"/>
      <c r="DW246"/>
      <c r="DX246"/>
      <c r="DZ246" s="36" t="s">
        <v>134</v>
      </c>
      <c r="EB246" s="36" t="s">
        <v>263</v>
      </c>
      <c r="EC246" s="36" t="s">
        <v>265</v>
      </c>
      <c r="ED246" s="36">
        <v>22</v>
      </c>
      <c r="EE246" s="36" t="s">
        <v>325</v>
      </c>
      <c r="EF246" s="36" t="str">
        <f>Tabulacao!MC246</f>
        <v>Estância</v>
      </c>
      <c r="EG246" s="36" t="s">
        <v>292</v>
      </c>
      <c r="EH246" s="36" t="str">
        <f>Tabulacao!MG246</f>
        <v>Aracaju</v>
      </c>
      <c r="EI246" s="36" t="s">
        <v>862</v>
      </c>
      <c r="EJ246" s="36" t="str">
        <f>Tabulacao!MK246</f>
        <v>Umbaúba</v>
      </c>
      <c r="EK246" s="36" t="s">
        <v>134</v>
      </c>
      <c r="EL246" s="36" t="s">
        <v>134</v>
      </c>
      <c r="EM246" s="36" t="s">
        <v>134</v>
      </c>
      <c r="EN246" s="36" t="s">
        <v>134</v>
      </c>
      <c r="EO246" s="36" t="s">
        <v>134</v>
      </c>
      <c r="EP246" s="36" t="s">
        <v>134</v>
      </c>
      <c r="EQ246" s="36" t="s">
        <v>273</v>
      </c>
      <c r="ER246" s="36" t="str">
        <f>IF(OR(EQ246=CaractAmostra!$BD$9,EQ246=CaractAmostra!$BD$10,EQ246=CaractAmostra!$BD$11,EQ246=CaractAmostra!$BD$12,EQ246=CaractAmostra!$BD$13),Respostas_Formatadas!EQ246,"Outros")</f>
        <v>Dividia residência com outras pessoas</v>
      </c>
      <c r="ES246" s="36" t="s">
        <v>275</v>
      </c>
      <c r="ET246" s="36" t="str">
        <f>IF(OR(ES246=CaractAmostra!$BH$9,ES246=CaractAmostra!$BH$10,ES246=CaractAmostra!$BH$11,ES246=CaractAmostra!$BH$12),Respostas_Formatadas!ES246,"Outros")</f>
        <v>Com os pais</v>
      </c>
      <c r="EU246" s="36" t="s">
        <v>134</v>
      </c>
      <c r="EV246" s="36" t="s">
        <v>283</v>
      </c>
      <c r="EW246" s="36" t="s">
        <v>287</v>
      </c>
      <c r="FE246" s="47">
        <v>2018</v>
      </c>
      <c r="FF246" s="97">
        <v>8.5693000000000001</v>
      </c>
      <c r="FG246" s="47">
        <v>2018</v>
      </c>
      <c r="FH246" s="47">
        <f t="shared" si="11"/>
        <v>0</v>
      </c>
      <c r="FI246" s="47" t="str">
        <f t="shared" si="8"/>
        <v>Aracaju</v>
      </c>
      <c r="FJ246" s="47" t="str">
        <f t="shared" si="9"/>
        <v>Bacharelado</v>
      </c>
    </row>
    <row r="247" spans="1:166" s="36" customFormat="1" ht="15.75" customHeight="1" x14ac:dyDescent="0.2">
      <c r="A247" s="38">
        <v>43426.494999733797</v>
      </c>
      <c r="B247" s="41"/>
      <c r="C247" s="36" t="s">
        <v>119</v>
      </c>
      <c r="D247" s="47" t="s">
        <v>134</v>
      </c>
      <c r="M247" s="36" t="s">
        <v>146</v>
      </c>
      <c r="N247" s="36" t="s">
        <v>134</v>
      </c>
      <c r="O247" s="36" t="s">
        <v>133</v>
      </c>
      <c r="P247" s="36" t="s">
        <v>134</v>
      </c>
      <c r="Q247" s="36" t="s">
        <v>134</v>
      </c>
      <c r="R247" s="36" t="s">
        <v>151</v>
      </c>
      <c r="Y247" s="36" t="s">
        <v>134</v>
      </c>
      <c r="AI247" s="40"/>
      <c r="AQ247" s="40"/>
      <c r="BT247" s="36">
        <v>5</v>
      </c>
      <c r="BU247" s="36">
        <v>4</v>
      </c>
      <c r="BV247" s="36">
        <v>4</v>
      </c>
      <c r="BW247" s="36">
        <v>5</v>
      </c>
      <c r="BX247" s="36">
        <v>5</v>
      </c>
      <c r="BY247" s="36">
        <v>5</v>
      </c>
      <c r="BZ247" s="36">
        <v>5</v>
      </c>
      <c r="CA247" s="36">
        <v>5</v>
      </c>
      <c r="CB247" s="36">
        <v>4</v>
      </c>
      <c r="CC247" s="36">
        <v>5</v>
      </c>
      <c r="CD247" s="36">
        <v>4</v>
      </c>
      <c r="CE247" s="36">
        <v>4</v>
      </c>
      <c r="CF247" s="36">
        <v>2</v>
      </c>
      <c r="CG247" s="36">
        <v>3</v>
      </c>
      <c r="CH247" s="36" t="s">
        <v>222</v>
      </c>
      <c r="CI247" t="s">
        <v>225</v>
      </c>
      <c r="CJ247" t="s">
        <v>229</v>
      </c>
      <c r="CK247" s="36" t="s">
        <v>233</v>
      </c>
      <c r="CL247"/>
      <c r="CM247"/>
      <c r="CN247" s="36" t="s">
        <v>246</v>
      </c>
      <c r="CO247" s="36" t="s">
        <v>134</v>
      </c>
      <c r="CP247" s="36">
        <v>2</v>
      </c>
      <c r="CQ247" s="36">
        <v>4</v>
      </c>
      <c r="CR247" s="36" t="s">
        <v>248</v>
      </c>
      <c r="CS247" s="36">
        <v>4</v>
      </c>
      <c r="CT247" s="36">
        <v>4</v>
      </c>
      <c r="CU247" s="36">
        <v>3</v>
      </c>
      <c r="CV247" s="36">
        <v>3</v>
      </c>
      <c r="CW247" s="36">
        <v>4</v>
      </c>
      <c r="CX247" s="36">
        <v>5</v>
      </c>
      <c r="CY247" s="36">
        <v>5</v>
      </c>
      <c r="CZ247" s="36">
        <v>4</v>
      </c>
      <c r="DA247" s="36">
        <v>4</v>
      </c>
      <c r="DB247" s="36">
        <v>4</v>
      </c>
      <c r="DC247" s="36">
        <v>3</v>
      </c>
      <c r="DD247" s="36">
        <v>4</v>
      </c>
      <c r="DE247" s="36">
        <v>3</v>
      </c>
      <c r="DF247" s="36">
        <v>3</v>
      </c>
      <c r="DG247" s="36">
        <v>4</v>
      </c>
      <c r="DH247" s="36">
        <v>4</v>
      </c>
      <c r="DI247" s="36" t="s">
        <v>133</v>
      </c>
      <c r="DJ247" s="36" t="s">
        <v>134</v>
      </c>
      <c r="DL247"/>
      <c r="DM247"/>
      <c r="DN247"/>
      <c r="DO247"/>
      <c r="DP247"/>
      <c r="DR247" s="36" t="s">
        <v>134</v>
      </c>
      <c r="DT247"/>
      <c r="DU247"/>
      <c r="DV247"/>
      <c r="DW247"/>
      <c r="DX247"/>
      <c r="DZ247" s="36" t="s">
        <v>133</v>
      </c>
      <c r="EA247" s="36">
        <v>5</v>
      </c>
      <c r="EB247" s="36" t="s">
        <v>263</v>
      </c>
      <c r="EC247" s="36" t="s">
        <v>264</v>
      </c>
      <c r="ED247" s="36">
        <v>27</v>
      </c>
      <c r="EE247" s="36" t="s">
        <v>322</v>
      </c>
      <c r="EF247" s="36" t="str">
        <f>Tabulacao!MC247</f>
        <v>Itabaiana</v>
      </c>
      <c r="EG247" s="36" t="s">
        <v>292</v>
      </c>
      <c r="EH247" s="36" t="str">
        <f>Tabulacao!MG247</f>
        <v>Aracaju</v>
      </c>
      <c r="EI247" s="36" t="s">
        <v>292</v>
      </c>
      <c r="EJ247" s="36" t="str">
        <f>Tabulacao!MK247</f>
        <v>Aracaju</v>
      </c>
      <c r="EK247" s="36" t="s">
        <v>134</v>
      </c>
      <c r="EL247" s="36" t="s">
        <v>134</v>
      </c>
      <c r="EM247" s="36" t="s">
        <v>134</v>
      </c>
      <c r="EN247" s="36" t="s">
        <v>134</v>
      </c>
      <c r="EO247" s="36" t="s">
        <v>134</v>
      </c>
      <c r="EP247" s="36" t="s">
        <v>134</v>
      </c>
      <c r="EQ247" s="36" t="s">
        <v>275</v>
      </c>
      <c r="ER247" s="36" t="str">
        <f>IF(OR(EQ247=CaractAmostra!$BD$9,EQ247=CaractAmostra!$BD$10,EQ247=CaractAmostra!$BD$11,EQ247=CaractAmostra!$BD$12,EQ247=CaractAmostra!$BD$13),Respostas_Formatadas!EQ247,"Outros")</f>
        <v>Com os pais</v>
      </c>
      <c r="ES247" s="36" t="s">
        <v>275</v>
      </c>
      <c r="ET247" s="36" t="str">
        <f>IF(OR(ES247=CaractAmostra!$BH$9,ES247=CaractAmostra!$BH$10,ES247=CaractAmostra!$BH$11,ES247=CaractAmostra!$BH$12),Respostas_Formatadas!ES247,"Outros")</f>
        <v>Com os pais</v>
      </c>
      <c r="EU247" s="36" t="s">
        <v>134</v>
      </c>
      <c r="EV247" s="36" t="s">
        <v>192</v>
      </c>
      <c r="EW247" s="36" t="s">
        <v>283</v>
      </c>
      <c r="FE247" s="47">
        <v>2018</v>
      </c>
      <c r="FF247" s="97">
        <v>6.9531000000000001</v>
      </c>
      <c r="FG247" s="47">
        <v>2017</v>
      </c>
      <c r="FH247" s="47">
        <f t="shared" si="11"/>
        <v>-1</v>
      </c>
      <c r="FI247" s="47" t="str">
        <f t="shared" si="8"/>
        <v>Aracaju</v>
      </c>
      <c r="FJ247" s="47" t="str">
        <f t="shared" si="9"/>
        <v>Bacharelado</v>
      </c>
    </row>
    <row r="248" spans="1:166" s="36" customFormat="1" ht="15.75" customHeight="1" x14ac:dyDescent="0.2">
      <c r="A248" s="38">
        <v>43426.495032349536</v>
      </c>
      <c r="B248" s="41"/>
      <c r="C248" s="36" t="s">
        <v>125</v>
      </c>
      <c r="D248" s="47" t="s">
        <v>134</v>
      </c>
      <c r="M248" s="36" t="s">
        <v>146</v>
      </c>
      <c r="N248" s="36" t="s">
        <v>134</v>
      </c>
      <c r="O248" s="36" t="s">
        <v>133</v>
      </c>
      <c r="P248" s="36" t="s">
        <v>134</v>
      </c>
      <c r="Q248" s="36" t="s">
        <v>133</v>
      </c>
      <c r="R248" s="36" t="s">
        <v>151</v>
      </c>
      <c r="Y248" s="36" t="s">
        <v>166</v>
      </c>
      <c r="AC248" s="36" t="s">
        <v>178</v>
      </c>
      <c r="AD248" s="36" t="s">
        <v>863</v>
      </c>
      <c r="AE248" s="36">
        <v>5</v>
      </c>
      <c r="AF248" s="36" t="s">
        <v>188</v>
      </c>
      <c r="AG248" s="36" t="s">
        <v>188</v>
      </c>
      <c r="AH248" s="36" t="s">
        <v>134</v>
      </c>
      <c r="AI248" s="40">
        <v>1000</v>
      </c>
      <c r="AJ248" s="36">
        <v>5</v>
      </c>
      <c r="AK248" s="36">
        <v>5</v>
      </c>
      <c r="AL248" s="36" t="s">
        <v>133</v>
      </c>
      <c r="AP248" s="36" t="s">
        <v>864</v>
      </c>
      <c r="AQ248" s="40">
        <v>1000</v>
      </c>
      <c r="AR248" s="36">
        <v>3</v>
      </c>
      <c r="AS248" s="36">
        <v>5</v>
      </c>
      <c r="AT248" s="36">
        <v>5</v>
      </c>
      <c r="AU248" s="36">
        <v>3</v>
      </c>
      <c r="AV248" s="36">
        <v>3</v>
      </c>
      <c r="AW248" s="36" t="s">
        <v>196</v>
      </c>
      <c r="AX248" s="36" t="s">
        <v>204</v>
      </c>
      <c r="AY248" s="36" t="s">
        <v>210</v>
      </c>
      <c r="AZ248" s="36" t="s">
        <v>134</v>
      </c>
      <c r="BA248" s="36" t="s">
        <v>212</v>
      </c>
      <c r="BB248" s="36" t="s">
        <v>372</v>
      </c>
      <c r="BC248" s="36" t="s">
        <v>292</v>
      </c>
      <c r="BD248" s="36" t="s">
        <v>188</v>
      </c>
      <c r="BF248" s="36" t="s">
        <v>218</v>
      </c>
      <c r="BG248" s="36">
        <v>4</v>
      </c>
      <c r="BH248" s="36">
        <v>5</v>
      </c>
      <c r="BI248" s="36">
        <v>4</v>
      </c>
      <c r="BJ248" s="36">
        <v>5</v>
      </c>
      <c r="BK248" s="36">
        <v>5</v>
      </c>
      <c r="BL248" s="36">
        <v>5</v>
      </c>
      <c r="BM248" s="36">
        <v>5</v>
      </c>
      <c r="BN248" s="36">
        <v>5</v>
      </c>
      <c r="BO248" s="36">
        <v>5</v>
      </c>
      <c r="BP248" s="36">
        <v>5</v>
      </c>
      <c r="BQ248" s="36">
        <v>5</v>
      </c>
      <c r="BR248" s="36">
        <v>4</v>
      </c>
      <c r="BS248" s="36">
        <v>3</v>
      </c>
      <c r="BT248" s="36">
        <v>5</v>
      </c>
      <c r="BU248" s="36">
        <v>5</v>
      </c>
      <c r="BV248" s="36">
        <v>4</v>
      </c>
      <c r="BW248" s="36">
        <v>5</v>
      </c>
      <c r="BX248" s="36">
        <v>5</v>
      </c>
      <c r="BY248" s="36">
        <v>5</v>
      </c>
      <c r="BZ248" s="36">
        <v>5</v>
      </c>
      <c r="CA248" s="36">
        <v>5</v>
      </c>
      <c r="CB248" s="36">
        <v>5</v>
      </c>
      <c r="CC248" s="36">
        <v>5</v>
      </c>
      <c r="CD248" s="36">
        <v>5</v>
      </c>
      <c r="CE248" s="36">
        <v>4</v>
      </c>
      <c r="CF248" s="36">
        <v>3</v>
      </c>
      <c r="CG248" s="36">
        <v>4</v>
      </c>
      <c r="CH248" s="36" t="s">
        <v>222</v>
      </c>
      <c r="CI248"/>
      <c r="CJ248"/>
      <c r="CK248" s="36" t="s">
        <v>235</v>
      </c>
      <c r="CL248"/>
      <c r="CM248"/>
      <c r="CN248" s="36" t="s">
        <v>242</v>
      </c>
      <c r="CO248" s="36" t="s">
        <v>134</v>
      </c>
      <c r="CP248" s="36">
        <v>3</v>
      </c>
      <c r="CQ248" s="36">
        <v>4</v>
      </c>
      <c r="CR248" s="36" t="s">
        <v>248</v>
      </c>
      <c r="CS248" s="36">
        <v>4</v>
      </c>
      <c r="CT248" s="36">
        <v>4</v>
      </c>
      <c r="CU248" s="36">
        <v>4</v>
      </c>
      <c r="CV248" s="36">
        <v>5</v>
      </c>
      <c r="CW248" s="36">
        <v>5</v>
      </c>
      <c r="CX248" s="36">
        <v>4</v>
      </c>
      <c r="CY248" s="36">
        <v>4</v>
      </c>
      <c r="CZ248" s="36">
        <v>4</v>
      </c>
      <c r="DA248" s="36">
        <v>4</v>
      </c>
      <c r="DB248" s="36">
        <v>4</v>
      </c>
      <c r="DC248" s="36">
        <v>4</v>
      </c>
      <c r="DD248" s="36">
        <v>5</v>
      </c>
      <c r="DE248" s="36">
        <v>5</v>
      </c>
      <c r="DF248" s="36">
        <v>5</v>
      </c>
      <c r="DG248" s="36">
        <v>5</v>
      </c>
      <c r="DH248" s="36">
        <v>4</v>
      </c>
      <c r="DI248" s="36" t="s">
        <v>250</v>
      </c>
      <c r="DJ248" s="36" t="s">
        <v>133</v>
      </c>
      <c r="DK248" s="36" t="s">
        <v>256</v>
      </c>
      <c r="DL248"/>
      <c r="DM248"/>
      <c r="DN248"/>
      <c r="DO248"/>
      <c r="DP248"/>
      <c r="DQ248" s="36">
        <v>4</v>
      </c>
      <c r="DR248" s="36" t="s">
        <v>134</v>
      </c>
      <c r="DT248"/>
      <c r="DU248"/>
      <c r="DV248"/>
      <c r="DW248"/>
      <c r="DX248"/>
      <c r="DZ248" s="36" t="s">
        <v>134</v>
      </c>
      <c r="EB248" s="36" t="s">
        <v>263</v>
      </c>
      <c r="EC248" s="36" t="s">
        <v>267</v>
      </c>
      <c r="ED248" s="36">
        <v>23</v>
      </c>
      <c r="EE248" s="36" t="s">
        <v>304</v>
      </c>
      <c r="EF248" s="36" t="str">
        <f>Tabulacao!MC248</f>
        <v>Aracaju</v>
      </c>
      <c r="EG248" s="36" t="s">
        <v>304</v>
      </c>
      <c r="EH248" s="36" t="str">
        <f>Tabulacao!MG248</f>
        <v>Aracaju</v>
      </c>
      <c r="EI248" s="36" t="s">
        <v>304</v>
      </c>
      <c r="EJ248" s="36" t="str">
        <f>Tabulacao!MK248</f>
        <v>Aracaju</v>
      </c>
      <c r="EK248" s="36" t="s">
        <v>134</v>
      </c>
      <c r="EL248" s="36" t="s">
        <v>134</v>
      </c>
      <c r="EM248" s="36" t="s">
        <v>134</v>
      </c>
      <c r="EN248" s="36" t="s">
        <v>134</v>
      </c>
      <c r="EO248" s="36" t="s">
        <v>134</v>
      </c>
      <c r="EP248" s="36" t="s">
        <v>134</v>
      </c>
      <c r="EQ248" s="36" t="s">
        <v>275</v>
      </c>
      <c r="ER248" s="36" t="str">
        <f>IF(OR(EQ248=CaractAmostra!$BD$9,EQ248=CaractAmostra!$BD$10,EQ248=CaractAmostra!$BD$11,EQ248=CaractAmostra!$BD$12,EQ248=CaractAmostra!$BD$13),Respostas_Formatadas!EQ248,"Outros")</f>
        <v>Com os pais</v>
      </c>
      <c r="ES248" s="36" t="s">
        <v>275</v>
      </c>
      <c r="ET248" s="36" t="str">
        <f>IF(OR(ES248=CaractAmostra!$BH$9,ES248=CaractAmostra!$BH$10,ES248=CaractAmostra!$BH$11,ES248=CaractAmostra!$BH$12),Respostas_Formatadas!ES248,"Outros")</f>
        <v>Com os pais</v>
      </c>
      <c r="EU248" s="36" t="s">
        <v>134</v>
      </c>
      <c r="EV248" s="36" t="s">
        <v>282</v>
      </c>
      <c r="EW248" s="36" t="s">
        <v>286</v>
      </c>
      <c r="FD248" s="36" t="s">
        <v>865</v>
      </c>
      <c r="FE248" s="47">
        <v>2018</v>
      </c>
      <c r="FF248" s="97">
        <v>7.6028000000000002</v>
      </c>
      <c r="FG248" s="47">
        <v>2017</v>
      </c>
      <c r="FH248" s="47">
        <f t="shared" si="11"/>
        <v>-1</v>
      </c>
      <c r="FI248" s="47" t="str">
        <f t="shared" si="8"/>
        <v>Aracaju</v>
      </c>
      <c r="FJ248" s="47" t="str">
        <f t="shared" si="9"/>
        <v>Tecnologia</v>
      </c>
    </row>
    <row r="249" spans="1:166" s="36" customFormat="1" ht="15.75" customHeight="1" x14ac:dyDescent="0.2">
      <c r="A249" s="38">
        <v>43426.510781585646</v>
      </c>
      <c r="B249" s="41"/>
      <c r="C249" s="36" t="s">
        <v>119</v>
      </c>
      <c r="D249" s="47" t="s">
        <v>134</v>
      </c>
      <c r="M249" s="36" t="s">
        <v>146</v>
      </c>
      <c r="N249" s="36" t="s">
        <v>133</v>
      </c>
      <c r="O249" s="36" t="s">
        <v>133</v>
      </c>
      <c r="P249" s="36" t="s">
        <v>133</v>
      </c>
      <c r="Q249" s="36" t="s">
        <v>134</v>
      </c>
      <c r="R249" s="36" t="s">
        <v>151</v>
      </c>
      <c r="Y249" s="36" t="s">
        <v>134</v>
      </c>
      <c r="AI249" s="40"/>
      <c r="AQ249" s="40"/>
      <c r="BT249" s="36">
        <v>4</v>
      </c>
      <c r="BU249" s="36">
        <v>4</v>
      </c>
      <c r="BV249" s="36">
        <v>5</v>
      </c>
      <c r="BW249" s="36">
        <v>4</v>
      </c>
      <c r="BX249" s="36">
        <v>3</v>
      </c>
      <c r="BY249" s="36">
        <v>5</v>
      </c>
      <c r="BZ249" s="36">
        <v>4</v>
      </c>
      <c r="CA249" s="36">
        <v>5</v>
      </c>
      <c r="CB249" s="36">
        <v>5</v>
      </c>
      <c r="CC249" s="36">
        <v>4</v>
      </c>
      <c r="CD249" s="36">
        <v>3</v>
      </c>
      <c r="CE249" s="36">
        <v>3</v>
      </c>
      <c r="CF249" s="36">
        <v>2</v>
      </c>
      <c r="CG249" s="36">
        <v>2</v>
      </c>
      <c r="CH249" s="36" t="s">
        <v>222</v>
      </c>
      <c r="CI249" t="s">
        <v>225</v>
      </c>
      <c r="CJ249" t="s">
        <v>229</v>
      </c>
      <c r="CK249" s="36" t="s">
        <v>233</v>
      </c>
      <c r="CL249" t="s">
        <v>234</v>
      </c>
      <c r="CM249"/>
      <c r="CN249" s="36" t="s">
        <v>246</v>
      </c>
      <c r="CO249" s="36" t="s">
        <v>134</v>
      </c>
      <c r="CP249" s="36">
        <v>3</v>
      </c>
      <c r="CQ249" s="36">
        <v>4</v>
      </c>
      <c r="CR249" s="36" t="s">
        <v>248</v>
      </c>
      <c r="CS249" s="36">
        <v>3</v>
      </c>
      <c r="CT249" s="36">
        <v>4</v>
      </c>
      <c r="CU249" s="36">
        <v>2</v>
      </c>
      <c r="CV249" s="36">
        <v>1</v>
      </c>
      <c r="CW249" s="36">
        <v>2</v>
      </c>
      <c r="CX249" s="36">
        <v>4</v>
      </c>
      <c r="CY249" s="36">
        <v>3</v>
      </c>
      <c r="CZ249" s="36">
        <v>3</v>
      </c>
      <c r="DA249" s="36">
        <v>4</v>
      </c>
      <c r="DB249" s="36">
        <v>2</v>
      </c>
      <c r="DC249" s="36">
        <v>2</v>
      </c>
      <c r="DD249" s="36">
        <v>4</v>
      </c>
      <c r="DE249" s="36">
        <v>4</v>
      </c>
      <c r="DF249" s="36">
        <v>3</v>
      </c>
      <c r="DG249" s="36">
        <v>5</v>
      </c>
      <c r="DH249" s="36">
        <v>4</v>
      </c>
      <c r="DI249" s="36" t="s">
        <v>253</v>
      </c>
      <c r="DJ249" s="36" t="s">
        <v>134</v>
      </c>
      <c r="DL249"/>
      <c r="DM249"/>
      <c r="DN249"/>
      <c r="DO249"/>
      <c r="DP249"/>
      <c r="DR249" s="36" t="s">
        <v>133</v>
      </c>
      <c r="DS249" s="36" t="s">
        <v>259</v>
      </c>
      <c r="DT249"/>
      <c r="DU249"/>
      <c r="DV249"/>
      <c r="DW249"/>
      <c r="DX249"/>
      <c r="DY249" s="36">
        <v>5</v>
      </c>
      <c r="DZ249" s="36" t="s">
        <v>133</v>
      </c>
      <c r="EA249" s="36">
        <v>5</v>
      </c>
      <c r="EB249" s="36" t="s">
        <v>262</v>
      </c>
      <c r="EC249" s="36" t="s">
        <v>267</v>
      </c>
      <c r="ED249" s="36">
        <v>29</v>
      </c>
      <c r="EE249" s="36" t="s">
        <v>866</v>
      </c>
      <c r="EF249" s="36" t="str">
        <f>Tabulacao!MC249</f>
        <v>Araci - BA</v>
      </c>
      <c r="EG249" s="36" t="s">
        <v>292</v>
      </c>
      <c r="EH249" s="36" t="str">
        <f>Tabulacao!MG249</f>
        <v>Aracaju</v>
      </c>
      <c r="EI249" s="36" t="s">
        <v>866</v>
      </c>
      <c r="EJ249" s="36" t="str">
        <f>Tabulacao!MK249</f>
        <v>Araci - BA</v>
      </c>
      <c r="EK249" s="36" t="s">
        <v>134</v>
      </c>
      <c r="EL249" s="36" t="s">
        <v>134</v>
      </c>
      <c r="EM249" s="36" t="s">
        <v>134</v>
      </c>
      <c r="EN249" s="36" t="s">
        <v>134</v>
      </c>
      <c r="EO249" s="36" t="s">
        <v>134</v>
      </c>
      <c r="EP249" s="36" t="s">
        <v>134</v>
      </c>
      <c r="EQ249" s="36" t="s">
        <v>273</v>
      </c>
      <c r="ER249" s="36" t="str">
        <f>IF(OR(EQ249=CaractAmostra!$BD$9,EQ249=CaractAmostra!$BD$10,EQ249=CaractAmostra!$BD$11,EQ249=CaractAmostra!$BD$12,EQ249=CaractAmostra!$BD$13),Respostas_Formatadas!EQ249,"Outros")</f>
        <v>Dividia residência com outras pessoas</v>
      </c>
      <c r="ES249" s="36" t="s">
        <v>275</v>
      </c>
      <c r="ET249" s="36" t="str">
        <f>IF(OR(ES249=CaractAmostra!$BH$9,ES249=CaractAmostra!$BH$10,ES249=CaractAmostra!$BH$11,ES249=CaractAmostra!$BH$12),Respostas_Formatadas!ES249,"Outros")</f>
        <v>Com os pais</v>
      </c>
      <c r="EU249" s="36" t="s">
        <v>134</v>
      </c>
      <c r="EV249" s="36" t="s">
        <v>287</v>
      </c>
      <c r="EW249" s="36" t="s">
        <v>284</v>
      </c>
      <c r="FD249" s="36" t="s">
        <v>867</v>
      </c>
      <c r="FE249" s="47">
        <v>2018</v>
      </c>
      <c r="FF249" s="97">
        <v>6.4245999999999999</v>
      </c>
      <c r="FG249" s="47">
        <v>2018</v>
      </c>
      <c r="FH249" s="47">
        <f t="shared" si="11"/>
        <v>0</v>
      </c>
      <c r="FI249" s="47" t="str">
        <f t="shared" si="8"/>
        <v>Aracaju</v>
      </c>
      <c r="FJ249" s="47" t="str">
        <f t="shared" si="9"/>
        <v>Bacharelado</v>
      </c>
    </row>
    <row r="250" spans="1:166" s="36" customFormat="1" ht="15.75" customHeight="1" x14ac:dyDescent="0.2">
      <c r="A250" s="38">
        <v>43426.543031817127</v>
      </c>
      <c r="B250" s="41"/>
      <c r="C250" s="36" t="s">
        <v>120</v>
      </c>
      <c r="D250" s="47" t="s">
        <v>133</v>
      </c>
      <c r="E250" s="36" t="s">
        <v>138</v>
      </c>
      <c r="H250" s="36" t="s">
        <v>142</v>
      </c>
      <c r="I250" s="36" t="s">
        <v>144</v>
      </c>
      <c r="M250" s="36" t="s">
        <v>147</v>
      </c>
      <c r="N250" s="36" t="s">
        <v>133</v>
      </c>
      <c r="O250" s="36" t="s">
        <v>133</v>
      </c>
      <c r="P250" s="36" t="s">
        <v>133</v>
      </c>
      <c r="Q250" s="36" t="s">
        <v>133</v>
      </c>
      <c r="R250" s="36" t="s">
        <v>151</v>
      </c>
      <c r="Y250" s="36" t="s">
        <v>166</v>
      </c>
      <c r="AC250" s="36" t="s">
        <v>185</v>
      </c>
      <c r="AD250" s="36" t="s">
        <v>868</v>
      </c>
      <c r="AE250" s="36">
        <v>5</v>
      </c>
      <c r="AF250" s="36" t="s">
        <v>189</v>
      </c>
      <c r="AG250" s="36" t="s">
        <v>189</v>
      </c>
      <c r="AH250" s="36" t="s">
        <v>134</v>
      </c>
      <c r="AI250" s="40">
        <v>2000</v>
      </c>
      <c r="AJ250" s="36">
        <v>4</v>
      </c>
      <c r="AK250" s="36">
        <v>5</v>
      </c>
      <c r="AL250" s="36" t="s">
        <v>134</v>
      </c>
      <c r="AM250" s="36" t="s">
        <v>168</v>
      </c>
      <c r="AN250" s="36">
        <v>2</v>
      </c>
      <c r="AO250" s="36" t="s">
        <v>133</v>
      </c>
      <c r="AP250" s="36" t="s">
        <v>869</v>
      </c>
      <c r="AQ250" s="40">
        <v>3000</v>
      </c>
      <c r="AR250" s="36">
        <v>4</v>
      </c>
      <c r="AS250" s="36">
        <v>3</v>
      </c>
      <c r="AT250" s="36">
        <v>3</v>
      </c>
      <c r="AU250" s="36">
        <v>4</v>
      </c>
      <c r="AV250" s="36">
        <v>5</v>
      </c>
      <c r="AW250" s="36" t="s">
        <v>192</v>
      </c>
      <c r="AX250" s="36" t="s">
        <v>205</v>
      </c>
      <c r="AY250" s="36" t="s">
        <v>208</v>
      </c>
      <c r="AZ250" s="36" t="s">
        <v>133</v>
      </c>
      <c r="BA250" s="36" t="s">
        <v>167</v>
      </c>
      <c r="BB250" s="36" t="s">
        <v>292</v>
      </c>
      <c r="BC250" s="36" t="s">
        <v>292</v>
      </c>
      <c r="BD250" s="36" t="s">
        <v>189</v>
      </c>
      <c r="BF250" s="36" t="s">
        <v>219</v>
      </c>
      <c r="BG250" s="36">
        <v>5</v>
      </c>
      <c r="BH250" s="36">
        <v>3</v>
      </c>
      <c r="BI250" s="36">
        <v>5</v>
      </c>
      <c r="BJ250" s="36">
        <v>3</v>
      </c>
      <c r="BK250" s="36">
        <v>3</v>
      </c>
      <c r="BL250" s="36">
        <v>5</v>
      </c>
      <c r="BM250" s="36">
        <v>5</v>
      </c>
      <c r="BN250" s="36">
        <v>5</v>
      </c>
      <c r="BO250" s="36">
        <v>5</v>
      </c>
      <c r="BP250" s="36">
        <v>4</v>
      </c>
      <c r="BQ250" s="36">
        <v>5</v>
      </c>
      <c r="BR250" s="36">
        <v>3</v>
      </c>
      <c r="BS250" s="36">
        <v>4</v>
      </c>
      <c r="BT250" s="36">
        <v>3</v>
      </c>
      <c r="BU250" s="36">
        <v>3</v>
      </c>
      <c r="BV250" s="36">
        <v>3</v>
      </c>
      <c r="BW250" s="36">
        <v>3</v>
      </c>
      <c r="BX250" s="36">
        <v>3</v>
      </c>
      <c r="BY250" s="36">
        <v>4</v>
      </c>
      <c r="BZ250" s="36">
        <v>4</v>
      </c>
      <c r="CA250" s="36">
        <v>5</v>
      </c>
      <c r="CB250" s="36">
        <v>3</v>
      </c>
      <c r="CC250" s="36">
        <v>4</v>
      </c>
      <c r="CD250" s="36">
        <v>3</v>
      </c>
      <c r="CE250" s="36">
        <v>3</v>
      </c>
      <c r="CF250" s="36">
        <v>2</v>
      </c>
      <c r="CG250" s="36">
        <v>5</v>
      </c>
      <c r="CH250" s="36" t="s">
        <v>225</v>
      </c>
      <c r="CI250" t="s">
        <v>226</v>
      </c>
      <c r="CJ250" t="s">
        <v>229</v>
      </c>
      <c r="CK250" s="36" t="s">
        <v>239</v>
      </c>
      <c r="CL250"/>
      <c r="CM250"/>
      <c r="CN250" s="36" t="s">
        <v>242</v>
      </c>
      <c r="CO250" s="36" t="s">
        <v>134</v>
      </c>
      <c r="CP250" s="36">
        <v>3</v>
      </c>
      <c r="CQ250" s="36">
        <v>4</v>
      </c>
      <c r="CR250" s="36" t="s">
        <v>249</v>
      </c>
      <c r="CS250" s="36">
        <v>3</v>
      </c>
      <c r="CT250" s="36">
        <v>2</v>
      </c>
      <c r="CU250" s="36">
        <v>4</v>
      </c>
      <c r="CV250" s="36">
        <v>1</v>
      </c>
      <c r="CW250" s="36">
        <v>3</v>
      </c>
      <c r="CX250" s="36">
        <v>3</v>
      </c>
      <c r="CY250" s="36">
        <v>3</v>
      </c>
      <c r="CZ250" s="36">
        <v>5</v>
      </c>
      <c r="DA250" s="36">
        <v>2</v>
      </c>
      <c r="DB250" s="36">
        <v>2</v>
      </c>
      <c r="DC250" s="36">
        <v>3</v>
      </c>
      <c r="DD250" s="36">
        <v>3</v>
      </c>
      <c r="DE250" s="36">
        <v>3</v>
      </c>
      <c r="DF250" s="36">
        <v>4</v>
      </c>
      <c r="DG250" s="36">
        <v>4</v>
      </c>
      <c r="DH250" s="36">
        <v>2</v>
      </c>
      <c r="DI250" s="36" t="s">
        <v>133</v>
      </c>
      <c r="DJ250" s="36" t="s">
        <v>133</v>
      </c>
      <c r="DK250" s="36" t="s">
        <v>255</v>
      </c>
      <c r="DL250"/>
      <c r="DM250"/>
      <c r="DN250"/>
      <c r="DO250"/>
      <c r="DP250"/>
      <c r="DQ250" s="36">
        <v>5</v>
      </c>
      <c r="DR250" s="36" t="s">
        <v>133</v>
      </c>
      <c r="DS250" s="36" t="s">
        <v>259</v>
      </c>
      <c r="DT250"/>
      <c r="DU250"/>
      <c r="DV250"/>
      <c r="DW250"/>
      <c r="DX250"/>
      <c r="DY250" s="36">
        <v>5</v>
      </c>
      <c r="DZ250" s="36" t="s">
        <v>133</v>
      </c>
      <c r="EA250" s="36">
        <v>3</v>
      </c>
      <c r="EB250" s="36" t="s">
        <v>262</v>
      </c>
      <c r="EC250" s="36" t="s">
        <v>267</v>
      </c>
      <c r="ED250" s="36">
        <v>32</v>
      </c>
      <c r="EE250" s="36" t="s">
        <v>341</v>
      </c>
      <c r="EF250" s="36" t="str">
        <f>Tabulacao!MC250</f>
        <v>Salgado</v>
      </c>
      <c r="EG250" s="36" t="s">
        <v>341</v>
      </c>
      <c r="EH250" s="36" t="str">
        <f>Tabulacao!MG250</f>
        <v>Salgado</v>
      </c>
      <c r="EI250" s="36" t="s">
        <v>292</v>
      </c>
      <c r="EJ250" s="36" t="str">
        <f>Tabulacao!MK250</f>
        <v>Aracaju</v>
      </c>
      <c r="EK250" s="36" t="s">
        <v>134</v>
      </c>
      <c r="EL250" s="36" t="s">
        <v>134</v>
      </c>
      <c r="EM250" s="36" t="s">
        <v>134</v>
      </c>
      <c r="EN250" s="36" t="s">
        <v>134</v>
      </c>
      <c r="EO250" s="36" t="s">
        <v>134</v>
      </c>
      <c r="EP250" s="36" t="s">
        <v>134</v>
      </c>
      <c r="EQ250" s="36" t="s">
        <v>275</v>
      </c>
      <c r="ER250" s="36" t="str">
        <f>IF(OR(EQ250=CaractAmostra!$BD$9,EQ250=CaractAmostra!$BD$10,EQ250=CaractAmostra!$BD$11,EQ250=CaractAmostra!$BD$12,EQ250=CaractAmostra!$BD$13),Respostas_Formatadas!EQ250,"Outros")</f>
        <v>Com os pais</v>
      </c>
      <c r="ES250" s="36" t="s">
        <v>278</v>
      </c>
      <c r="ET250" s="36" t="str">
        <f>IF(OR(ES250=CaractAmostra!$BH$9,ES250=CaractAmostra!$BH$10,ES250=CaractAmostra!$BH$11,ES250=CaractAmostra!$BH$12),Respostas_Formatadas!ES250,"Outros")</f>
        <v>Divido residência com outras pessoas</v>
      </c>
      <c r="EU250" s="36" t="s">
        <v>134</v>
      </c>
      <c r="EV250" s="36" t="s">
        <v>282</v>
      </c>
      <c r="EW250" s="36" t="s">
        <v>282</v>
      </c>
      <c r="FE250" s="47">
        <v>2017</v>
      </c>
      <c r="FF250" s="97">
        <v>6.9081999999999999</v>
      </c>
      <c r="FG250" s="47">
        <v>2017</v>
      </c>
      <c r="FH250" s="47">
        <f t="shared" si="11"/>
        <v>0</v>
      </c>
      <c r="FI250" s="47" t="str">
        <f t="shared" si="8"/>
        <v>Lagarto</v>
      </c>
      <c r="FJ250" s="47" t="str">
        <f t="shared" si="9"/>
        <v>Bacharelado</v>
      </c>
    </row>
    <row r="251" spans="1:166" s="36" customFormat="1" ht="15.75" customHeight="1" x14ac:dyDescent="0.2">
      <c r="A251" s="38">
        <v>43426.559936180551</v>
      </c>
      <c r="B251" s="41"/>
      <c r="C251" s="36" t="s">
        <v>124</v>
      </c>
      <c r="D251" s="47" t="s">
        <v>134</v>
      </c>
      <c r="M251" s="36" t="s">
        <v>146</v>
      </c>
      <c r="N251" s="36" t="s">
        <v>134</v>
      </c>
      <c r="O251" s="36" t="s">
        <v>134</v>
      </c>
      <c r="P251" s="36" t="s">
        <v>133</v>
      </c>
      <c r="Q251" s="36" t="s">
        <v>133</v>
      </c>
      <c r="R251" s="36" t="s">
        <v>151</v>
      </c>
      <c r="Y251" s="36" t="s">
        <v>165</v>
      </c>
      <c r="Z251" s="36" t="s">
        <v>167</v>
      </c>
      <c r="AA251" s="36" t="s">
        <v>172</v>
      </c>
      <c r="AB251" s="36" t="s">
        <v>178</v>
      </c>
      <c r="AD251" s="36" t="s">
        <v>870</v>
      </c>
      <c r="AE251" s="36">
        <v>2</v>
      </c>
      <c r="AF251" s="36" t="s">
        <v>188</v>
      </c>
      <c r="AG251" s="36" t="s">
        <v>188</v>
      </c>
      <c r="AH251" s="36" t="s">
        <v>134</v>
      </c>
      <c r="AI251" s="40">
        <v>937</v>
      </c>
      <c r="AJ251" s="36">
        <v>2</v>
      </c>
      <c r="AK251" s="36">
        <v>2</v>
      </c>
      <c r="AL251" s="36" t="s">
        <v>133</v>
      </c>
      <c r="AP251" s="36" t="s">
        <v>870</v>
      </c>
      <c r="AQ251" s="40">
        <v>937</v>
      </c>
      <c r="AR251" s="36">
        <v>1</v>
      </c>
      <c r="AS251" s="36">
        <v>1</v>
      </c>
      <c r="AT251" s="36">
        <v>1</v>
      </c>
      <c r="AU251" s="36">
        <v>1</v>
      </c>
      <c r="AV251" s="36">
        <v>1</v>
      </c>
      <c r="AW251" s="36" t="s">
        <v>193</v>
      </c>
      <c r="AX251" s="36" t="s">
        <v>206</v>
      </c>
      <c r="AY251" s="36" t="s">
        <v>210</v>
      </c>
      <c r="AZ251" s="36" t="s">
        <v>133</v>
      </c>
      <c r="BA251" s="36" t="s">
        <v>213</v>
      </c>
      <c r="BB251" s="36" t="s">
        <v>304</v>
      </c>
      <c r="BC251" s="36" t="s">
        <v>292</v>
      </c>
      <c r="BD251" s="36" t="s">
        <v>188</v>
      </c>
      <c r="BF251" s="36" t="s">
        <v>221</v>
      </c>
      <c r="BG251" s="36">
        <v>1</v>
      </c>
      <c r="BH251" s="36">
        <v>5</v>
      </c>
      <c r="BI251" s="36">
        <v>5</v>
      </c>
      <c r="BJ251" s="36">
        <v>5</v>
      </c>
      <c r="BK251" s="36">
        <v>5</v>
      </c>
      <c r="BL251" s="36">
        <v>5</v>
      </c>
      <c r="BM251" s="36">
        <v>5</v>
      </c>
      <c r="BN251" s="36">
        <v>5</v>
      </c>
      <c r="BO251" s="36">
        <v>5</v>
      </c>
      <c r="BP251" s="36">
        <v>5</v>
      </c>
      <c r="BQ251" s="36">
        <v>5</v>
      </c>
      <c r="BR251" s="36">
        <v>2</v>
      </c>
      <c r="BS251" s="36">
        <v>2</v>
      </c>
      <c r="BT251" s="36">
        <v>2</v>
      </c>
      <c r="BU251" s="36">
        <v>1</v>
      </c>
      <c r="BV251" s="36">
        <v>5</v>
      </c>
      <c r="BW251" s="36">
        <v>5</v>
      </c>
      <c r="BX251" s="36">
        <v>2</v>
      </c>
      <c r="BY251" s="36">
        <v>5</v>
      </c>
      <c r="BZ251" s="36">
        <v>5</v>
      </c>
      <c r="CA251" s="36">
        <v>5</v>
      </c>
      <c r="CB251" s="36">
        <v>2</v>
      </c>
      <c r="CC251" s="36">
        <v>1</v>
      </c>
      <c r="CD251" s="36">
        <v>2</v>
      </c>
      <c r="CE251" s="36">
        <v>2</v>
      </c>
      <c r="CF251" s="36">
        <v>2</v>
      </c>
      <c r="CG251" s="36">
        <v>1</v>
      </c>
      <c r="CH251" s="36" t="s">
        <v>222</v>
      </c>
      <c r="CI251" t="s">
        <v>229</v>
      </c>
      <c r="CJ251" t="s">
        <v>230</v>
      </c>
      <c r="CK251" s="36" t="s">
        <v>232</v>
      </c>
      <c r="CL251" t="s">
        <v>239</v>
      </c>
      <c r="CM251" t="s">
        <v>1028</v>
      </c>
      <c r="CN251" s="36" t="s">
        <v>242</v>
      </c>
      <c r="CO251" s="36" t="s">
        <v>134</v>
      </c>
      <c r="CP251" s="36">
        <v>3</v>
      </c>
      <c r="CQ251" s="36">
        <v>3</v>
      </c>
      <c r="CR251" s="36" t="s">
        <v>249</v>
      </c>
      <c r="CS251" s="36">
        <v>4</v>
      </c>
      <c r="CT251" s="36">
        <v>1</v>
      </c>
      <c r="CU251" s="36">
        <v>1</v>
      </c>
      <c r="CV251" s="36">
        <v>1</v>
      </c>
      <c r="CW251" s="36">
        <v>1</v>
      </c>
      <c r="CX251" s="36">
        <v>4</v>
      </c>
      <c r="CY251" s="36">
        <v>4</v>
      </c>
      <c r="CZ251" s="36">
        <v>3</v>
      </c>
      <c r="DA251" s="36">
        <v>4</v>
      </c>
      <c r="DB251" s="36">
        <v>3</v>
      </c>
      <c r="DC251" s="36">
        <v>3</v>
      </c>
      <c r="DD251" s="36">
        <v>3</v>
      </c>
      <c r="DE251" s="36">
        <v>3</v>
      </c>
      <c r="DF251" s="36">
        <v>3</v>
      </c>
      <c r="DG251" s="36">
        <v>4</v>
      </c>
      <c r="DH251" s="36">
        <v>4</v>
      </c>
      <c r="DI251" s="36" t="s">
        <v>250</v>
      </c>
      <c r="DJ251" s="36" t="s">
        <v>133</v>
      </c>
      <c r="DK251" s="36" t="s">
        <v>871</v>
      </c>
      <c r="DL251"/>
      <c r="DM251"/>
      <c r="DN251"/>
      <c r="DO251"/>
      <c r="DP251"/>
      <c r="DQ251" s="36">
        <v>4</v>
      </c>
      <c r="DR251" s="36" t="s">
        <v>134</v>
      </c>
      <c r="DT251"/>
      <c r="DU251"/>
      <c r="DV251"/>
      <c r="DW251"/>
      <c r="DX251"/>
      <c r="DZ251" s="36" t="s">
        <v>133</v>
      </c>
      <c r="EA251" s="36">
        <v>5</v>
      </c>
      <c r="EB251" s="36" t="s">
        <v>262</v>
      </c>
      <c r="EC251" s="36" t="s">
        <v>265</v>
      </c>
      <c r="ED251" s="36">
        <v>33</v>
      </c>
      <c r="EE251" s="36" t="s">
        <v>474</v>
      </c>
      <c r="EF251" s="36" t="str">
        <f>Tabulacao!MC251</f>
        <v>Nossa Senhora do Socorro</v>
      </c>
      <c r="EG251" s="36" t="s">
        <v>872</v>
      </c>
      <c r="EH251" s="36" t="str">
        <f>Tabulacao!MG251</f>
        <v>Nossa Senhora do Socorro</v>
      </c>
      <c r="EI251" s="36" t="s">
        <v>872</v>
      </c>
      <c r="EJ251" s="36" t="str">
        <f>Tabulacao!MK251</f>
        <v>Nossa Senhora do Socorro</v>
      </c>
      <c r="EK251" s="36" t="s">
        <v>134</v>
      </c>
      <c r="EL251" s="36" t="s">
        <v>134</v>
      </c>
      <c r="EM251" s="36" t="s">
        <v>134</v>
      </c>
      <c r="EN251" s="36" t="s">
        <v>134</v>
      </c>
      <c r="EO251" s="36" t="s">
        <v>134</v>
      </c>
      <c r="EP251" s="36" t="s">
        <v>134</v>
      </c>
      <c r="EQ251" s="36" t="s">
        <v>873</v>
      </c>
      <c r="ER251" s="36" t="str">
        <f>IF(OR(EQ251=CaractAmostra!$BD$9,EQ251=CaractAmostra!$BD$10,EQ251=CaractAmostra!$BD$11,EQ251=CaractAmostra!$BD$12,EQ251=CaractAmostra!$BD$13),Respostas_Formatadas!EQ251,"Outros")</f>
        <v>Outros</v>
      </c>
      <c r="ES251" s="36" t="s">
        <v>874</v>
      </c>
      <c r="ET251" s="36" t="str">
        <f>IF(OR(ES251=CaractAmostra!$BH$9,ES251=CaractAmostra!$BH$10,ES251=CaractAmostra!$BH$11,ES251=CaractAmostra!$BH$12),Respostas_Formatadas!ES251,"Outros")</f>
        <v>Outros</v>
      </c>
      <c r="EU251" s="36" t="s">
        <v>279</v>
      </c>
      <c r="EV251" s="36" t="s">
        <v>286</v>
      </c>
      <c r="EW251" s="36" t="s">
        <v>283</v>
      </c>
      <c r="FD251" s="36" t="s">
        <v>875</v>
      </c>
      <c r="FE251" s="47">
        <v>2018</v>
      </c>
      <c r="FF251" s="97">
        <v>6.4561000000000002</v>
      </c>
      <c r="FG251" s="47">
        <v>2018</v>
      </c>
      <c r="FH251" s="47">
        <f t="shared" si="11"/>
        <v>0</v>
      </c>
      <c r="FI251" s="47" t="str">
        <f t="shared" si="8"/>
        <v>Aracaju</v>
      </c>
      <c r="FJ251" s="47" t="str">
        <f t="shared" si="9"/>
        <v>Tecnologia</v>
      </c>
    </row>
    <row r="252" spans="1:166" s="36" customFormat="1" ht="15.75" customHeight="1" x14ac:dyDescent="0.2">
      <c r="A252" s="38">
        <v>43426.567916400461</v>
      </c>
      <c r="B252" s="41"/>
      <c r="C252" s="36" t="s">
        <v>124</v>
      </c>
      <c r="D252" s="47" t="s">
        <v>133</v>
      </c>
      <c r="E252" s="36" t="s">
        <v>136</v>
      </c>
      <c r="H252" s="36" t="s">
        <v>144</v>
      </c>
      <c r="M252" s="36" t="s">
        <v>147</v>
      </c>
      <c r="N252" s="36" t="s">
        <v>133</v>
      </c>
      <c r="O252" s="36" t="s">
        <v>133</v>
      </c>
      <c r="P252" s="36" t="s">
        <v>133</v>
      </c>
      <c r="Q252" s="36" t="s">
        <v>133</v>
      </c>
      <c r="R252" s="36" t="s">
        <v>153</v>
      </c>
      <c r="S252" s="36" t="s">
        <v>390</v>
      </c>
      <c r="T252" s="36" t="s">
        <v>155</v>
      </c>
      <c r="U252" s="36" t="s">
        <v>157</v>
      </c>
      <c r="V252" s="36">
        <v>2</v>
      </c>
      <c r="W252" s="36">
        <v>3</v>
      </c>
      <c r="X252" s="36">
        <v>2</v>
      </c>
      <c r="Y252" s="36" t="s">
        <v>166</v>
      </c>
      <c r="AC252" s="36" t="s">
        <v>181</v>
      </c>
      <c r="AD252" s="36" t="s">
        <v>876</v>
      </c>
      <c r="AE252" s="36">
        <v>3</v>
      </c>
      <c r="AF252" s="36" t="s">
        <v>187</v>
      </c>
      <c r="AG252" s="36" t="s">
        <v>187</v>
      </c>
      <c r="AH252" s="36" t="s">
        <v>134</v>
      </c>
      <c r="AI252" s="40">
        <v>1800</v>
      </c>
      <c r="AJ252" s="36">
        <v>2</v>
      </c>
      <c r="AK252" s="36">
        <v>3</v>
      </c>
      <c r="AL252" s="36" t="s">
        <v>134</v>
      </c>
      <c r="AM252" s="36" t="s">
        <v>170</v>
      </c>
      <c r="AN252" s="36">
        <v>2</v>
      </c>
      <c r="AO252" s="36" t="s">
        <v>133</v>
      </c>
      <c r="AP252" s="36" t="s">
        <v>877</v>
      </c>
      <c r="AQ252" s="40">
        <v>2000</v>
      </c>
      <c r="AR252" s="36">
        <v>2</v>
      </c>
      <c r="AS252" s="36">
        <v>3</v>
      </c>
      <c r="AT252" s="36">
        <v>2</v>
      </c>
      <c r="AU252" s="36">
        <v>1</v>
      </c>
      <c r="AV252" s="36">
        <v>2</v>
      </c>
      <c r="AW252" s="36" t="s">
        <v>193</v>
      </c>
      <c r="AX252" s="36" t="s">
        <v>206</v>
      </c>
      <c r="AY252" s="36" t="s">
        <v>210</v>
      </c>
      <c r="AZ252" s="36" t="s">
        <v>133</v>
      </c>
      <c r="BA252" s="36" t="s">
        <v>170</v>
      </c>
      <c r="BB252" s="36" t="s">
        <v>795</v>
      </c>
      <c r="BC252" s="36" t="s">
        <v>292</v>
      </c>
      <c r="BD252" s="36" t="s">
        <v>189</v>
      </c>
      <c r="BF252" s="36" t="s">
        <v>219</v>
      </c>
      <c r="BG252" s="36">
        <v>2</v>
      </c>
      <c r="BH252" s="36">
        <v>4</v>
      </c>
      <c r="BI252" s="36">
        <v>3</v>
      </c>
      <c r="BJ252" s="36">
        <v>4</v>
      </c>
      <c r="BK252" s="36">
        <v>4</v>
      </c>
      <c r="BL252" s="36">
        <v>4</v>
      </c>
      <c r="BM252" s="36">
        <v>4</v>
      </c>
      <c r="BN252" s="36">
        <v>4</v>
      </c>
      <c r="BO252" s="36">
        <v>4</v>
      </c>
      <c r="BP252" s="36">
        <v>3</v>
      </c>
      <c r="BQ252" s="36">
        <v>4</v>
      </c>
      <c r="BR252" s="36">
        <v>4</v>
      </c>
      <c r="BS252" s="36">
        <v>2</v>
      </c>
      <c r="BT252" s="36">
        <v>2</v>
      </c>
      <c r="BU252" s="36">
        <v>2</v>
      </c>
      <c r="BV252" s="36">
        <v>3</v>
      </c>
      <c r="BW252" s="36">
        <v>3</v>
      </c>
      <c r="BX252" s="36">
        <v>4</v>
      </c>
      <c r="BY252" s="36">
        <v>3</v>
      </c>
      <c r="BZ252" s="36">
        <v>3</v>
      </c>
      <c r="CA252" s="36">
        <v>4</v>
      </c>
      <c r="CB252" s="36">
        <v>3</v>
      </c>
      <c r="CC252" s="36">
        <v>4</v>
      </c>
      <c r="CD252" s="36">
        <v>4</v>
      </c>
      <c r="CE252" s="36">
        <v>3</v>
      </c>
      <c r="CF252" s="36">
        <v>2</v>
      </c>
      <c r="CG252" s="36">
        <v>2</v>
      </c>
      <c r="CH252" s="36" t="s">
        <v>222</v>
      </c>
      <c r="CI252" t="s">
        <v>226</v>
      </c>
      <c r="CJ252"/>
      <c r="CK252" s="36" t="s">
        <v>233</v>
      </c>
      <c r="CL252" t="s">
        <v>235</v>
      </c>
      <c r="CM252" t="s">
        <v>239</v>
      </c>
      <c r="CN252" s="36" t="s">
        <v>242</v>
      </c>
      <c r="CO252" s="36" t="s">
        <v>134</v>
      </c>
      <c r="CP252" s="36">
        <v>2</v>
      </c>
      <c r="CQ252" s="36">
        <v>4</v>
      </c>
      <c r="CR252" s="36" t="s">
        <v>249</v>
      </c>
      <c r="CS252" s="36">
        <v>3</v>
      </c>
      <c r="CT252" s="36">
        <v>3</v>
      </c>
      <c r="CU252" s="36">
        <v>2</v>
      </c>
      <c r="CV252" s="36">
        <v>2</v>
      </c>
      <c r="CW252" s="36">
        <v>4</v>
      </c>
      <c r="CX252" s="36">
        <v>4</v>
      </c>
      <c r="CY252" s="36">
        <v>5</v>
      </c>
      <c r="CZ252" s="36">
        <v>4</v>
      </c>
      <c r="DA252" s="36">
        <v>4</v>
      </c>
      <c r="DB252" s="36">
        <v>4</v>
      </c>
      <c r="DC252" s="36">
        <v>3</v>
      </c>
      <c r="DD252" s="36">
        <v>4</v>
      </c>
      <c r="DE252" s="36">
        <v>4</v>
      </c>
      <c r="DF252" s="36">
        <v>4</v>
      </c>
      <c r="DG252" s="36">
        <v>4</v>
      </c>
      <c r="DH252" s="36">
        <v>4</v>
      </c>
      <c r="DI252" s="36" t="s">
        <v>250</v>
      </c>
      <c r="DJ252" s="36" t="s">
        <v>134</v>
      </c>
      <c r="DL252"/>
      <c r="DM252"/>
      <c r="DN252"/>
      <c r="DO252"/>
      <c r="DP252"/>
      <c r="DR252" s="36" t="s">
        <v>134</v>
      </c>
      <c r="DT252"/>
      <c r="DU252"/>
      <c r="DV252"/>
      <c r="DW252"/>
      <c r="DX252"/>
      <c r="DZ252" s="36" t="s">
        <v>134</v>
      </c>
      <c r="EB252" s="36" t="s">
        <v>262</v>
      </c>
      <c r="EC252" s="36" t="s">
        <v>267</v>
      </c>
      <c r="ED252" s="36">
        <v>42</v>
      </c>
      <c r="EE252" s="36" t="s">
        <v>292</v>
      </c>
      <c r="EF252" s="36" t="str">
        <f>Tabulacao!MC252</f>
        <v>Aracaju</v>
      </c>
      <c r="EG252" s="36" t="s">
        <v>292</v>
      </c>
      <c r="EH252" s="36" t="str">
        <f>Tabulacao!MG252</f>
        <v>Aracaju</v>
      </c>
      <c r="EI252" s="36" t="s">
        <v>474</v>
      </c>
      <c r="EJ252" s="36" t="str">
        <f>Tabulacao!MK252</f>
        <v>Nossa Senhora do Socorro</v>
      </c>
      <c r="EK252" s="36" t="s">
        <v>134</v>
      </c>
      <c r="EL252" s="36" t="s">
        <v>134</v>
      </c>
      <c r="EM252" s="36" t="s">
        <v>134</v>
      </c>
      <c r="EN252" s="36" t="s">
        <v>134</v>
      </c>
      <c r="EO252" s="36" t="s">
        <v>134</v>
      </c>
      <c r="EP252" s="36" t="s">
        <v>134</v>
      </c>
      <c r="EQ252" s="36" t="s">
        <v>274</v>
      </c>
      <c r="ER252" s="36" t="str">
        <f>IF(OR(EQ252=CaractAmostra!$BD$9,EQ252=CaractAmostra!$BD$10,EQ252=CaractAmostra!$BD$11,EQ252=CaractAmostra!$BD$12,EQ252=CaractAmostra!$BD$13),Respostas_Formatadas!EQ252,"Outros")</f>
        <v>Com um(a) parceiro(a)</v>
      </c>
      <c r="ES252" s="36" t="s">
        <v>274</v>
      </c>
      <c r="ET252" s="36" t="str">
        <f>IF(OR(ES252=CaractAmostra!$BH$9,ES252=CaractAmostra!$BH$10,ES252=CaractAmostra!$BH$11,ES252=CaractAmostra!$BH$12),Respostas_Formatadas!ES252,"Outros")</f>
        <v>Com um(a) parceiro(a)</v>
      </c>
      <c r="EU252" s="36" t="s">
        <v>281</v>
      </c>
      <c r="EV252" s="36" t="s">
        <v>282</v>
      </c>
      <c r="EW252" s="36" t="s">
        <v>285</v>
      </c>
      <c r="FE252" s="47">
        <v>2009</v>
      </c>
      <c r="FF252" s="97">
        <v>8.1135000000000002</v>
      </c>
      <c r="FG252" s="47">
        <v>2010</v>
      </c>
      <c r="FH252" s="47">
        <f t="shared" si="11"/>
        <v>1</v>
      </c>
      <c r="FI252" s="47" t="str">
        <f t="shared" si="8"/>
        <v>Aracaju</v>
      </c>
      <c r="FJ252" s="47" t="str">
        <f t="shared" si="9"/>
        <v>Tecnologia</v>
      </c>
    </row>
    <row r="253" spans="1:166" s="36" customFormat="1" ht="15.75" customHeight="1" x14ac:dyDescent="0.2">
      <c r="A253" s="38">
        <v>43426.614557939814</v>
      </c>
      <c r="B253" s="41"/>
      <c r="C253" s="36" t="s">
        <v>121</v>
      </c>
      <c r="D253" s="47" t="s">
        <v>134</v>
      </c>
      <c r="M253" s="36" t="s">
        <v>146</v>
      </c>
      <c r="N253" s="36" t="s">
        <v>134</v>
      </c>
      <c r="O253" s="36" t="s">
        <v>133</v>
      </c>
      <c r="P253" s="36" t="s">
        <v>134</v>
      </c>
      <c r="Q253" s="36" t="s">
        <v>134</v>
      </c>
      <c r="R253" s="36" t="s">
        <v>152</v>
      </c>
      <c r="T253" s="36" t="s">
        <v>154</v>
      </c>
      <c r="U253" s="36" t="s">
        <v>156</v>
      </c>
      <c r="V253" s="36">
        <v>5</v>
      </c>
      <c r="W253" s="36">
        <v>5</v>
      </c>
      <c r="X253" s="36">
        <v>5</v>
      </c>
      <c r="Y253" s="36" t="s">
        <v>166</v>
      </c>
      <c r="AC253" s="36" t="s">
        <v>179</v>
      </c>
      <c r="AD253" s="36" t="s">
        <v>388</v>
      </c>
      <c r="AE253" s="36">
        <v>5</v>
      </c>
      <c r="AF253" s="36" t="s">
        <v>189</v>
      </c>
      <c r="AG253" s="36" t="s">
        <v>189</v>
      </c>
      <c r="AH253" s="36" t="s">
        <v>134</v>
      </c>
      <c r="AI253" s="40">
        <v>400</v>
      </c>
      <c r="AJ253" s="36">
        <v>3</v>
      </c>
      <c r="AK253" s="36">
        <v>4</v>
      </c>
      <c r="AL253" s="36" t="s">
        <v>133</v>
      </c>
      <c r="AP253" s="36" t="s">
        <v>388</v>
      </c>
      <c r="AQ253" s="40">
        <v>1000</v>
      </c>
      <c r="AR253" s="36">
        <v>4</v>
      </c>
      <c r="AS253" s="36">
        <v>3</v>
      </c>
      <c r="AT253" s="36">
        <v>4</v>
      </c>
      <c r="AU253" s="36">
        <v>4</v>
      </c>
      <c r="AV253" s="36">
        <v>4</v>
      </c>
      <c r="AW253" s="36" t="s">
        <v>200</v>
      </c>
      <c r="AX253" s="36" t="s">
        <v>204</v>
      </c>
      <c r="AY253" s="36" t="s">
        <v>209</v>
      </c>
      <c r="AZ253" s="36" t="s">
        <v>133</v>
      </c>
      <c r="BA253" s="36" t="s">
        <v>170</v>
      </c>
      <c r="BB253" s="36" t="s">
        <v>878</v>
      </c>
      <c r="BC253" s="36" t="s">
        <v>292</v>
      </c>
      <c r="BD253" s="36" t="s">
        <v>189</v>
      </c>
      <c r="BF253" s="36" t="s">
        <v>220</v>
      </c>
      <c r="BG253" s="36">
        <v>4</v>
      </c>
      <c r="BH253" s="36">
        <v>3</v>
      </c>
      <c r="BI253" s="36">
        <v>4</v>
      </c>
      <c r="BJ253" s="36">
        <v>4</v>
      </c>
      <c r="BK253" s="36">
        <v>5</v>
      </c>
      <c r="BL253" s="36">
        <v>3</v>
      </c>
      <c r="BM253" s="36">
        <v>5</v>
      </c>
      <c r="BN253" s="36">
        <v>3</v>
      </c>
      <c r="BO253" s="36">
        <v>3</v>
      </c>
      <c r="BP253" s="36">
        <v>3</v>
      </c>
      <c r="BQ253" s="36">
        <v>3</v>
      </c>
      <c r="BR253" s="36">
        <v>4</v>
      </c>
      <c r="BS253" s="36">
        <v>2</v>
      </c>
      <c r="BT253" s="36">
        <v>5</v>
      </c>
      <c r="BU253" s="36">
        <v>3</v>
      </c>
      <c r="BV253" s="36">
        <v>4</v>
      </c>
      <c r="BW253" s="36">
        <v>3</v>
      </c>
      <c r="BX253" s="36">
        <v>4</v>
      </c>
      <c r="BY253" s="36">
        <v>3</v>
      </c>
      <c r="BZ253" s="36">
        <v>5</v>
      </c>
      <c r="CA253" s="36">
        <v>3</v>
      </c>
      <c r="CB253" s="36">
        <v>3</v>
      </c>
      <c r="CC253" s="36">
        <v>3</v>
      </c>
      <c r="CD253" s="36">
        <v>3</v>
      </c>
      <c r="CE253" s="36">
        <v>4</v>
      </c>
      <c r="CF253" s="36">
        <v>1</v>
      </c>
      <c r="CG253" s="36">
        <v>3</v>
      </c>
      <c r="CH253" s="36" t="s">
        <v>225</v>
      </c>
      <c r="CI253" t="s">
        <v>226</v>
      </c>
      <c r="CJ253"/>
      <c r="CK253" s="36" t="s">
        <v>233</v>
      </c>
      <c r="CL253" t="s">
        <v>234</v>
      </c>
      <c r="CM253"/>
      <c r="CN253" s="36" t="s">
        <v>242</v>
      </c>
      <c r="CO253" s="36" t="s">
        <v>134</v>
      </c>
      <c r="CP253" s="36">
        <v>3</v>
      </c>
      <c r="CQ253" s="36">
        <v>4</v>
      </c>
      <c r="CR253" s="36" t="s">
        <v>249</v>
      </c>
      <c r="CS253" s="36">
        <v>2</v>
      </c>
      <c r="CT253" s="36">
        <v>2</v>
      </c>
      <c r="CU253" s="36">
        <v>4</v>
      </c>
      <c r="CV253" s="36">
        <v>4</v>
      </c>
      <c r="CW253" s="36">
        <v>5</v>
      </c>
      <c r="CX253" s="36">
        <v>4</v>
      </c>
      <c r="CY253" s="36">
        <v>4</v>
      </c>
      <c r="CZ253" s="36">
        <v>3</v>
      </c>
      <c r="DA253" s="36">
        <v>3</v>
      </c>
      <c r="DB253" s="36">
        <v>2</v>
      </c>
      <c r="DC253" s="36">
        <v>2</v>
      </c>
      <c r="DD253" s="36">
        <v>4</v>
      </c>
      <c r="DE253" s="36">
        <v>4</v>
      </c>
      <c r="DF253" s="36">
        <v>3</v>
      </c>
      <c r="DG253" s="36">
        <v>3</v>
      </c>
      <c r="DH253" s="36">
        <v>3</v>
      </c>
      <c r="DI253" s="36" t="s">
        <v>133</v>
      </c>
      <c r="DJ253" s="36" t="s">
        <v>133</v>
      </c>
      <c r="DK253" s="36" t="s">
        <v>254</v>
      </c>
      <c r="DL253" t="s">
        <v>255</v>
      </c>
      <c r="DM253"/>
      <c r="DN253"/>
      <c r="DO253" t="s">
        <v>256</v>
      </c>
      <c r="DP253" t="s">
        <v>257</v>
      </c>
      <c r="DQ253" s="36">
        <v>5</v>
      </c>
      <c r="DR253" s="36" t="s">
        <v>133</v>
      </c>
      <c r="DS253" s="36" t="s">
        <v>259</v>
      </c>
      <c r="DT253"/>
      <c r="DU253"/>
      <c r="DV253" t="s">
        <v>261</v>
      </c>
      <c r="DW253"/>
      <c r="DX253"/>
      <c r="DY253" s="36">
        <v>4</v>
      </c>
      <c r="DZ253" s="36" t="s">
        <v>133</v>
      </c>
      <c r="EA253" s="36">
        <v>4</v>
      </c>
      <c r="EB253" s="36" t="s">
        <v>263</v>
      </c>
      <c r="EC253" s="36" t="s">
        <v>267</v>
      </c>
      <c r="ED253" s="36">
        <v>22</v>
      </c>
      <c r="EE253" s="36" t="s">
        <v>879</v>
      </c>
      <c r="EF253" s="36" t="str">
        <f>Tabulacao!MC253</f>
        <v>Capela</v>
      </c>
      <c r="EG253" s="36" t="s">
        <v>292</v>
      </c>
      <c r="EH253" s="36" t="str">
        <f>Tabulacao!MG253</f>
        <v>Aracaju</v>
      </c>
      <c r="EI253" s="36" t="s">
        <v>292</v>
      </c>
      <c r="EJ253" s="36" t="str">
        <f>Tabulacao!MK253</f>
        <v>Aracaju</v>
      </c>
      <c r="EK253" s="36" t="s">
        <v>134</v>
      </c>
      <c r="EL253" s="36" t="s">
        <v>134</v>
      </c>
      <c r="EM253" s="36" t="s">
        <v>134</v>
      </c>
      <c r="EN253" s="36" t="s">
        <v>134</v>
      </c>
      <c r="EO253" s="36" t="s">
        <v>134</v>
      </c>
      <c r="EP253" s="36" t="s">
        <v>134</v>
      </c>
      <c r="EQ253" s="36" t="s">
        <v>273</v>
      </c>
      <c r="ER253" s="36" t="str">
        <f>IF(OR(EQ253=CaractAmostra!$BD$9,EQ253=CaractAmostra!$BD$10,EQ253=CaractAmostra!$BD$11,EQ253=CaractAmostra!$BD$12,EQ253=CaractAmostra!$BD$13),Respostas_Formatadas!EQ253,"Outros")</f>
        <v>Dividia residência com outras pessoas</v>
      </c>
      <c r="ES253" s="36" t="s">
        <v>278</v>
      </c>
      <c r="ET253" s="36" t="str">
        <f>IF(OR(ES253=CaractAmostra!$BH$9,ES253=CaractAmostra!$BH$10,ES253=CaractAmostra!$BH$11,ES253=CaractAmostra!$BH$12),Respostas_Formatadas!ES253,"Outros")</f>
        <v>Divido residência com outras pessoas</v>
      </c>
      <c r="EU253" s="36" t="s">
        <v>134</v>
      </c>
      <c r="EV253" s="36" t="s">
        <v>285</v>
      </c>
      <c r="EW253" s="36" t="s">
        <v>288</v>
      </c>
      <c r="FE253" s="47">
        <v>2017</v>
      </c>
      <c r="FF253" s="97">
        <v>7.6820000000000004</v>
      </c>
      <c r="FG253" s="47">
        <v>2017</v>
      </c>
      <c r="FH253" s="47">
        <f t="shared" si="11"/>
        <v>0</v>
      </c>
      <c r="FI253" s="47" t="str">
        <f t="shared" si="8"/>
        <v>Aracaju</v>
      </c>
      <c r="FJ253" s="47" t="str">
        <f t="shared" si="9"/>
        <v>Licenciatura</v>
      </c>
    </row>
    <row r="254" spans="1:166" s="36" customFormat="1" ht="15.75" customHeight="1" x14ac:dyDescent="0.2">
      <c r="A254" s="38">
        <v>43426.660433807869</v>
      </c>
      <c r="B254" s="41"/>
      <c r="C254" s="36" t="s">
        <v>121</v>
      </c>
      <c r="D254" s="47" t="s">
        <v>134</v>
      </c>
      <c r="M254" s="36" t="s">
        <v>147</v>
      </c>
      <c r="N254" s="36" t="s">
        <v>133</v>
      </c>
      <c r="O254" s="36" t="s">
        <v>134</v>
      </c>
      <c r="P254" s="36" t="s">
        <v>133</v>
      </c>
      <c r="Q254" s="36" t="s">
        <v>134</v>
      </c>
      <c r="R254" s="36" t="s">
        <v>151</v>
      </c>
      <c r="Y254" s="36" t="s">
        <v>166</v>
      </c>
      <c r="AC254" s="36" t="s">
        <v>175</v>
      </c>
      <c r="AE254" s="36">
        <v>3</v>
      </c>
      <c r="AF254" s="36" t="s">
        <v>189</v>
      </c>
      <c r="AG254" s="36" t="s">
        <v>189</v>
      </c>
      <c r="AH254" s="36" t="s">
        <v>134</v>
      </c>
      <c r="AI254" s="40">
        <v>954</v>
      </c>
      <c r="AJ254" s="36">
        <v>3</v>
      </c>
      <c r="AK254" s="36">
        <v>1</v>
      </c>
      <c r="AL254" s="36" t="s">
        <v>134</v>
      </c>
      <c r="AM254" s="36" t="s">
        <v>170</v>
      </c>
      <c r="AN254" s="36">
        <v>1</v>
      </c>
      <c r="AO254" s="36" t="s">
        <v>134</v>
      </c>
      <c r="AQ254" s="40"/>
      <c r="BT254" s="36">
        <v>5</v>
      </c>
      <c r="BU254" s="36">
        <v>5</v>
      </c>
      <c r="BV254" s="36">
        <v>5</v>
      </c>
      <c r="BW254" s="36">
        <v>5</v>
      </c>
      <c r="BX254" s="36">
        <v>5</v>
      </c>
      <c r="BY254" s="36">
        <v>5</v>
      </c>
      <c r="BZ254" s="36">
        <v>5</v>
      </c>
      <c r="CA254" s="36">
        <v>5</v>
      </c>
      <c r="CB254" s="36">
        <v>5</v>
      </c>
      <c r="CC254" s="36">
        <v>5</v>
      </c>
      <c r="CD254" s="36">
        <v>5</v>
      </c>
      <c r="CE254" s="36">
        <v>5</v>
      </c>
      <c r="CF254" s="36">
        <v>3</v>
      </c>
      <c r="CG254" s="36">
        <v>1</v>
      </c>
      <c r="CH254" s="36" t="s">
        <v>222</v>
      </c>
      <c r="CI254" t="s">
        <v>225</v>
      </c>
      <c r="CJ254" t="s">
        <v>226</v>
      </c>
      <c r="CK254" s="36" t="s">
        <v>880</v>
      </c>
      <c r="CL254"/>
      <c r="CM254"/>
      <c r="CN254" s="36" t="s">
        <v>247</v>
      </c>
      <c r="CO254" s="36" t="s">
        <v>134</v>
      </c>
      <c r="CP254" s="36">
        <v>5</v>
      </c>
      <c r="CQ254" s="36">
        <v>5</v>
      </c>
      <c r="CR254" s="36" t="s">
        <v>249</v>
      </c>
      <c r="CS254" s="36">
        <v>3</v>
      </c>
      <c r="CT254" s="36">
        <v>1</v>
      </c>
      <c r="CU254" s="36">
        <v>1</v>
      </c>
      <c r="CV254" s="36">
        <v>5</v>
      </c>
      <c r="CW254" s="36">
        <v>5</v>
      </c>
      <c r="CX254" s="36">
        <v>5</v>
      </c>
      <c r="CY254" s="36">
        <v>2</v>
      </c>
      <c r="CZ254" s="36">
        <v>5</v>
      </c>
      <c r="DA254" s="36">
        <v>1</v>
      </c>
      <c r="DB254" s="36">
        <v>1</v>
      </c>
      <c r="DC254" s="36">
        <v>3</v>
      </c>
      <c r="DD254" s="36">
        <v>5</v>
      </c>
      <c r="DE254" s="36">
        <v>5</v>
      </c>
      <c r="DF254" s="36">
        <v>5</v>
      </c>
      <c r="DG254" s="36">
        <v>5</v>
      </c>
      <c r="DH254" s="36">
        <v>4</v>
      </c>
      <c r="DI254" s="36" t="s">
        <v>133</v>
      </c>
      <c r="DJ254" s="36" t="s">
        <v>134</v>
      </c>
      <c r="DL254"/>
      <c r="DM254"/>
      <c r="DN254"/>
      <c r="DO254"/>
      <c r="DP254"/>
      <c r="DR254" s="36" t="s">
        <v>133</v>
      </c>
      <c r="DS254" s="36" t="s">
        <v>258</v>
      </c>
      <c r="DT254" t="s">
        <v>261</v>
      </c>
      <c r="DU254"/>
      <c r="DV254"/>
      <c r="DW254"/>
      <c r="DX254"/>
      <c r="DY254" s="36">
        <v>3</v>
      </c>
      <c r="DZ254" s="36" t="s">
        <v>133</v>
      </c>
      <c r="EA254" s="36">
        <v>5</v>
      </c>
      <c r="EB254" s="36" t="s">
        <v>263</v>
      </c>
      <c r="EC254" s="36" t="s">
        <v>267</v>
      </c>
      <c r="ED254" s="36">
        <v>31</v>
      </c>
      <c r="EE254" s="36" t="s">
        <v>292</v>
      </c>
      <c r="EF254" s="36" t="str">
        <f>Tabulacao!MC254</f>
        <v>Aracaju</v>
      </c>
      <c r="EG254" s="36" t="s">
        <v>292</v>
      </c>
      <c r="EH254" s="36" t="str">
        <f>Tabulacao!MG254</f>
        <v>Aracaju</v>
      </c>
      <c r="EI254" s="36" t="s">
        <v>292</v>
      </c>
      <c r="EJ254" s="36" t="str">
        <f>Tabulacao!MK254</f>
        <v>Aracaju</v>
      </c>
      <c r="EK254" s="36" t="s">
        <v>134</v>
      </c>
      <c r="EL254" s="36" t="s">
        <v>134</v>
      </c>
      <c r="EM254" s="36" t="s">
        <v>134</v>
      </c>
      <c r="EN254" s="36" t="s">
        <v>134</v>
      </c>
      <c r="EO254" s="36" t="s">
        <v>134</v>
      </c>
      <c r="EP254" s="36" t="s">
        <v>134</v>
      </c>
      <c r="EQ254" s="36" t="s">
        <v>881</v>
      </c>
      <c r="ER254" s="36" t="str">
        <f>IF(OR(EQ254=CaractAmostra!$BD$9,EQ254=CaractAmostra!$BD$10,EQ254=CaractAmostra!$BD$11,EQ254=CaractAmostra!$BD$12,EQ254=CaractAmostra!$BD$13),Respostas_Formatadas!EQ254,"Outros")</f>
        <v>Outros</v>
      </c>
      <c r="ES254" s="36" t="s">
        <v>882</v>
      </c>
      <c r="ET254" s="36" t="str">
        <f>IF(OR(ES254=CaractAmostra!$BH$9,ES254=CaractAmostra!$BH$10,ES254=CaractAmostra!$BH$11,ES254=CaractAmostra!$BH$12),Respostas_Formatadas!ES254,"Outros")</f>
        <v>Outros</v>
      </c>
      <c r="EU254" s="36" t="s">
        <v>279</v>
      </c>
      <c r="EV254" s="36" t="s">
        <v>192</v>
      </c>
      <c r="EW254" s="36" t="s">
        <v>192</v>
      </c>
      <c r="FD254" s="36" t="s">
        <v>883</v>
      </c>
      <c r="FE254" s="47">
        <v>2018</v>
      </c>
      <c r="FF254" s="97">
        <v>7.0102000000000002</v>
      </c>
      <c r="FG254" s="47">
        <v>2018</v>
      </c>
      <c r="FH254" s="47">
        <f t="shared" si="11"/>
        <v>0</v>
      </c>
      <c r="FI254" s="47" t="str">
        <f t="shared" si="8"/>
        <v>Aracaju</v>
      </c>
      <c r="FJ254" s="47" t="str">
        <f t="shared" si="9"/>
        <v>Licenciatura</v>
      </c>
    </row>
    <row r="255" spans="1:166" s="36" customFormat="1" ht="15.75" customHeight="1" x14ac:dyDescent="0.2">
      <c r="A255" s="38">
        <v>43426.732838148149</v>
      </c>
      <c r="C255" s="36" t="s">
        <v>125</v>
      </c>
      <c r="D255" s="47" t="s">
        <v>134</v>
      </c>
      <c r="M255" s="36" t="s">
        <v>146</v>
      </c>
      <c r="N255" s="36" t="s">
        <v>134</v>
      </c>
      <c r="O255" s="36" t="s">
        <v>133</v>
      </c>
      <c r="P255" s="36" t="s">
        <v>133</v>
      </c>
      <c r="Q255" s="36" t="s">
        <v>133</v>
      </c>
      <c r="R255" s="36" t="s">
        <v>151</v>
      </c>
      <c r="Y255" s="36" t="s">
        <v>134</v>
      </c>
      <c r="AI255" s="40"/>
      <c r="AQ255" s="40"/>
      <c r="BT255" s="36">
        <v>5</v>
      </c>
      <c r="BU255" s="36">
        <v>4</v>
      </c>
      <c r="BV255" s="36">
        <v>4</v>
      </c>
      <c r="BW255" s="36">
        <v>5</v>
      </c>
      <c r="BX255" s="36">
        <v>5</v>
      </c>
      <c r="BY255" s="36">
        <v>4</v>
      </c>
      <c r="BZ255" s="36">
        <v>4</v>
      </c>
      <c r="CA255" s="36">
        <v>5</v>
      </c>
      <c r="CB255" s="36">
        <v>5</v>
      </c>
      <c r="CC255" s="36">
        <v>5</v>
      </c>
      <c r="CD255" s="36">
        <v>5</v>
      </c>
      <c r="CE255" s="36">
        <v>4</v>
      </c>
      <c r="CF255" s="36">
        <v>3</v>
      </c>
      <c r="CG255" s="36">
        <v>4</v>
      </c>
      <c r="CH255" s="36" t="s">
        <v>222</v>
      </c>
      <c r="CI255" t="s">
        <v>226</v>
      </c>
      <c r="CJ255" t="s">
        <v>229</v>
      </c>
      <c r="CK255" s="36" t="s">
        <v>233</v>
      </c>
      <c r="CL255" t="s">
        <v>234</v>
      </c>
      <c r="CM255" t="s">
        <v>237</v>
      </c>
      <c r="CN255" s="36" t="s">
        <v>242</v>
      </c>
      <c r="CO255" s="36" t="s">
        <v>133</v>
      </c>
      <c r="CP255" s="36">
        <v>1</v>
      </c>
      <c r="CQ255" s="36">
        <v>4</v>
      </c>
      <c r="CR255" s="36" t="s">
        <v>248</v>
      </c>
      <c r="CS255" s="36">
        <v>3</v>
      </c>
      <c r="CT255" s="36">
        <v>5</v>
      </c>
      <c r="CU255" s="36">
        <v>3</v>
      </c>
      <c r="CV255" s="36">
        <v>3</v>
      </c>
      <c r="CW255" s="36">
        <v>5</v>
      </c>
      <c r="CX255" s="36">
        <v>4</v>
      </c>
      <c r="CY255" s="36">
        <v>4</v>
      </c>
      <c r="CZ255" s="36">
        <v>4</v>
      </c>
      <c r="DA255" s="36">
        <v>3</v>
      </c>
      <c r="DB255" s="36">
        <v>2</v>
      </c>
      <c r="DC255" s="36">
        <v>2</v>
      </c>
      <c r="DD255" s="36">
        <v>5</v>
      </c>
      <c r="DE255" s="36">
        <v>1</v>
      </c>
      <c r="DF255" s="36">
        <v>5</v>
      </c>
      <c r="DG255" s="36">
        <v>5</v>
      </c>
      <c r="DH255" s="36">
        <v>5</v>
      </c>
      <c r="DI255" s="36" t="s">
        <v>250</v>
      </c>
      <c r="DJ255" s="36" t="s">
        <v>134</v>
      </c>
      <c r="DL255"/>
      <c r="DM255"/>
      <c r="DN255"/>
      <c r="DO255"/>
      <c r="DP255"/>
      <c r="DR255" s="36" t="s">
        <v>134</v>
      </c>
      <c r="DT255"/>
      <c r="DU255"/>
      <c r="DV255"/>
      <c r="DW255"/>
      <c r="DX255"/>
      <c r="DZ255" s="36" t="s">
        <v>134</v>
      </c>
      <c r="EB255" s="36" t="s">
        <v>263</v>
      </c>
      <c r="EC255" s="36" t="s">
        <v>265</v>
      </c>
      <c r="ED255" s="36">
        <v>22</v>
      </c>
      <c r="EE255" s="36" t="s">
        <v>884</v>
      </c>
      <c r="EF255" s="36" t="str">
        <f>Tabulacao!MC255</f>
        <v>Pacatuba</v>
      </c>
      <c r="EG255" s="36" t="s">
        <v>885</v>
      </c>
      <c r="EH255" s="36" t="str">
        <f>Tabulacao!MG255</f>
        <v>Aracaju</v>
      </c>
      <c r="EI255" s="36" t="s">
        <v>885</v>
      </c>
      <c r="EJ255" s="36" t="str">
        <f>Tabulacao!MK255</f>
        <v>Aracaju</v>
      </c>
      <c r="EK255" s="36" t="s">
        <v>134</v>
      </c>
      <c r="EL255" s="36" t="s">
        <v>134</v>
      </c>
      <c r="EM255" s="36" t="s">
        <v>134</v>
      </c>
      <c r="EN255" s="36" t="s">
        <v>134</v>
      </c>
      <c r="EO255" s="36" t="s">
        <v>134</v>
      </c>
      <c r="EP255" s="36" t="s">
        <v>134</v>
      </c>
      <c r="EQ255" s="36" t="s">
        <v>886</v>
      </c>
      <c r="ER255" s="36" t="str">
        <f>IF(OR(EQ255=CaractAmostra!$BD$9,EQ255=CaractAmostra!$BD$10,EQ255=CaractAmostra!$BD$11,EQ255=CaractAmostra!$BD$12,EQ255=CaractAmostra!$BD$13),Respostas_Formatadas!EQ255,"Outros")</f>
        <v>Outros</v>
      </c>
      <c r="ES255" s="36" t="s">
        <v>274</v>
      </c>
      <c r="ET255" s="36" t="str">
        <f>IF(OR(ES255=CaractAmostra!$BH$9,ES255=CaractAmostra!$BH$10,ES255=CaractAmostra!$BH$11,ES255=CaractAmostra!$BH$12),Respostas_Formatadas!ES255,"Outros")</f>
        <v>Com um(a) parceiro(a)</v>
      </c>
      <c r="EU255" s="36" t="s">
        <v>134</v>
      </c>
      <c r="EV255" s="36" t="s">
        <v>282</v>
      </c>
      <c r="EW255" s="36" t="s">
        <v>285</v>
      </c>
      <c r="FE255" s="47">
        <v>2018</v>
      </c>
      <c r="FF255" s="97">
        <v>7.9875999999999996</v>
      </c>
      <c r="FG255" s="47">
        <v>2018</v>
      </c>
      <c r="FH255" s="47">
        <f t="shared" si="11"/>
        <v>0</v>
      </c>
      <c r="FI255" s="47" t="str">
        <f t="shared" si="8"/>
        <v>Aracaju</v>
      </c>
      <c r="FJ255" s="47" t="str">
        <f t="shared" si="9"/>
        <v>Tecnologia</v>
      </c>
    </row>
    <row r="256" spans="1:166" s="36" customFormat="1" ht="15.75" customHeight="1" x14ac:dyDescent="0.2">
      <c r="A256" s="38">
        <v>43426.805433912035</v>
      </c>
      <c r="B256" s="41"/>
      <c r="C256" s="36" t="s">
        <v>125</v>
      </c>
      <c r="D256" s="47" t="s">
        <v>134</v>
      </c>
      <c r="M256" s="36" t="s">
        <v>147</v>
      </c>
      <c r="N256" s="36" t="s">
        <v>133</v>
      </c>
      <c r="O256" s="36" t="s">
        <v>133</v>
      </c>
      <c r="P256" s="36" t="s">
        <v>134</v>
      </c>
      <c r="Q256" s="36" t="s">
        <v>134</v>
      </c>
      <c r="R256" s="36" t="s">
        <v>152</v>
      </c>
      <c r="S256" s="36" t="s">
        <v>948</v>
      </c>
      <c r="T256" s="36" t="s">
        <v>154</v>
      </c>
      <c r="U256" s="36" t="s">
        <v>156</v>
      </c>
      <c r="V256" s="36">
        <v>5</v>
      </c>
      <c r="W256" s="36">
        <v>5</v>
      </c>
      <c r="X256" s="36">
        <v>5</v>
      </c>
      <c r="Y256" s="36" t="s">
        <v>134</v>
      </c>
      <c r="AI256" s="40"/>
      <c r="AQ256" s="40"/>
      <c r="BT256" s="36">
        <v>4</v>
      </c>
      <c r="BU256" s="36">
        <v>3</v>
      </c>
      <c r="BV256" s="36">
        <v>4</v>
      </c>
      <c r="BW256" s="36">
        <v>4</v>
      </c>
      <c r="BX256" s="36">
        <v>3</v>
      </c>
      <c r="BY256" s="36">
        <v>3</v>
      </c>
      <c r="BZ256" s="36">
        <v>4</v>
      </c>
      <c r="CA256" s="36">
        <v>4</v>
      </c>
      <c r="CB256" s="36">
        <v>4</v>
      </c>
      <c r="CC256" s="36">
        <v>5</v>
      </c>
      <c r="CD256" s="36">
        <v>5</v>
      </c>
      <c r="CE256" s="36">
        <v>4</v>
      </c>
      <c r="CF256" s="36">
        <v>3</v>
      </c>
      <c r="CG256" s="36">
        <v>3</v>
      </c>
      <c r="CH256" s="36" t="s">
        <v>222</v>
      </c>
      <c r="CI256" t="s">
        <v>226</v>
      </c>
      <c r="CJ256" t="s">
        <v>227</v>
      </c>
      <c r="CK256" s="36" t="s">
        <v>233</v>
      </c>
      <c r="CL256" t="s">
        <v>239</v>
      </c>
      <c r="CM256" t="s">
        <v>240</v>
      </c>
      <c r="CN256" s="36" t="s">
        <v>242</v>
      </c>
      <c r="CO256" s="36" t="s">
        <v>134</v>
      </c>
      <c r="CP256" s="36">
        <v>4</v>
      </c>
      <c r="CQ256" s="36">
        <v>4</v>
      </c>
      <c r="CR256" s="36" t="s">
        <v>248</v>
      </c>
      <c r="CS256" s="36">
        <v>5</v>
      </c>
      <c r="CT256" s="36">
        <v>4</v>
      </c>
      <c r="CU256" s="36">
        <v>3</v>
      </c>
      <c r="CV256" s="36">
        <v>5</v>
      </c>
      <c r="CW256" s="36">
        <v>5</v>
      </c>
      <c r="CX256" s="36">
        <v>5</v>
      </c>
      <c r="CY256" s="36">
        <v>5</v>
      </c>
      <c r="CZ256" s="36">
        <v>5</v>
      </c>
      <c r="DA256" s="36">
        <v>5</v>
      </c>
      <c r="DB256" s="36">
        <v>5</v>
      </c>
      <c r="DC256" s="36">
        <v>5</v>
      </c>
      <c r="DD256" s="36">
        <v>4</v>
      </c>
      <c r="DE256" s="36">
        <v>4</v>
      </c>
      <c r="DF256" s="36">
        <v>4</v>
      </c>
      <c r="DG256" s="36">
        <v>5</v>
      </c>
      <c r="DH256" s="36">
        <v>4</v>
      </c>
      <c r="DI256" s="36" t="s">
        <v>133</v>
      </c>
      <c r="DJ256" s="36" t="s">
        <v>133</v>
      </c>
      <c r="DK256" s="36" t="s">
        <v>255</v>
      </c>
      <c r="DL256"/>
      <c r="DM256"/>
      <c r="DN256"/>
      <c r="DO256"/>
      <c r="DP256"/>
      <c r="DQ256" s="36">
        <v>4</v>
      </c>
      <c r="DR256" s="36" t="s">
        <v>133</v>
      </c>
      <c r="DS256" s="36" t="s">
        <v>259</v>
      </c>
      <c r="DT256"/>
      <c r="DU256"/>
      <c r="DV256" t="s">
        <v>260</v>
      </c>
      <c r="DW256"/>
      <c r="DX256"/>
      <c r="DY256" s="36">
        <v>5</v>
      </c>
      <c r="DZ256" s="36" t="s">
        <v>133</v>
      </c>
      <c r="EA256" s="36">
        <v>5</v>
      </c>
      <c r="EB256" s="36" t="s">
        <v>263</v>
      </c>
      <c r="EC256" s="36" t="s">
        <v>265</v>
      </c>
      <c r="ED256" s="36">
        <v>27</v>
      </c>
      <c r="EE256" s="36" t="s">
        <v>887</v>
      </c>
      <c r="EF256" s="36" t="str">
        <f>Tabulacao!MC256</f>
        <v>São Domingos</v>
      </c>
      <c r="EG256" s="36" t="s">
        <v>292</v>
      </c>
      <c r="EH256" s="36" t="str">
        <f>Tabulacao!MG256</f>
        <v>Aracaju</v>
      </c>
      <c r="EI256" s="36" t="s">
        <v>888</v>
      </c>
      <c r="EJ256" s="36" t="str">
        <f>Tabulacao!MK256</f>
        <v>São Domingos</v>
      </c>
      <c r="EK256" s="36" t="s">
        <v>134</v>
      </c>
      <c r="EL256" s="36" t="s">
        <v>134</v>
      </c>
      <c r="EM256" s="36" t="s">
        <v>134</v>
      </c>
      <c r="EN256" s="36" t="s">
        <v>134</v>
      </c>
      <c r="EO256" s="36" t="s">
        <v>134</v>
      </c>
      <c r="EP256" s="36" t="s">
        <v>134</v>
      </c>
      <c r="EQ256" s="36" t="s">
        <v>273</v>
      </c>
      <c r="ER256" s="36" t="str">
        <f>IF(OR(EQ256=CaractAmostra!$BD$9,EQ256=CaractAmostra!$BD$10,EQ256=CaractAmostra!$BD$11,EQ256=CaractAmostra!$BD$12,EQ256=CaractAmostra!$BD$13),Respostas_Formatadas!EQ256,"Outros")</f>
        <v>Dividia residência com outras pessoas</v>
      </c>
      <c r="ES256" s="36" t="s">
        <v>275</v>
      </c>
      <c r="ET256" s="36" t="str">
        <f>IF(OR(ES256=CaractAmostra!$BH$9,ES256=CaractAmostra!$BH$10,ES256=CaractAmostra!$BH$11,ES256=CaractAmostra!$BH$12),Respostas_Formatadas!ES256,"Outros")</f>
        <v>Com os pais</v>
      </c>
      <c r="EU256" s="36" t="s">
        <v>134</v>
      </c>
      <c r="EV256" s="36" t="s">
        <v>282</v>
      </c>
      <c r="EW256" s="36" t="s">
        <v>283</v>
      </c>
      <c r="FE256" s="47">
        <v>2016</v>
      </c>
      <c r="FF256" s="97">
        <v>7.4950999999999999</v>
      </c>
      <c r="FG256" s="47">
        <v>2016</v>
      </c>
      <c r="FH256" s="47">
        <f t="shared" si="11"/>
        <v>0</v>
      </c>
      <c r="FI256" s="47" t="str">
        <f t="shared" si="8"/>
        <v>Aracaju</v>
      </c>
      <c r="FJ256" s="47" t="str">
        <f t="shared" si="9"/>
        <v>Tecnologia</v>
      </c>
    </row>
    <row r="257" spans="1:166" s="36" customFormat="1" ht="15.75" customHeight="1" x14ac:dyDescent="0.2">
      <c r="A257" s="38">
        <v>43426.818468078709</v>
      </c>
      <c r="B257" s="41"/>
      <c r="C257" s="36" t="s">
        <v>125</v>
      </c>
      <c r="D257" s="47" t="s">
        <v>134</v>
      </c>
      <c r="M257" s="36" t="s">
        <v>148</v>
      </c>
      <c r="N257" s="36" t="s">
        <v>134</v>
      </c>
      <c r="O257" s="36" t="s">
        <v>134</v>
      </c>
      <c r="P257" s="36" t="s">
        <v>133</v>
      </c>
      <c r="Q257" s="36" t="s">
        <v>133</v>
      </c>
      <c r="R257" s="36" t="s">
        <v>153</v>
      </c>
      <c r="S257" s="36" t="s">
        <v>939</v>
      </c>
      <c r="T257" s="36" t="s">
        <v>154</v>
      </c>
      <c r="U257" s="36" t="s">
        <v>157</v>
      </c>
      <c r="V257" s="36">
        <v>3</v>
      </c>
      <c r="W257" s="36">
        <v>3</v>
      </c>
      <c r="X257" s="36">
        <v>3</v>
      </c>
      <c r="Y257" s="36" t="s">
        <v>166</v>
      </c>
      <c r="AC257" s="36" t="s">
        <v>178</v>
      </c>
      <c r="AE257" s="36">
        <v>2</v>
      </c>
      <c r="AF257" s="36" t="s">
        <v>188</v>
      </c>
      <c r="AG257" s="36" t="s">
        <v>188</v>
      </c>
      <c r="AH257" s="36" t="s">
        <v>134</v>
      </c>
      <c r="AI257" s="40"/>
      <c r="AJ257" s="36">
        <v>1</v>
      </c>
      <c r="AK257" s="36">
        <v>3</v>
      </c>
      <c r="AL257" s="36" t="s">
        <v>134</v>
      </c>
      <c r="AM257" s="36" t="s">
        <v>170</v>
      </c>
      <c r="AO257" s="36" t="s">
        <v>134</v>
      </c>
      <c r="AQ257" s="40"/>
      <c r="BT257" s="36">
        <v>4</v>
      </c>
      <c r="BU257" s="36">
        <v>5</v>
      </c>
      <c r="BV257" s="36">
        <v>3</v>
      </c>
      <c r="BW257" s="36">
        <v>5</v>
      </c>
      <c r="BX257" s="36">
        <v>4</v>
      </c>
      <c r="BY257" s="36">
        <v>5</v>
      </c>
      <c r="BZ257" s="36">
        <v>5</v>
      </c>
      <c r="CA257" s="36">
        <v>5</v>
      </c>
      <c r="CB257" s="36">
        <v>4</v>
      </c>
      <c r="CC257" s="36">
        <v>5</v>
      </c>
      <c r="CD257" s="36">
        <v>4</v>
      </c>
      <c r="CE257" s="36">
        <v>3</v>
      </c>
      <c r="CF257" s="36">
        <v>3</v>
      </c>
      <c r="CG257" s="36">
        <v>3</v>
      </c>
      <c r="CH257" s="36" t="s">
        <v>222</v>
      </c>
      <c r="CI257"/>
      <c r="CJ257"/>
      <c r="CK257" s="36" t="s">
        <v>235</v>
      </c>
      <c r="CL257" t="s">
        <v>239</v>
      </c>
      <c r="CM257"/>
      <c r="CN257" s="36" t="s">
        <v>241</v>
      </c>
      <c r="CO257" s="36" t="s">
        <v>134</v>
      </c>
      <c r="CP257" s="36">
        <v>5</v>
      </c>
      <c r="CQ257" s="36">
        <v>5</v>
      </c>
      <c r="CR257" s="36" t="s">
        <v>249</v>
      </c>
      <c r="CS257" s="36">
        <v>5</v>
      </c>
      <c r="CT257" s="36">
        <v>2</v>
      </c>
      <c r="CU257" s="36">
        <v>4</v>
      </c>
      <c r="CV257" s="36">
        <v>3</v>
      </c>
      <c r="CW257" s="36">
        <v>4</v>
      </c>
      <c r="CX257" s="36">
        <v>5</v>
      </c>
      <c r="CY257" s="36">
        <v>5</v>
      </c>
      <c r="CZ257" s="36">
        <v>3</v>
      </c>
      <c r="DA257" s="36">
        <v>3</v>
      </c>
      <c r="DB257" s="36">
        <v>2</v>
      </c>
      <c r="DC257" s="36">
        <v>3</v>
      </c>
      <c r="DD257" s="36">
        <v>2</v>
      </c>
      <c r="DE257" s="36">
        <v>2</v>
      </c>
      <c r="DF257" s="36">
        <v>3</v>
      </c>
      <c r="DG257" s="36">
        <v>3</v>
      </c>
      <c r="DH257" s="36">
        <v>3</v>
      </c>
      <c r="DI257" s="36" t="s">
        <v>250</v>
      </c>
      <c r="DJ257" s="36" t="s">
        <v>134</v>
      </c>
      <c r="DL257"/>
      <c r="DM257"/>
      <c r="DN257"/>
      <c r="DO257"/>
      <c r="DP257"/>
      <c r="DR257" s="36" t="s">
        <v>134</v>
      </c>
      <c r="DT257"/>
      <c r="DU257"/>
      <c r="DV257"/>
      <c r="DW257"/>
      <c r="DX257"/>
      <c r="DZ257" s="36" t="s">
        <v>133</v>
      </c>
      <c r="EA257" s="36">
        <v>5</v>
      </c>
      <c r="EB257" s="36" t="s">
        <v>262</v>
      </c>
      <c r="EC257" s="36" t="s">
        <v>267</v>
      </c>
      <c r="ED257" s="36">
        <v>34</v>
      </c>
      <c r="EE257" s="36" t="s">
        <v>292</v>
      </c>
      <c r="EF257" s="36" t="str">
        <f>Tabulacao!MC257</f>
        <v>Aracaju</v>
      </c>
      <c r="EG257" s="36" t="s">
        <v>292</v>
      </c>
      <c r="EH257" s="36" t="str">
        <f>Tabulacao!MG257</f>
        <v>Aracaju</v>
      </c>
      <c r="EI257" s="36" t="s">
        <v>292</v>
      </c>
      <c r="EJ257" s="36" t="str">
        <f>Tabulacao!MK257</f>
        <v>Aracaju</v>
      </c>
      <c r="EK257" s="36" t="s">
        <v>134</v>
      </c>
      <c r="EL257" s="36" t="s">
        <v>134</v>
      </c>
      <c r="EM257" s="36" t="s">
        <v>134</v>
      </c>
      <c r="EN257" s="36" t="s">
        <v>134</v>
      </c>
      <c r="EO257" s="36" t="s">
        <v>134</v>
      </c>
      <c r="EP257" s="36" t="s">
        <v>134</v>
      </c>
      <c r="EQ257" s="36" t="s">
        <v>274</v>
      </c>
      <c r="ER257" s="36" t="str">
        <f>IF(OR(EQ257=CaractAmostra!$BD$9,EQ257=CaractAmostra!$BD$10,EQ257=CaractAmostra!$BD$11,EQ257=CaractAmostra!$BD$12,EQ257=CaractAmostra!$BD$13),Respostas_Formatadas!EQ257,"Outros")</f>
        <v>Com um(a) parceiro(a)</v>
      </c>
      <c r="ES257" s="36" t="s">
        <v>274</v>
      </c>
      <c r="ET257" s="36" t="str">
        <f>IF(OR(ES257=CaractAmostra!$BH$9,ES257=CaractAmostra!$BH$10,ES257=CaractAmostra!$BH$11,ES257=CaractAmostra!$BH$12),Respostas_Formatadas!ES257,"Outros")</f>
        <v>Com um(a) parceiro(a)</v>
      </c>
      <c r="EU257" s="36" t="s">
        <v>279</v>
      </c>
      <c r="EV257" s="36" t="s">
        <v>283</v>
      </c>
      <c r="EW257" s="36" t="s">
        <v>288</v>
      </c>
      <c r="FE257" s="47">
        <v>2017</v>
      </c>
      <c r="FF257" s="97">
        <v>5.9702000000000002</v>
      </c>
      <c r="FG257" s="47">
        <v>2017</v>
      </c>
      <c r="FH257" s="47">
        <f t="shared" si="11"/>
        <v>0</v>
      </c>
      <c r="FI257" s="47" t="str">
        <f t="shared" si="8"/>
        <v>Aracaju</v>
      </c>
      <c r="FJ257" s="47" t="str">
        <f t="shared" si="9"/>
        <v>Tecnologia</v>
      </c>
    </row>
    <row r="258" spans="1:166" s="36" customFormat="1" ht="15.75" customHeight="1" x14ac:dyDescent="0.2">
      <c r="A258" s="38">
        <v>43426.819641782407</v>
      </c>
      <c r="B258" s="41"/>
      <c r="C258" s="36" t="s">
        <v>119</v>
      </c>
      <c r="D258" s="47" t="s">
        <v>133</v>
      </c>
      <c r="E258" s="36" t="s">
        <v>135</v>
      </c>
      <c r="H258" s="36" t="s">
        <v>142</v>
      </c>
      <c r="M258" s="36" t="s">
        <v>147</v>
      </c>
      <c r="N258" s="36" t="s">
        <v>133</v>
      </c>
      <c r="O258" s="36" t="s">
        <v>134</v>
      </c>
      <c r="P258" s="36" t="s">
        <v>134</v>
      </c>
      <c r="Q258" s="36" t="s">
        <v>134</v>
      </c>
      <c r="R258" s="36" t="s">
        <v>151</v>
      </c>
      <c r="Y258" s="36" t="s">
        <v>134</v>
      </c>
      <c r="AI258" s="40"/>
      <c r="AQ258" s="40"/>
      <c r="BT258" s="36">
        <v>4</v>
      </c>
      <c r="BU258" s="36">
        <v>3</v>
      </c>
      <c r="BV258" s="36">
        <v>4</v>
      </c>
      <c r="BW258" s="36">
        <v>4</v>
      </c>
      <c r="BX258" s="36">
        <v>4</v>
      </c>
      <c r="BY258" s="36">
        <v>4</v>
      </c>
      <c r="BZ258" s="36">
        <v>4</v>
      </c>
      <c r="CA258" s="36">
        <v>5</v>
      </c>
      <c r="CB258" s="36">
        <v>4</v>
      </c>
      <c r="CC258" s="36">
        <v>5</v>
      </c>
      <c r="CD258" s="36">
        <v>4</v>
      </c>
      <c r="CE258" s="36">
        <v>3</v>
      </c>
      <c r="CF258" s="36">
        <v>2</v>
      </c>
      <c r="CG258" s="36">
        <v>4</v>
      </c>
      <c r="CH258" s="36" t="s">
        <v>222</v>
      </c>
      <c r="CI258" t="s">
        <v>225</v>
      </c>
      <c r="CJ258" t="s">
        <v>229</v>
      </c>
      <c r="CK258" s="36" t="s">
        <v>234</v>
      </c>
      <c r="CL258" t="s">
        <v>235</v>
      </c>
      <c r="CM258" t="s">
        <v>240</v>
      </c>
      <c r="CN258" s="36" t="s">
        <v>241</v>
      </c>
      <c r="CO258" s="36" t="s">
        <v>133</v>
      </c>
      <c r="CP258" s="36">
        <v>2</v>
      </c>
      <c r="CQ258" s="36">
        <v>4</v>
      </c>
      <c r="CR258" s="36" t="s">
        <v>248</v>
      </c>
      <c r="CS258" s="36">
        <v>3</v>
      </c>
      <c r="CT258" s="36">
        <v>3</v>
      </c>
      <c r="CU258" s="36">
        <v>3</v>
      </c>
      <c r="CV258" s="36">
        <v>4</v>
      </c>
      <c r="CW258" s="36">
        <v>4</v>
      </c>
      <c r="CX258" s="36">
        <v>4</v>
      </c>
      <c r="CY258" s="36">
        <v>5</v>
      </c>
      <c r="CZ258" s="36">
        <v>5</v>
      </c>
      <c r="DA258" s="36">
        <v>3</v>
      </c>
      <c r="DB258" s="36">
        <v>4</v>
      </c>
      <c r="DC258" s="36">
        <v>5</v>
      </c>
      <c r="DD258" s="36">
        <v>5</v>
      </c>
      <c r="DE258" s="36">
        <v>5</v>
      </c>
      <c r="DF258" s="36">
        <v>5</v>
      </c>
      <c r="DG258" s="36">
        <v>5</v>
      </c>
      <c r="DH258" s="36">
        <v>5</v>
      </c>
      <c r="DI258" s="36" t="s">
        <v>133</v>
      </c>
      <c r="DJ258" s="36" t="s">
        <v>134</v>
      </c>
      <c r="DL258"/>
      <c r="DM258"/>
      <c r="DN258"/>
      <c r="DO258"/>
      <c r="DP258"/>
      <c r="DR258" s="36" t="s">
        <v>134</v>
      </c>
      <c r="DT258"/>
      <c r="DU258"/>
      <c r="DV258"/>
      <c r="DW258"/>
      <c r="DX258"/>
      <c r="DZ258" s="36" t="s">
        <v>133</v>
      </c>
      <c r="EA258" s="36">
        <v>5</v>
      </c>
      <c r="EB258" s="36" t="s">
        <v>262</v>
      </c>
      <c r="EC258" s="36" t="s">
        <v>265</v>
      </c>
      <c r="ED258" s="36">
        <v>27</v>
      </c>
      <c r="EE258" s="36" t="s">
        <v>889</v>
      </c>
      <c r="EF258" s="36" t="str">
        <f>Tabulacao!MC258</f>
        <v>Floriano - PI</v>
      </c>
      <c r="EG258" s="36" t="s">
        <v>890</v>
      </c>
      <c r="EH258" s="36" t="str">
        <f>Tabulacao!MG258</f>
        <v>Aracaju</v>
      </c>
      <c r="EI258" s="36" t="s">
        <v>889</v>
      </c>
      <c r="EJ258" s="36" t="str">
        <f>Tabulacao!MK258</f>
        <v>Floriano - PI</v>
      </c>
      <c r="EK258" s="36" t="s">
        <v>134</v>
      </c>
      <c r="EL258" s="36" t="s">
        <v>134</v>
      </c>
      <c r="EM258" s="36" t="s">
        <v>134</v>
      </c>
      <c r="EN258" s="36" t="s">
        <v>134</v>
      </c>
      <c r="EO258" s="36" t="s">
        <v>134</v>
      </c>
      <c r="EP258" s="36" t="s">
        <v>134</v>
      </c>
      <c r="EQ258" s="36" t="s">
        <v>273</v>
      </c>
      <c r="ER258" s="36" t="str">
        <f>IF(OR(EQ258=CaractAmostra!$BD$9,EQ258=CaractAmostra!$BD$10,EQ258=CaractAmostra!$BD$11,EQ258=CaractAmostra!$BD$12,EQ258=CaractAmostra!$BD$13),Respostas_Formatadas!EQ258,"Outros")</f>
        <v>Dividia residência com outras pessoas</v>
      </c>
      <c r="ES258" s="36" t="s">
        <v>275</v>
      </c>
      <c r="ET258" s="36" t="str">
        <f>IF(OR(ES258=CaractAmostra!$BH$9,ES258=CaractAmostra!$BH$10,ES258=CaractAmostra!$BH$11,ES258=CaractAmostra!$BH$12),Respostas_Formatadas!ES258,"Outros")</f>
        <v>Com os pais</v>
      </c>
      <c r="EU258" s="36" t="s">
        <v>134</v>
      </c>
      <c r="EV258" s="36" t="s">
        <v>283</v>
      </c>
      <c r="EW258" s="36" t="s">
        <v>285</v>
      </c>
      <c r="FE258" s="47">
        <v>2017</v>
      </c>
      <c r="FF258" s="97">
        <v>7.8746999999999998</v>
      </c>
      <c r="FG258" s="47">
        <v>2017</v>
      </c>
      <c r="FH258" s="47">
        <f t="shared" si="11"/>
        <v>0</v>
      </c>
      <c r="FI258" s="47" t="str">
        <f t="shared" si="8"/>
        <v>Aracaju</v>
      </c>
      <c r="FJ258" s="47" t="str">
        <f t="shared" si="9"/>
        <v>Bacharelado</v>
      </c>
    </row>
    <row r="259" spans="1:166" s="36" customFormat="1" ht="15.75" customHeight="1" x14ac:dyDescent="0.2">
      <c r="A259" s="38">
        <v>43426.829291782407</v>
      </c>
      <c r="B259" s="41"/>
      <c r="C259" s="36" t="s">
        <v>119</v>
      </c>
      <c r="D259" s="47" t="s">
        <v>134</v>
      </c>
      <c r="M259" s="36" t="s">
        <v>146</v>
      </c>
      <c r="N259" s="36" t="s">
        <v>134</v>
      </c>
      <c r="O259" s="36" t="s">
        <v>133</v>
      </c>
      <c r="P259" s="36" t="s">
        <v>133</v>
      </c>
      <c r="Q259" s="36" t="s">
        <v>133</v>
      </c>
      <c r="R259" s="36" t="s">
        <v>151</v>
      </c>
      <c r="Y259" s="36" t="s">
        <v>166</v>
      </c>
      <c r="AC259" s="36" t="s">
        <v>183</v>
      </c>
      <c r="AD259" s="36" t="s">
        <v>891</v>
      </c>
      <c r="AE259" s="36">
        <v>4</v>
      </c>
      <c r="AF259" s="36" t="s">
        <v>189</v>
      </c>
      <c r="AG259" s="36" t="s">
        <v>189</v>
      </c>
      <c r="AH259" s="36" t="s">
        <v>133</v>
      </c>
      <c r="AI259" s="40">
        <v>5000</v>
      </c>
      <c r="AJ259" s="36">
        <v>4</v>
      </c>
      <c r="AK259" s="36">
        <v>1</v>
      </c>
      <c r="AL259" s="36" t="s">
        <v>133</v>
      </c>
      <c r="AP259" s="36" t="s">
        <v>892</v>
      </c>
      <c r="AQ259" s="40">
        <v>17000</v>
      </c>
      <c r="AR259" s="36">
        <v>5</v>
      </c>
      <c r="AS259" s="36">
        <v>5</v>
      </c>
      <c r="AT259" s="36">
        <v>5</v>
      </c>
      <c r="AU259" s="36">
        <v>5</v>
      </c>
      <c r="AV259" s="36">
        <v>5</v>
      </c>
      <c r="AW259" s="36" t="s">
        <v>192</v>
      </c>
      <c r="AX259" s="36" t="s">
        <v>206</v>
      </c>
      <c r="AY259" s="36" t="s">
        <v>893</v>
      </c>
      <c r="AZ259" s="36" t="s">
        <v>133</v>
      </c>
      <c r="BA259" s="36" t="s">
        <v>170</v>
      </c>
      <c r="BB259" s="36" t="s">
        <v>894</v>
      </c>
      <c r="BC259" s="36" t="s">
        <v>292</v>
      </c>
      <c r="BD259" s="36" t="s">
        <v>189</v>
      </c>
      <c r="BF259" s="36" t="s">
        <v>219</v>
      </c>
      <c r="BG259" s="36">
        <v>5</v>
      </c>
      <c r="BH259" s="36">
        <v>5</v>
      </c>
      <c r="BI259" s="36">
        <v>5</v>
      </c>
      <c r="BJ259" s="36">
        <v>5</v>
      </c>
      <c r="BK259" s="36">
        <v>5</v>
      </c>
      <c r="BL259" s="36">
        <v>5</v>
      </c>
      <c r="BM259" s="36">
        <v>5</v>
      </c>
      <c r="BN259" s="36">
        <v>5</v>
      </c>
      <c r="BO259" s="36">
        <v>5</v>
      </c>
      <c r="BP259" s="36">
        <v>5</v>
      </c>
      <c r="BQ259" s="36">
        <v>5</v>
      </c>
      <c r="BR259" s="36">
        <v>5</v>
      </c>
      <c r="BS259" s="36">
        <v>3</v>
      </c>
      <c r="BT259" s="36">
        <v>1</v>
      </c>
      <c r="BU259" s="36">
        <v>2</v>
      </c>
      <c r="BV259" s="36">
        <v>3</v>
      </c>
      <c r="BW259" s="36">
        <v>5</v>
      </c>
      <c r="BX259" s="36">
        <v>3</v>
      </c>
      <c r="BY259" s="36">
        <v>1</v>
      </c>
      <c r="BZ259" s="36">
        <v>3</v>
      </c>
      <c r="CA259" s="36">
        <v>2</v>
      </c>
      <c r="CB259" s="36">
        <v>3</v>
      </c>
      <c r="CC259" s="36">
        <v>3</v>
      </c>
      <c r="CD259" s="36">
        <v>3</v>
      </c>
      <c r="CE259" s="36">
        <v>3</v>
      </c>
      <c r="CF259" s="36">
        <v>3</v>
      </c>
      <c r="CG259" s="36">
        <v>5</v>
      </c>
      <c r="CH259" s="36" t="s">
        <v>224</v>
      </c>
      <c r="CI259" t="s">
        <v>227</v>
      </c>
      <c r="CJ259"/>
      <c r="CK259" s="36" t="s">
        <v>235</v>
      </c>
      <c r="CL259" t="s">
        <v>240</v>
      </c>
      <c r="CM259"/>
      <c r="CN259" s="36" t="s">
        <v>241</v>
      </c>
      <c r="CO259" s="36" t="s">
        <v>134</v>
      </c>
      <c r="CP259" s="36">
        <v>5</v>
      </c>
      <c r="CQ259" s="36">
        <v>1</v>
      </c>
      <c r="CR259" s="36" t="s">
        <v>249</v>
      </c>
      <c r="CS259" s="36">
        <v>5</v>
      </c>
      <c r="CT259" s="36">
        <v>4</v>
      </c>
      <c r="CU259" s="36">
        <v>3</v>
      </c>
      <c r="CV259" s="36">
        <v>3</v>
      </c>
      <c r="CW259" s="36">
        <v>4</v>
      </c>
      <c r="CX259" s="36">
        <v>3</v>
      </c>
      <c r="CY259" s="36">
        <v>3</v>
      </c>
      <c r="CZ259" s="36">
        <v>5</v>
      </c>
      <c r="DA259" s="36">
        <v>2</v>
      </c>
      <c r="DB259" s="36">
        <v>2</v>
      </c>
      <c r="DC259" s="36">
        <v>2</v>
      </c>
      <c r="DD259" s="36">
        <v>1</v>
      </c>
      <c r="DE259" s="36">
        <v>1</v>
      </c>
      <c r="DF259" s="36">
        <v>1</v>
      </c>
      <c r="DG259" s="36">
        <v>1</v>
      </c>
      <c r="DH259" s="36">
        <v>3</v>
      </c>
      <c r="DI259" s="36" t="s">
        <v>133</v>
      </c>
      <c r="DJ259" s="36" t="s">
        <v>133</v>
      </c>
      <c r="DK259" s="36" t="s">
        <v>254</v>
      </c>
      <c r="DL259" t="s">
        <v>255</v>
      </c>
      <c r="DM259"/>
      <c r="DN259"/>
      <c r="DO259" t="s">
        <v>256</v>
      </c>
      <c r="DP259"/>
      <c r="DQ259" s="36">
        <v>5</v>
      </c>
      <c r="DR259" s="36" t="s">
        <v>133</v>
      </c>
      <c r="DS259" s="36" t="s">
        <v>259</v>
      </c>
      <c r="DT259"/>
      <c r="DU259"/>
      <c r="DV259" t="s">
        <v>260</v>
      </c>
      <c r="DW259" t="s">
        <v>261</v>
      </c>
      <c r="DX259"/>
      <c r="DY259" s="36">
        <v>5</v>
      </c>
      <c r="DZ259" s="36" t="s">
        <v>133</v>
      </c>
      <c r="EA259" s="36">
        <v>5</v>
      </c>
      <c r="EB259" s="36" t="s">
        <v>262</v>
      </c>
      <c r="EC259" s="36" t="s">
        <v>267</v>
      </c>
      <c r="ED259" s="36">
        <v>26</v>
      </c>
      <c r="EE259" s="36" t="s">
        <v>895</v>
      </c>
      <c r="EF259" s="36" t="str">
        <f>Tabulacao!MC259</f>
        <v>Teixeira de Freitas - BA</v>
      </c>
      <c r="EG259" s="36" t="s">
        <v>292</v>
      </c>
      <c r="EH259" s="36" t="str">
        <f>Tabulacao!MG259</f>
        <v>Aracaju</v>
      </c>
      <c r="EI259" s="36" t="s">
        <v>292</v>
      </c>
      <c r="EJ259" s="36" t="str">
        <f>Tabulacao!MK259</f>
        <v>Aracaju</v>
      </c>
      <c r="EK259" s="36" t="s">
        <v>134</v>
      </c>
      <c r="EL259" s="36" t="s">
        <v>134</v>
      </c>
      <c r="EM259" s="36" t="s">
        <v>134</v>
      </c>
      <c r="EN259" s="36" t="s">
        <v>134</v>
      </c>
      <c r="EO259" s="36" t="s">
        <v>134</v>
      </c>
      <c r="EP259" s="36" t="s">
        <v>134</v>
      </c>
      <c r="EQ259" s="36" t="s">
        <v>272</v>
      </c>
      <c r="ER259" s="36" t="str">
        <f>IF(OR(EQ259=CaractAmostra!$BD$9,EQ259=CaractAmostra!$BD$10,EQ259=CaractAmostra!$BD$11,EQ259=CaractAmostra!$BD$12,EQ259=CaractAmostra!$BD$13),Respostas_Formatadas!EQ259,"Outros")</f>
        <v>Morava sozinho</v>
      </c>
      <c r="ES259" s="36" t="s">
        <v>278</v>
      </c>
      <c r="ET259" s="36" t="str">
        <f>IF(OR(ES259=CaractAmostra!$BH$9,ES259=CaractAmostra!$BH$10,ES259=CaractAmostra!$BH$11,ES259=CaractAmostra!$BH$12),Respostas_Formatadas!ES259,"Outros")</f>
        <v>Divido residência com outras pessoas</v>
      </c>
      <c r="EU259" s="36" t="s">
        <v>134</v>
      </c>
      <c r="EV259" s="36" t="s">
        <v>287</v>
      </c>
      <c r="EW259" s="36" t="s">
        <v>287</v>
      </c>
      <c r="FD259" s="36" t="s">
        <v>896</v>
      </c>
      <c r="FE259" s="47">
        <v>2018</v>
      </c>
      <c r="FF259" s="97">
        <v>6.5526999999999997</v>
      </c>
      <c r="FG259" s="47">
        <v>2018</v>
      </c>
      <c r="FH259" s="47">
        <f t="shared" si="11"/>
        <v>0</v>
      </c>
      <c r="FI259" s="47" t="str">
        <f t="shared" ref="FI259:FI273" si="12">VLOOKUP($C259,$FL$4:$FN$16,2,FALSE)</f>
        <v>Aracaju</v>
      </c>
      <c r="FJ259" s="47" t="str">
        <f t="shared" ref="FJ259:FJ273" si="13">VLOOKUP($C259,$FL$4:$FN$16,3,FALSE)</f>
        <v>Bacharelado</v>
      </c>
    </row>
    <row r="260" spans="1:166" s="36" customFormat="1" ht="15.75" customHeight="1" x14ac:dyDescent="0.2">
      <c r="A260" s="38">
        <v>43426.83349824074</v>
      </c>
      <c r="B260" s="41"/>
      <c r="C260" s="36" t="s">
        <v>125</v>
      </c>
      <c r="D260" s="47" t="s">
        <v>134</v>
      </c>
      <c r="M260" s="36" t="s">
        <v>146</v>
      </c>
      <c r="N260" s="36" t="s">
        <v>134</v>
      </c>
      <c r="O260" s="36" t="s">
        <v>133</v>
      </c>
      <c r="P260" s="36" t="s">
        <v>134</v>
      </c>
      <c r="Q260" s="36" t="s">
        <v>133</v>
      </c>
      <c r="R260" s="36" t="s">
        <v>151</v>
      </c>
      <c r="Y260" s="36" t="s">
        <v>166</v>
      </c>
      <c r="AC260" s="36" t="s">
        <v>181</v>
      </c>
      <c r="AD260" s="36" t="s">
        <v>897</v>
      </c>
      <c r="AE260" s="36">
        <v>5</v>
      </c>
      <c r="AF260" s="36" t="s">
        <v>790</v>
      </c>
      <c r="AG260" s="36" t="s">
        <v>790</v>
      </c>
      <c r="AH260" s="36" t="s">
        <v>134</v>
      </c>
      <c r="AI260" s="40">
        <v>950</v>
      </c>
      <c r="AJ260" s="36">
        <v>5</v>
      </c>
      <c r="AK260" s="36">
        <v>5</v>
      </c>
      <c r="AL260" s="36" t="s">
        <v>133</v>
      </c>
      <c r="AP260" s="36" t="s">
        <v>382</v>
      </c>
      <c r="AQ260" s="40">
        <v>1196</v>
      </c>
      <c r="AR260" s="36">
        <v>4</v>
      </c>
      <c r="AS260" s="36">
        <v>5</v>
      </c>
      <c r="AT260" s="36">
        <v>4</v>
      </c>
      <c r="AU260" s="36">
        <v>5</v>
      </c>
      <c r="AV260" s="36">
        <v>5</v>
      </c>
      <c r="AW260" s="36" t="s">
        <v>192</v>
      </c>
      <c r="AX260" s="36" t="s">
        <v>207</v>
      </c>
      <c r="AY260" s="36" t="s">
        <v>210</v>
      </c>
      <c r="AZ260" s="36" t="s">
        <v>133</v>
      </c>
      <c r="BA260" s="36" t="s">
        <v>170</v>
      </c>
      <c r="BB260" s="36" t="s">
        <v>501</v>
      </c>
      <c r="BC260" s="36" t="s">
        <v>292</v>
      </c>
      <c r="BD260" s="36" t="s">
        <v>189</v>
      </c>
      <c r="BF260" s="36" t="s">
        <v>219</v>
      </c>
      <c r="BG260" s="36">
        <v>5</v>
      </c>
      <c r="BH260" s="36">
        <v>5</v>
      </c>
      <c r="BI260" s="36">
        <v>5</v>
      </c>
      <c r="BJ260" s="36">
        <v>5</v>
      </c>
      <c r="BK260" s="36">
        <v>5</v>
      </c>
      <c r="BL260" s="36">
        <v>5</v>
      </c>
      <c r="BM260" s="36">
        <v>5</v>
      </c>
      <c r="BN260" s="36">
        <v>5</v>
      </c>
      <c r="BO260" s="36">
        <v>5</v>
      </c>
      <c r="BP260" s="36">
        <v>5</v>
      </c>
      <c r="BQ260" s="36">
        <v>5</v>
      </c>
      <c r="BR260" s="36">
        <v>5</v>
      </c>
      <c r="BS260" s="36">
        <v>5</v>
      </c>
      <c r="BT260" s="36">
        <v>4</v>
      </c>
      <c r="BU260" s="36">
        <v>4</v>
      </c>
      <c r="BV260" s="36">
        <v>4</v>
      </c>
      <c r="BW260" s="36">
        <v>5</v>
      </c>
      <c r="BX260" s="36">
        <v>5</v>
      </c>
      <c r="BY260" s="36">
        <v>5</v>
      </c>
      <c r="BZ260" s="36">
        <v>5</v>
      </c>
      <c r="CA260" s="36">
        <v>4</v>
      </c>
      <c r="CB260" s="36">
        <v>5</v>
      </c>
      <c r="CC260" s="36">
        <v>5</v>
      </c>
      <c r="CD260" s="36">
        <v>4</v>
      </c>
      <c r="CE260" s="36">
        <v>5</v>
      </c>
      <c r="CF260" s="36">
        <v>2</v>
      </c>
      <c r="CG260" s="36">
        <v>4</v>
      </c>
      <c r="CH260" s="36" t="s">
        <v>222</v>
      </c>
      <c r="CI260"/>
      <c r="CJ260"/>
      <c r="CK260" s="36" t="s">
        <v>233</v>
      </c>
      <c r="CL260"/>
      <c r="CM260"/>
      <c r="CN260" s="36" t="s">
        <v>242</v>
      </c>
      <c r="CO260" s="36" t="s">
        <v>133</v>
      </c>
      <c r="CP260" s="36">
        <v>5</v>
      </c>
      <c r="CQ260" s="36">
        <v>5</v>
      </c>
      <c r="CR260" s="36" t="s">
        <v>248</v>
      </c>
      <c r="CS260" s="36">
        <v>4</v>
      </c>
      <c r="CT260" s="36">
        <v>5</v>
      </c>
      <c r="CU260" s="36">
        <v>5</v>
      </c>
      <c r="CV260" s="36">
        <v>1</v>
      </c>
      <c r="CW260" s="36">
        <v>5</v>
      </c>
      <c r="CX260" s="36">
        <v>5</v>
      </c>
      <c r="CY260" s="36">
        <v>5</v>
      </c>
      <c r="CZ260" s="36">
        <v>5</v>
      </c>
      <c r="DA260" s="36">
        <v>5</v>
      </c>
      <c r="DB260" s="36">
        <v>5</v>
      </c>
      <c r="DC260" s="36">
        <v>4</v>
      </c>
      <c r="DD260" s="36">
        <v>5</v>
      </c>
      <c r="DE260" s="36">
        <v>5</v>
      </c>
      <c r="DF260" s="36">
        <v>5</v>
      </c>
      <c r="DG260" s="36">
        <v>5</v>
      </c>
      <c r="DH260" s="36">
        <v>5</v>
      </c>
      <c r="DI260" s="36" t="s">
        <v>133</v>
      </c>
      <c r="DJ260" s="36" t="s">
        <v>133</v>
      </c>
      <c r="DK260" s="36" t="s">
        <v>256</v>
      </c>
      <c r="DL260"/>
      <c r="DM260"/>
      <c r="DN260"/>
      <c r="DO260"/>
      <c r="DP260"/>
      <c r="DQ260" s="36">
        <v>5</v>
      </c>
      <c r="DR260" s="36" t="s">
        <v>133</v>
      </c>
      <c r="DS260" s="36" t="s">
        <v>261</v>
      </c>
      <c r="DT260"/>
      <c r="DU260"/>
      <c r="DV260"/>
      <c r="DW260"/>
      <c r="DX260"/>
      <c r="DY260" s="36">
        <v>5</v>
      </c>
      <c r="DZ260" s="36" t="s">
        <v>133</v>
      </c>
      <c r="EA260" s="36">
        <v>5</v>
      </c>
      <c r="EB260" s="36" t="s">
        <v>262</v>
      </c>
      <c r="EC260" s="36" t="s">
        <v>265</v>
      </c>
      <c r="ED260" s="36">
        <v>28</v>
      </c>
      <c r="EE260" s="36" t="s">
        <v>292</v>
      </c>
      <c r="EF260" s="36" t="str">
        <f>Tabulacao!MC260</f>
        <v>Aracaju</v>
      </c>
      <c r="EG260" s="36" t="s">
        <v>292</v>
      </c>
      <c r="EH260" s="36" t="str">
        <f>Tabulacao!MG260</f>
        <v>Aracaju</v>
      </c>
      <c r="EI260" s="36" t="s">
        <v>292</v>
      </c>
      <c r="EJ260" s="36" t="str">
        <f>Tabulacao!MK260</f>
        <v>Aracaju</v>
      </c>
      <c r="EK260" s="36" t="s">
        <v>134</v>
      </c>
      <c r="EL260" s="36" t="s">
        <v>134</v>
      </c>
      <c r="EM260" s="36" t="s">
        <v>134</v>
      </c>
      <c r="EN260" s="36" t="s">
        <v>134</v>
      </c>
      <c r="EO260" s="36" t="s">
        <v>134</v>
      </c>
      <c r="EP260" s="36" t="s">
        <v>134</v>
      </c>
      <c r="EQ260" s="36" t="s">
        <v>273</v>
      </c>
      <c r="ER260" s="36" t="str">
        <f>IF(OR(EQ260=CaractAmostra!$BD$9,EQ260=CaractAmostra!$BD$10,EQ260=CaractAmostra!$BD$11,EQ260=CaractAmostra!$BD$12,EQ260=CaractAmostra!$BD$13),Respostas_Formatadas!EQ260,"Outros")</f>
        <v>Dividia residência com outras pessoas</v>
      </c>
      <c r="ES260" s="36" t="s">
        <v>277</v>
      </c>
      <c r="ET260" s="36" t="str">
        <f>IF(OR(ES260=CaractAmostra!$BH$9,ES260=CaractAmostra!$BH$10,ES260=CaractAmostra!$BH$11,ES260=CaractAmostra!$BH$12),Respostas_Formatadas!ES260,"Outros")</f>
        <v>Sozinho</v>
      </c>
      <c r="EU260" s="36" t="s">
        <v>134</v>
      </c>
      <c r="EV260" s="36" t="s">
        <v>192</v>
      </c>
      <c r="EW260" s="36" t="s">
        <v>282</v>
      </c>
      <c r="FD260" s="36" t="s">
        <v>898</v>
      </c>
      <c r="FE260" s="47">
        <v>2016</v>
      </c>
      <c r="FF260" s="97">
        <v>7.9432</v>
      </c>
      <c r="FG260" s="47" t="s">
        <v>933</v>
      </c>
      <c r="FH260" s="47" t="e">
        <f t="shared" si="11"/>
        <v>#VALUE!</v>
      </c>
      <c r="FI260" s="47" t="str">
        <f t="shared" si="12"/>
        <v>Aracaju</v>
      </c>
      <c r="FJ260" s="47" t="str">
        <f t="shared" si="13"/>
        <v>Tecnologia</v>
      </c>
    </row>
    <row r="261" spans="1:166" s="36" customFormat="1" ht="15.75" customHeight="1" x14ac:dyDescent="0.2">
      <c r="A261" s="38">
        <v>43426.835212766207</v>
      </c>
      <c r="B261" s="41"/>
      <c r="C261" s="36" t="s">
        <v>124</v>
      </c>
      <c r="D261" s="47" t="s">
        <v>134</v>
      </c>
      <c r="M261" s="36" t="s">
        <v>146</v>
      </c>
      <c r="N261" s="36" t="s">
        <v>134</v>
      </c>
      <c r="O261" s="36" t="s">
        <v>134</v>
      </c>
      <c r="P261" s="36" t="s">
        <v>133</v>
      </c>
      <c r="Q261" s="36" t="s">
        <v>133</v>
      </c>
      <c r="R261" s="36" t="s">
        <v>151</v>
      </c>
      <c r="Y261" s="36" t="s">
        <v>166</v>
      </c>
      <c r="AC261" s="36" t="s">
        <v>181</v>
      </c>
      <c r="AD261" s="36" t="s">
        <v>899</v>
      </c>
      <c r="AE261" s="36">
        <v>5</v>
      </c>
      <c r="AF261" s="36" t="s">
        <v>189</v>
      </c>
      <c r="AG261" s="36" t="s">
        <v>189</v>
      </c>
      <c r="AH261" s="36" t="s">
        <v>134</v>
      </c>
      <c r="AI261" s="40">
        <v>2500</v>
      </c>
      <c r="AJ261" s="36">
        <v>5</v>
      </c>
      <c r="AK261" s="36">
        <v>4</v>
      </c>
      <c r="AL261" s="36" t="s">
        <v>134</v>
      </c>
      <c r="AM261" s="36" t="s">
        <v>169</v>
      </c>
      <c r="AN261" s="36">
        <v>2</v>
      </c>
      <c r="AO261" s="36" t="s">
        <v>133</v>
      </c>
      <c r="AP261" s="36" t="s">
        <v>506</v>
      </c>
      <c r="AQ261" s="40">
        <v>1500</v>
      </c>
      <c r="AR261" s="36">
        <v>1</v>
      </c>
      <c r="AS261" s="36">
        <v>1</v>
      </c>
      <c r="AT261" s="36">
        <v>1</v>
      </c>
      <c r="AU261" s="36">
        <v>1</v>
      </c>
      <c r="AV261" s="36">
        <v>1</v>
      </c>
      <c r="AW261" s="36" t="s">
        <v>193</v>
      </c>
      <c r="AX261" s="36" t="s">
        <v>207</v>
      </c>
      <c r="AY261" s="36" t="s">
        <v>210</v>
      </c>
      <c r="AZ261" s="36" t="s">
        <v>134</v>
      </c>
      <c r="BA261" s="36" t="s">
        <v>213</v>
      </c>
      <c r="BB261" s="36" t="s">
        <v>292</v>
      </c>
      <c r="BC261" s="36" t="s">
        <v>292</v>
      </c>
      <c r="BD261" s="36" t="s">
        <v>188</v>
      </c>
      <c r="BF261" s="36" t="s">
        <v>219</v>
      </c>
      <c r="BG261" s="36">
        <v>1</v>
      </c>
      <c r="BH261" s="36">
        <v>2</v>
      </c>
      <c r="BI261" s="36">
        <v>2</v>
      </c>
      <c r="BJ261" s="36">
        <v>5</v>
      </c>
      <c r="BK261" s="36">
        <v>3</v>
      </c>
      <c r="BL261" s="36">
        <v>4</v>
      </c>
      <c r="BM261" s="36">
        <v>4</v>
      </c>
      <c r="BN261" s="36">
        <v>4</v>
      </c>
      <c r="BO261" s="36">
        <v>4</v>
      </c>
      <c r="BP261" s="36">
        <v>3</v>
      </c>
      <c r="BQ261" s="36">
        <v>2</v>
      </c>
      <c r="BR261" s="36">
        <v>2</v>
      </c>
      <c r="BS261" s="36">
        <v>1</v>
      </c>
      <c r="BT261" s="36">
        <v>4</v>
      </c>
      <c r="BU261" s="36">
        <v>3</v>
      </c>
      <c r="BV261" s="36">
        <v>3</v>
      </c>
      <c r="BW261" s="36">
        <v>4</v>
      </c>
      <c r="BX261" s="36">
        <v>3</v>
      </c>
      <c r="BY261" s="36">
        <v>4</v>
      </c>
      <c r="BZ261" s="36">
        <v>3</v>
      </c>
      <c r="CA261" s="36">
        <v>5</v>
      </c>
      <c r="CB261" s="36">
        <v>4</v>
      </c>
      <c r="CC261" s="36">
        <v>4</v>
      </c>
      <c r="CD261" s="36">
        <v>4</v>
      </c>
      <c r="CE261" s="36">
        <v>4</v>
      </c>
      <c r="CF261" s="36">
        <v>1</v>
      </c>
      <c r="CG261" s="36">
        <v>4</v>
      </c>
      <c r="CH261" s="36" t="s">
        <v>222</v>
      </c>
      <c r="CI261" t="s">
        <v>225</v>
      </c>
      <c r="CJ261" t="s">
        <v>230</v>
      </c>
      <c r="CK261" s="36" t="s">
        <v>233</v>
      </c>
      <c r="CL261" t="s">
        <v>235</v>
      </c>
      <c r="CM261"/>
      <c r="CN261" s="36" t="s">
        <v>241</v>
      </c>
      <c r="CO261" s="36" t="s">
        <v>133</v>
      </c>
      <c r="CP261" s="36">
        <v>2</v>
      </c>
      <c r="CQ261" s="36">
        <v>4</v>
      </c>
      <c r="CR261" s="36" t="s">
        <v>248</v>
      </c>
      <c r="CS261" s="36">
        <v>4</v>
      </c>
      <c r="CT261" s="36">
        <v>2</v>
      </c>
      <c r="CU261" s="36">
        <v>2</v>
      </c>
      <c r="CV261" s="36">
        <v>2</v>
      </c>
      <c r="CW261" s="36">
        <v>4</v>
      </c>
      <c r="CX261" s="36">
        <v>4</v>
      </c>
      <c r="CY261" s="36">
        <v>4</v>
      </c>
      <c r="CZ261" s="36">
        <v>3</v>
      </c>
      <c r="DA261" s="36">
        <v>3</v>
      </c>
      <c r="DB261" s="36">
        <v>4</v>
      </c>
      <c r="DC261" s="36">
        <v>4</v>
      </c>
      <c r="DD261" s="36">
        <v>4</v>
      </c>
      <c r="DE261" s="36">
        <v>2</v>
      </c>
      <c r="DF261" s="36">
        <v>3</v>
      </c>
      <c r="DG261" s="36">
        <v>3</v>
      </c>
      <c r="DH261" s="36">
        <v>3</v>
      </c>
      <c r="DI261" s="36" t="s">
        <v>252</v>
      </c>
      <c r="DJ261" s="36" t="s">
        <v>133</v>
      </c>
      <c r="DK261" s="36" t="s">
        <v>254</v>
      </c>
      <c r="DL261"/>
      <c r="DM261"/>
      <c r="DN261"/>
      <c r="DO261"/>
      <c r="DP261"/>
      <c r="DQ261" s="36">
        <v>2</v>
      </c>
      <c r="DR261" s="36" t="s">
        <v>133</v>
      </c>
      <c r="DS261" s="36" t="s">
        <v>260</v>
      </c>
      <c r="DT261"/>
      <c r="DU261"/>
      <c r="DV261"/>
      <c r="DW261"/>
      <c r="DX261"/>
      <c r="DY261" s="36">
        <v>2</v>
      </c>
      <c r="DZ261" s="36" t="s">
        <v>134</v>
      </c>
      <c r="EB261" s="36" t="s">
        <v>262</v>
      </c>
      <c r="EC261" s="36" t="s">
        <v>267</v>
      </c>
      <c r="ED261" s="36">
        <v>37</v>
      </c>
      <c r="EE261" s="36" t="s">
        <v>292</v>
      </c>
      <c r="EF261" s="36" t="str">
        <f>Tabulacao!MC261</f>
        <v>Aracaju</v>
      </c>
      <c r="EG261" s="36" t="s">
        <v>292</v>
      </c>
      <c r="EH261" s="36" t="str">
        <f>Tabulacao!MG261</f>
        <v>Aracaju</v>
      </c>
      <c r="EI261" s="36" t="s">
        <v>292</v>
      </c>
      <c r="EJ261" s="36" t="str">
        <f>Tabulacao!MK261</f>
        <v>Aracaju</v>
      </c>
      <c r="EK261" s="36" t="s">
        <v>134</v>
      </c>
      <c r="EL261" s="36" t="s">
        <v>134</v>
      </c>
      <c r="EM261" s="36" t="s">
        <v>134</v>
      </c>
      <c r="EN261" s="36" t="s">
        <v>134</v>
      </c>
      <c r="EO261" s="36" t="s">
        <v>134</v>
      </c>
      <c r="EP261" s="36" t="s">
        <v>134</v>
      </c>
      <c r="EQ261" s="36" t="s">
        <v>272</v>
      </c>
      <c r="ER261" s="36" t="str">
        <f>IF(OR(EQ261=CaractAmostra!$BD$9,EQ261=CaractAmostra!$BD$10,EQ261=CaractAmostra!$BD$11,EQ261=CaractAmostra!$BD$12,EQ261=CaractAmostra!$BD$13),Respostas_Formatadas!EQ261,"Outros")</f>
        <v>Morava sozinho</v>
      </c>
      <c r="ES261" s="36" t="s">
        <v>277</v>
      </c>
      <c r="ET261" s="36" t="str">
        <f>IF(OR(ES261=CaractAmostra!$BH$9,ES261=CaractAmostra!$BH$10,ES261=CaractAmostra!$BH$11,ES261=CaractAmostra!$BH$12),Respostas_Formatadas!ES261,"Outros")</f>
        <v>Sozinho</v>
      </c>
      <c r="EU261" s="36" t="s">
        <v>134</v>
      </c>
      <c r="EV261" s="36" t="s">
        <v>192</v>
      </c>
      <c r="EW261" s="36" t="s">
        <v>282</v>
      </c>
      <c r="FD261" s="36" t="s">
        <v>900</v>
      </c>
      <c r="FE261" s="47">
        <v>2013</v>
      </c>
      <c r="FF261" s="97">
        <v>7.7428999999999997</v>
      </c>
      <c r="FG261" s="47">
        <v>2013</v>
      </c>
      <c r="FH261" s="47">
        <f t="shared" si="11"/>
        <v>0</v>
      </c>
      <c r="FI261" s="47" t="str">
        <f t="shared" si="12"/>
        <v>Aracaju</v>
      </c>
      <c r="FJ261" s="47" t="str">
        <f t="shared" si="13"/>
        <v>Tecnologia</v>
      </c>
    </row>
    <row r="262" spans="1:166" s="36" customFormat="1" ht="15.75" customHeight="1" x14ac:dyDescent="0.2">
      <c r="A262" s="38">
        <v>43426.840138703701</v>
      </c>
      <c r="B262" s="41"/>
      <c r="C262" s="36" t="s">
        <v>129</v>
      </c>
      <c r="D262" s="47" t="s">
        <v>134</v>
      </c>
      <c r="M262" s="36" t="s">
        <v>147</v>
      </c>
      <c r="N262" s="36" t="s">
        <v>134</v>
      </c>
      <c r="O262" s="36" t="s">
        <v>134</v>
      </c>
      <c r="P262" s="36" t="s">
        <v>134</v>
      </c>
      <c r="Q262" s="36" t="s">
        <v>134</v>
      </c>
      <c r="R262" s="36" t="s">
        <v>151</v>
      </c>
      <c r="Y262" s="36" t="s">
        <v>165</v>
      </c>
      <c r="Z262" s="36" t="s">
        <v>167</v>
      </c>
      <c r="AA262" s="36" t="s">
        <v>174</v>
      </c>
      <c r="AB262" s="36" t="s">
        <v>179</v>
      </c>
      <c r="AD262" s="36" t="s">
        <v>901</v>
      </c>
      <c r="AE262" s="36">
        <v>1</v>
      </c>
      <c r="AF262" s="36" t="s">
        <v>902</v>
      </c>
      <c r="AG262" s="36" t="s">
        <v>902</v>
      </c>
      <c r="AH262" s="36" t="s">
        <v>134</v>
      </c>
      <c r="AI262" s="40">
        <v>954</v>
      </c>
      <c r="AJ262" s="36">
        <v>5</v>
      </c>
      <c r="AK262" s="36">
        <v>3</v>
      </c>
      <c r="AL262" s="36" t="s">
        <v>134</v>
      </c>
      <c r="AM262" s="36" t="s">
        <v>167</v>
      </c>
      <c r="AO262" s="36" t="s">
        <v>133</v>
      </c>
      <c r="AP262" s="36" t="s">
        <v>903</v>
      </c>
      <c r="AQ262" s="40">
        <v>1200</v>
      </c>
      <c r="AR262" s="36">
        <v>3</v>
      </c>
      <c r="AS262" s="36">
        <v>5</v>
      </c>
      <c r="AT262" s="36">
        <v>3</v>
      </c>
      <c r="AU262" s="36">
        <v>4</v>
      </c>
      <c r="AV262" s="36">
        <v>4</v>
      </c>
      <c r="AW262" s="36" t="s">
        <v>904</v>
      </c>
      <c r="AX262" s="36" t="s">
        <v>206</v>
      </c>
      <c r="AY262" s="36" t="s">
        <v>210</v>
      </c>
      <c r="AZ262" s="36" t="s">
        <v>134</v>
      </c>
      <c r="BA262" s="36" t="s">
        <v>212</v>
      </c>
      <c r="BB262" s="36" t="s">
        <v>399</v>
      </c>
      <c r="BC262" s="36" t="s">
        <v>399</v>
      </c>
      <c r="BD262" s="36" t="s">
        <v>189</v>
      </c>
      <c r="BF262" s="36" t="s">
        <v>218</v>
      </c>
      <c r="BG262" s="36">
        <v>4</v>
      </c>
      <c r="BH262" s="36">
        <v>4</v>
      </c>
      <c r="BI262" s="36">
        <v>4</v>
      </c>
      <c r="BJ262" s="36">
        <v>5</v>
      </c>
      <c r="BK262" s="36">
        <v>5</v>
      </c>
      <c r="BL262" s="36">
        <v>5</v>
      </c>
      <c r="BM262" s="36">
        <v>5</v>
      </c>
      <c r="BN262" s="36">
        <v>5</v>
      </c>
      <c r="BO262" s="36">
        <v>4</v>
      </c>
      <c r="BP262" s="36">
        <v>3</v>
      </c>
      <c r="BQ262" s="36">
        <v>3</v>
      </c>
      <c r="BR262" s="36">
        <v>4</v>
      </c>
      <c r="BS262" s="36">
        <v>1</v>
      </c>
      <c r="BT262" s="36">
        <v>5</v>
      </c>
      <c r="BU262" s="36">
        <v>5</v>
      </c>
      <c r="BV262" s="36">
        <v>5</v>
      </c>
      <c r="BW262" s="36">
        <v>5</v>
      </c>
      <c r="BX262" s="36">
        <v>5</v>
      </c>
      <c r="BY262" s="36">
        <v>5</v>
      </c>
      <c r="BZ262" s="36">
        <v>4</v>
      </c>
      <c r="CA262" s="36">
        <v>5</v>
      </c>
      <c r="CB262" s="36">
        <v>5</v>
      </c>
      <c r="CC262" s="36">
        <v>4</v>
      </c>
      <c r="CD262" s="36">
        <v>5</v>
      </c>
      <c r="CE262" s="36">
        <v>5</v>
      </c>
      <c r="CF262" s="36">
        <v>3</v>
      </c>
      <c r="CG262" s="36">
        <v>5</v>
      </c>
      <c r="CH262" s="36" t="s">
        <v>225</v>
      </c>
      <c r="CI262"/>
      <c r="CJ262"/>
      <c r="CK262" s="36" t="s">
        <v>233</v>
      </c>
      <c r="CL262" t="s">
        <v>234</v>
      </c>
      <c r="CM262"/>
      <c r="CN262" s="36" t="s">
        <v>242</v>
      </c>
      <c r="CO262" s="36" t="s">
        <v>133</v>
      </c>
      <c r="CP262" s="36">
        <v>3</v>
      </c>
      <c r="CQ262" s="36">
        <v>4</v>
      </c>
      <c r="CR262" s="36" t="s">
        <v>248</v>
      </c>
      <c r="CS262" s="36">
        <v>3</v>
      </c>
      <c r="CT262" s="36">
        <v>3</v>
      </c>
      <c r="CU262" s="36">
        <v>4</v>
      </c>
      <c r="CV262" s="36">
        <v>3</v>
      </c>
      <c r="CW262" s="36">
        <v>4</v>
      </c>
      <c r="CX262" s="36">
        <v>4</v>
      </c>
      <c r="CY262" s="36">
        <v>5</v>
      </c>
      <c r="CZ262" s="36">
        <v>3</v>
      </c>
      <c r="DA262" s="36">
        <v>4</v>
      </c>
      <c r="DB262" s="36">
        <v>4</v>
      </c>
      <c r="DC262" s="36">
        <v>4</v>
      </c>
      <c r="DD262" s="36">
        <v>5</v>
      </c>
      <c r="DE262" s="36">
        <v>5</v>
      </c>
      <c r="DF262" s="36">
        <v>5</v>
      </c>
      <c r="DG262" s="36">
        <v>5</v>
      </c>
      <c r="DH262" s="36">
        <v>5</v>
      </c>
      <c r="DI262" s="36" t="s">
        <v>133</v>
      </c>
      <c r="DJ262" s="36" t="s">
        <v>133</v>
      </c>
      <c r="DK262" s="36" t="s">
        <v>254</v>
      </c>
      <c r="DL262" t="s">
        <v>255</v>
      </c>
      <c r="DM262"/>
      <c r="DN262"/>
      <c r="DO262" t="s">
        <v>256</v>
      </c>
      <c r="DP262" t="s">
        <v>257</v>
      </c>
      <c r="DQ262" s="36">
        <v>4</v>
      </c>
      <c r="DR262" s="36" t="s">
        <v>133</v>
      </c>
      <c r="DS262" s="36" t="s">
        <v>261</v>
      </c>
      <c r="DT262"/>
      <c r="DU262"/>
      <c r="DV262"/>
      <c r="DW262"/>
      <c r="DX262"/>
      <c r="DY262" s="36">
        <v>4</v>
      </c>
      <c r="DZ262" s="36" t="s">
        <v>133</v>
      </c>
      <c r="EA262" s="36">
        <v>5</v>
      </c>
      <c r="EB262" s="36" t="s">
        <v>262</v>
      </c>
      <c r="EC262" s="36" t="s">
        <v>267</v>
      </c>
      <c r="ED262" s="36">
        <v>24</v>
      </c>
      <c r="EE262" s="36" t="s">
        <v>399</v>
      </c>
      <c r="EF262" s="36" t="str">
        <f>Tabulacao!MC262</f>
        <v>São Cristóvão</v>
      </c>
      <c r="EG262" s="36" t="s">
        <v>399</v>
      </c>
      <c r="EH262" s="36" t="str">
        <f>Tabulacao!MG262</f>
        <v>São Cristóvão</v>
      </c>
      <c r="EI262" s="36" t="s">
        <v>399</v>
      </c>
      <c r="EJ262" s="36" t="str">
        <f>Tabulacao!MK262</f>
        <v>São Cristóvão</v>
      </c>
      <c r="EK262" s="36" t="s">
        <v>134</v>
      </c>
      <c r="EL262" s="36" t="s">
        <v>134</v>
      </c>
      <c r="EM262" s="36" t="s">
        <v>134</v>
      </c>
      <c r="EN262" s="36" t="s">
        <v>134</v>
      </c>
      <c r="EO262" s="36" t="s">
        <v>134</v>
      </c>
      <c r="EP262" s="36" t="s">
        <v>134</v>
      </c>
      <c r="EQ262" s="36" t="s">
        <v>275</v>
      </c>
      <c r="ER262" s="36" t="str">
        <f>IF(OR(EQ262=CaractAmostra!$BD$9,EQ262=CaractAmostra!$BD$10,EQ262=CaractAmostra!$BD$11,EQ262=CaractAmostra!$BD$12,EQ262=CaractAmostra!$BD$13),Respostas_Formatadas!EQ262,"Outros")</f>
        <v>Com os pais</v>
      </c>
      <c r="ES262" s="36" t="s">
        <v>275</v>
      </c>
      <c r="ET262" s="36" t="str">
        <f>IF(OR(ES262=CaractAmostra!$BH$9,ES262=CaractAmostra!$BH$10,ES262=CaractAmostra!$BH$11,ES262=CaractAmostra!$BH$12),Respostas_Formatadas!ES262,"Outros")</f>
        <v>Com os pais</v>
      </c>
      <c r="EU262" s="36" t="s">
        <v>134</v>
      </c>
      <c r="EV262" s="36" t="s">
        <v>285</v>
      </c>
      <c r="EW262" s="36" t="s">
        <v>285</v>
      </c>
      <c r="FD262" s="36" t="s">
        <v>905</v>
      </c>
      <c r="FE262" s="47">
        <v>2017</v>
      </c>
      <c r="FF262" s="97">
        <v>7.5042999999999997</v>
      </c>
      <c r="FG262" s="47">
        <v>2017</v>
      </c>
      <c r="FH262" s="47">
        <f t="shared" si="11"/>
        <v>0</v>
      </c>
      <c r="FI262" s="47" t="str">
        <f t="shared" si="12"/>
        <v>São Cristóvão</v>
      </c>
      <c r="FJ262" s="47" t="str">
        <f t="shared" si="13"/>
        <v>Tecnologia</v>
      </c>
    </row>
    <row r="263" spans="1:166" s="36" customFormat="1" ht="15.75" customHeight="1" x14ac:dyDescent="0.2">
      <c r="A263" s="38">
        <v>43426.843188831015</v>
      </c>
      <c r="B263" s="41"/>
      <c r="C263" s="36" t="s">
        <v>120</v>
      </c>
      <c r="D263" s="47" t="s">
        <v>133</v>
      </c>
      <c r="E263" s="36" t="s">
        <v>135</v>
      </c>
      <c r="H263" s="36" t="s">
        <v>142</v>
      </c>
      <c r="I263" s="36" t="s">
        <v>143</v>
      </c>
      <c r="J263" s="36" t="s">
        <v>144</v>
      </c>
      <c r="M263" s="36" t="s">
        <v>148</v>
      </c>
      <c r="N263" s="36" t="s">
        <v>134</v>
      </c>
      <c r="O263" s="36" t="s">
        <v>133</v>
      </c>
      <c r="P263" s="36" t="s">
        <v>133</v>
      </c>
      <c r="Q263" s="36" t="s">
        <v>133</v>
      </c>
      <c r="R263" s="36" t="s">
        <v>151</v>
      </c>
      <c r="Y263" s="36" t="s">
        <v>165</v>
      </c>
      <c r="Z263" s="36" t="s">
        <v>167</v>
      </c>
      <c r="AA263" s="36" t="s">
        <v>173</v>
      </c>
      <c r="AB263" s="36" t="s">
        <v>177</v>
      </c>
      <c r="AD263" s="36" t="s">
        <v>868</v>
      </c>
      <c r="AE263" s="36">
        <v>5</v>
      </c>
      <c r="AF263" s="36" t="s">
        <v>187</v>
      </c>
      <c r="AG263" s="36" t="s">
        <v>187</v>
      </c>
      <c r="AH263" s="36" t="s">
        <v>134</v>
      </c>
      <c r="AI263" s="40">
        <v>2500</v>
      </c>
      <c r="AJ263" s="36">
        <v>4</v>
      </c>
      <c r="AK263" s="36">
        <v>3</v>
      </c>
      <c r="AL263" s="36" t="s">
        <v>134</v>
      </c>
      <c r="AM263" s="36" t="s">
        <v>168</v>
      </c>
      <c r="AN263" s="36">
        <v>2</v>
      </c>
      <c r="AO263" s="36" t="s">
        <v>133</v>
      </c>
      <c r="AP263" s="36" t="s">
        <v>868</v>
      </c>
      <c r="AQ263" s="40">
        <v>3000</v>
      </c>
      <c r="AR263" s="36">
        <v>3</v>
      </c>
      <c r="AS263" s="36">
        <v>3</v>
      </c>
      <c r="AT263" s="36">
        <v>2</v>
      </c>
      <c r="AU263" s="36">
        <v>4</v>
      </c>
      <c r="AV263" s="36">
        <v>4</v>
      </c>
      <c r="AW263" s="36" t="s">
        <v>192</v>
      </c>
      <c r="AX263" s="36" t="s">
        <v>205</v>
      </c>
      <c r="AY263" s="36" t="s">
        <v>210</v>
      </c>
      <c r="AZ263" s="36" t="s">
        <v>133</v>
      </c>
      <c r="BA263" s="36" t="s">
        <v>212</v>
      </c>
      <c r="BB263" s="36" t="s">
        <v>501</v>
      </c>
      <c r="BC263" s="36" t="s">
        <v>292</v>
      </c>
      <c r="BD263" s="36" t="s">
        <v>187</v>
      </c>
      <c r="BE263" s="36" t="s">
        <v>217</v>
      </c>
      <c r="BG263" s="36">
        <v>4</v>
      </c>
      <c r="BH263" s="36">
        <v>4</v>
      </c>
      <c r="BI263" s="36">
        <v>4</v>
      </c>
      <c r="BJ263" s="36">
        <v>2</v>
      </c>
      <c r="BK263" s="36">
        <v>5</v>
      </c>
      <c r="BL263" s="36">
        <v>4</v>
      </c>
      <c r="BM263" s="36">
        <v>5</v>
      </c>
      <c r="BN263" s="36">
        <v>5</v>
      </c>
      <c r="BO263" s="36">
        <v>5</v>
      </c>
      <c r="BP263" s="36">
        <v>4</v>
      </c>
      <c r="BQ263" s="36">
        <v>4</v>
      </c>
      <c r="BR263" s="36">
        <v>3</v>
      </c>
      <c r="BS263" s="36">
        <v>2</v>
      </c>
      <c r="BT263" s="36">
        <v>5</v>
      </c>
      <c r="BU263" s="36">
        <v>5</v>
      </c>
      <c r="BV263" s="36">
        <v>4</v>
      </c>
      <c r="BW263" s="36">
        <v>3</v>
      </c>
      <c r="BX263" s="36">
        <v>5</v>
      </c>
      <c r="BY263" s="36">
        <v>5</v>
      </c>
      <c r="BZ263" s="36">
        <v>4</v>
      </c>
      <c r="CA263" s="36">
        <v>5</v>
      </c>
      <c r="CB263" s="36">
        <v>4</v>
      </c>
      <c r="CC263" s="36">
        <v>4</v>
      </c>
      <c r="CD263" s="36">
        <v>3</v>
      </c>
      <c r="CE263" s="36">
        <v>3</v>
      </c>
      <c r="CF263" s="36">
        <v>2</v>
      </c>
      <c r="CG263" s="36">
        <v>4</v>
      </c>
      <c r="CH263" s="36" t="s">
        <v>222</v>
      </c>
      <c r="CI263" t="s">
        <v>225</v>
      </c>
      <c r="CJ263" t="s">
        <v>227</v>
      </c>
      <c r="CK263" s="36" t="s">
        <v>234</v>
      </c>
      <c r="CL263" t="s">
        <v>239</v>
      </c>
      <c r="CM263" t="s">
        <v>240</v>
      </c>
      <c r="CN263" s="36" t="s">
        <v>242</v>
      </c>
      <c r="CO263" s="36" t="s">
        <v>134</v>
      </c>
      <c r="CP263" s="36">
        <v>2</v>
      </c>
      <c r="CQ263" s="36">
        <v>4</v>
      </c>
      <c r="CR263" s="36" t="s">
        <v>248</v>
      </c>
      <c r="CS263" s="36">
        <v>4</v>
      </c>
      <c r="CT263" s="36">
        <v>3</v>
      </c>
      <c r="CU263" s="36">
        <v>3</v>
      </c>
      <c r="CV263" s="36">
        <v>1</v>
      </c>
      <c r="CW263" s="36">
        <v>4</v>
      </c>
      <c r="CX263" s="36">
        <v>4</v>
      </c>
      <c r="CY263" s="36">
        <v>4</v>
      </c>
      <c r="CZ263" s="36">
        <v>5</v>
      </c>
      <c r="DA263" s="36">
        <v>4</v>
      </c>
      <c r="DB263" s="36">
        <v>3</v>
      </c>
      <c r="DC263" s="36">
        <v>4</v>
      </c>
      <c r="DD263" s="36">
        <v>4</v>
      </c>
      <c r="DE263" s="36">
        <v>4</v>
      </c>
      <c r="DF263" s="36">
        <v>4</v>
      </c>
      <c r="DG263" s="36">
        <v>4</v>
      </c>
      <c r="DH263" s="36">
        <v>4</v>
      </c>
      <c r="DI263" s="36" t="s">
        <v>133</v>
      </c>
      <c r="DJ263" s="36" t="s">
        <v>134</v>
      </c>
      <c r="DL263"/>
      <c r="DM263"/>
      <c r="DN263"/>
      <c r="DO263"/>
      <c r="DP263"/>
      <c r="DR263" s="36" t="s">
        <v>134</v>
      </c>
      <c r="DT263"/>
      <c r="DU263"/>
      <c r="DV263"/>
      <c r="DW263"/>
      <c r="DX263"/>
      <c r="DZ263" s="36" t="s">
        <v>133</v>
      </c>
      <c r="EA263" s="36">
        <v>5</v>
      </c>
      <c r="EB263" s="36" t="s">
        <v>262</v>
      </c>
      <c r="EC263" s="36" t="s">
        <v>264</v>
      </c>
      <c r="ED263" s="36">
        <v>27</v>
      </c>
      <c r="EE263" s="36" t="s">
        <v>322</v>
      </c>
      <c r="EF263" s="36" t="str">
        <f>Tabulacao!MC263</f>
        <v>Itabaiana</v>
      </c>
      <c r="EG263" s="36" t="s">
        <v>291</v>
      </c>
      <c r="EH263" s="36" t="str">
        <f>Tabulacao!MG263</f>
        <v>Lagarto</v>
      </c>
      <c r="EI263" s="36" t="s">
        <v>292</v>
      </c>
      <c r="EJ263" s="36" t="str">
        <f>Tabulacao!MK263</f>
        <v>Aracaju</v>
      </c>
      <c r="EK263" s="36" t="s">
        <v>134</v>
      </c>
      <c r="EL263" s="36" t="s">
        <v>134</v>
      </c>
      <c r="EM263" s="36" t="s">
        <v>134</v>
      </c>
      <c r="EN263" s="36" t="s">
        <v>134</v>
      </c>
      <c r="EO263" s="36" t="s">
        <v>134</v>
      </c>
      <c r="EP263" s="36" t="s">
        <v>134</v>
      </c>
      <c r="EQ263" s="36" t="s">
        <v>273</v>
      </c>
      <c r="ER263" s="36" t="str">
        <f>IF(OR(EQ263=CaractAmostra!$BD$9,EQ263=CaractAmostra!$BD$10,EQ263=CaractAmostra!$BD$11,EQ263=CaractAmostra!$BD$12,EQ263=CaractAmostra!$BD$13),Respostas_Formatadas!EQ263,"Outros")</f>
        <v>Dividia residência com outras pessoas</v>
      </c>
      <c r="ES263" s="36" t="s">
        <v>278</v>
      </c>
      <c r="ET263" s="36" t="str">
        <f>IF(OR(ES263=CaractAmostra!$BH$9,ES263=CaractAmostra!$BH$10,ES263=CaractAmostra!$BH$11,ES263=CaractAmostra!$BH$12),Respostas_Formatadas!ES263,"Outros")</f>
        <v>Divido residência com outras pessoas</v>
      </c>
      <c r="EU263" s="36" t="s">
        <v>134</v>
      </c>
      <c r="EV263" s="36" t="s">
        <v>192</v>
      </c>
      <c r="EW263" s="36" t="s">
        <v>192</v>
      </c>
      <c r="FE263" s="47">
        <v>2017</v>
      </c>
      <c r="FF263" s="97">
        <v>7.4861000000000004</v>
      </c>
      <c r="FG263" s="47">
        <v>2017</v>
      </c>
      <c r="FH263" s="47">
        <f t="shared" si="11"/>
        <v>0</v>
      </c>
      <c r="FI263" s="47" t="str">
        <f t="shared" si="12"/>
        <v>Lagarto</v>
      </c>
      <c r="FJ263" s="47" t="str">
        <f t="shared" si="13"/>
        <v>Bacharelado</v>
      </c>
    </row>
    <row r="264" spans="1:166" s="36" customFormat="1" ht="15.75" customHeight="1" x14ac:dyDescent="0.2">
      <c r="A264" s="38">
        <v>43426.847214259258</v>
      </c>
      <c r="C264" s="36" t="s">
        <v>125</v>
      </c>
      <c r="D264" s="47" t="s">
        <v>134</v>
      </c>
      <c r="M264" s="36" t="s">
        <v>146</v>
      </c>
      <c r="N264" s="36" t="s">
        <v>134</v>
      </c>
      <c r="O264" s="36" t="s">
        <v>133</v>
      </c>
      <c r="P264" s="36" t="s">
        <v>133</v>
      </c>
      <c r="Q264" s="36" t="s">
        <v>133</v>
      </c>
      <c r="R264" s="36" t="s">
        <v>151</v>
      </c>
      <c r="Y264" s="36" t="s">
        <v>166</v>
      </c>
      <c r="AC264" s="36" t="s">
        <v>181</v>
      </c>
      <c r="AD264" s="36" t="s">
        <v>906</v>
      </c>
      <c r="AE264" s="36">
        <v>2</v>
      </c>
      <c r="AF264" s="36" t="s">
        <v>189</v>
      </c>
      <c r="AG264" s="36" t="s">
        <v>189</v>
      </c>
      <c r="AH264" s="36" t="s">
        <v>134</v>
      </c>
      <c r="AI264" s="40">
        <v>900</v>
      </c>
      <c r="AJ264" s="36">
        <v>3</v>
      </c>
      <c r="AK264" s="36">
        <v>3</v>
      </c>
      <c r="AL264" s="36" t="s">
        <v>134</v>
      </c>
      <c r="AM264" s="36" t="s">
        <v>170</v>
      </c>
      <c r="AN264" s="36">
        <v>1</v>
      </c>
      <c r="AO264" s="36" t="s">
        <v>133</v>
      </c>
      <c r="AP264" s="36" t="s">
        <v>907</v>
      </c>
      <c r="AQ264" s="40">
        <v>1400</v>
      </c>
      <c r="AR264" s="36">
        <v>2</v>
      </c>
      <c r="AS264" s="36">
        <v>3</v>
      </c>
      <c r="AT264" s="36">
        <v>3</v>
      </c>
      <c r="AU264" s="36">
        <v>3</v>
      </c>
      <c r="AV264" s="36">
        <v>2</v>
      </c>
      <c r="AW264" s="36" t="s">
        <v>194</v>
      </c>
      <c r="AX264" s="36" t="s">
        <v>206</v>
      </c>
      <c r="AY264" s="36" t="s">
        <v>210</v>
      </c>
      <c r="AZ264" s="36" t="s">
        <v>133</v>
      </c>
      <c r="BA264" s="36" t="s">
        <v>170</v>
      </c>
      <c r="BB264" s="36" t="s">
        <v>908</v>
      </c>
      <c r="BC264" s="36" t="s">
        <v>292</v>
      </c>
      <c r="BD264" s="36" t="s">
        <v>188</v>
      </c>
      <c r="BF264" s="36" t="s">
        <v>221</v>
      </c>
      <c r="BG264" s="36">
        <v>2</v>
      </c>
      <c r="BH264" s="36">
        <v>3</v>
      </c>
      <c r="BI264" s="36">
        <v>2</v>
      </c>
      <c r="BJ264" s="36">
        <v>3</v>
      </c>
      <c r="BK264" s="36">
        <v>2</v>
      </c>
      <c r="BL264" s="36">
        <v>3</v>
      </c>
      <c r="BM264" s="36">
        <v>2</v>
      </c>
      <c r="BN264" s="36">
        <v>3</v>
      </c>
      <c r="BO264" s="36">
        <v>2</v>
      </c>
      <c r="BP264" s="36">
        <v>2</v>
      </c>
      <c r="BQ264" s="36">
        <v>2</v>
      </c>
      <c r="BR264" s="36">
        <v>3</v>
      </c>
      <c r="BS264" s="36">
        <v>1</v>
      </c>
      <c r="BT264" s="36">
        <v>3</v>
      </c>
      <c r="BU264" s="36">
        <v>2</v>
      </c>
      <c r="BV264" s="36">
        <v>2</v>
      </c>
      <c r="BW264" s="36">
        <v>3</v>
      </c>
      <c r="BX264" s="36">
        <v>2</v>
      </c>
      <c r="BY264" s="36">
        <v>2</v>
      </c>
      <c r="BZ264" s="36">
        <v>2</v>
      </c>
      <c r="CA264" s="36">
        <v>3</v>
      </c>
      <c r="CB264" s="36">
        <v>2</v>
      </c>
      <c r="CC264" s="36">
        <v>2</v>
      </c>
      <c r="CD264" s="36">
        <v>2</v>
      </c>
      <c r="CE264" s="36">
        <v>3</v>
      </c>
      <c r="CF264" s="36">
        <v>1</v>
      </c>
      <c r="CG264" s="36">
        <v>3</v>
      </c>
      <c r="CH264" s="36" t="s">
        <v>227</v>
      </c>
      <c r="CI264"/>
      <c r="CJ264"/>
      <c r="CK264" s="36" t="s">
        <v>239</v>
      </c>
      <c r="CL264"/>
      <c r="CM264"/>
      <c r="CN264" s="36" t="s">
        <v>242</v>
      </c>
      <c r="CO264" s="36" t="s">
        <v>134</v>
      </c>
      <c r="CP264" s="36">
        <v>4</v>
      </c>
      <c r="CQ264" s="36">
        <v>3</v>
      </c>
      <c r="CR264" s="36" t="s">
        <v>248</v>
      </c>
      <c r="CS264" s="36">
        <v>2</v>
      </c>
      <c r="CT264" s="36">
        <v>2</v>
      </c>
      <c r="CU264" s="36">
        <v>3</v>
      </c>
      <c r="CV264" s="36">
        <v>2</v>
      </c>
      <c r="CW264" s="36">
        <v>3</v>
      </c>
      <c r="CX264" s="36">
        <v>3</v>
      </c>
      <c r="CY264" s="36">
        <v>2</v>
      </c>
      <c r="CZ264" s="36">
        <v>3</v>
      </c>
      <c r="DA264" s="36">
        <v>2</v>
      </c>
      <c r="DB264" s="36">
        <v>2</v>
      </c>
      <c r="DC264" s="36">
        <v>2</v>
      </c>
      <c r="DD264" s="36">
        <v>4</v>
      </c>
      <c r="DE264" s="36">
        <v>3</v>
      </c>
      <c r="DF264" s="36">
        <v>4</v>
      </c>
      <c r="DG264" s="36">
        <v>4</v>
      </c>
      <c r="DH264" s="36">
        <v>4</v>
      </c>
      <c r="DI264" s="36" t="s">
        <v>252</v>
      </c>
      <c r="DJ264" s="36" t="s">
        <v>134</v>
      </c>
      <c r="DL264"/>
      <c r="DM264"/>
      <c r="DN264"/>
      <c r="DO264"/>
      <c r="DP264"/>
      <c r="DR264" s="36" t="s">
        <v>134</v>
      </c>
      <c r="DT264"/>
      <c r="DU264"/>
      <c r="DV264"/>
      <c r="DW264"/>
      <c r="DX264"/>
      <c r="DZ264" s="36" t="s">
        <v>134</v>
      </c>
      <c r="EB264" s="36" t="s">
        <v>263</v>
      </c>
      <c r="EC264" s="36" t="s">
        <v>265</v>
      </c>
      <c r="ED264" s="36">
        <v>33</v>
      </c>
      <c r="EE264" s="36" t="s">
        <v>909</v>
      </c>
      <c r="EF264" s="36" t="str">
        <f>Tabulacao!MC264</f>
        <v>Aracaju</v>
      </c>
      <c r="EG264" s="36" t="s">
        <v>909</v>
      </c>
      <c r="EH264" s="36" t="str">
        <f>Tabulacao!MG264</f>
        <v>Aracaju</v>
      </c>
      <c r="EI264" s="36" t="s">
        <v>841</v>
      </c>
      <c r="EJ264" s="36" t="str">
        <f>Tabulacao!MK264</f>
        <v>Nossa Senhora do Socorro</v>
      </c>
      <c r="EK264" s="36" t="s">
        <v>134</v>
      </c>
      <c r="EL264" s="36" t="s">
        <v>134</v>
      </c>
      <c r="EM264" s="36" t="s">
        <v>134</v>
      </c>
      <c r="EN264" s="36" t="s">
        <v>134</v>
      </c>
      <c r="EO264" s="36" t="s">
        <v>134</v>
      </c>
      <c r="EP264" s="36" t="s">
        <v>134</v>
      </c>
      <c r="EQ264" s="36" t="s">
        <v>275</v>
      </c>
      <c r="ER264" s="36" t="str">
        <f>IF(OR(EQ264=CaractAmostra!$BD$9,EQ264=CaractAmostra!$BD$10,EQ264=CaractAmostra!$BD$11,EQ264=CaractAmostra!$BD$12,EQ264=CaractAmostra!$BD$13),Respostas_Formatadas!EQ264,"Outros")</f>
        <v>Com os pais</v>
      </c>
      <c r="ES264" s="36" t="s">
        <v>274</v>
      </c>
      <c r="ET264" s="36" t="str">
        <f>IF(OR(ES264=CaractAmostra!$BH$9,ES264=CaractAmostra!$BH$10,ES264=CaractAmostra!$BH$11,ES264=CaractAmostra!$BH$12),Respostas_Formatadas!ES264,"Outros")</f>
        <v>Com um(a) parceiro(a)</v>
      </c>
      <c r="EU264" s="36" t="s">
        <v>134</v>
      </c>
      <c r="EV264" s="36" t="s">
        <v>192</v>
      </c>
      <c r="EW264" s="36" t="s">
        <v>282</v>
      </c>
      <c r="FE264" s="98">
        <v>2010</v>
      </c>
      <c r="FF264" s="97">
        <v>8.1052999999999997</v>
      </c>
      <c r="FG264" s="47">
        <v>2010</v>
      </c>
      <c r="FH264" s="47">
        <f t="shared" si="11"/>
        <v>0</v>
      </c>
      <c r="FI264" s="47" t="str">
        <f t="shared" si="12"/>
        <v>Aracaju</v>
      </c>
      <c r="FJ264" s="47" t="str">
        <f t="shared" si="13"/>
        <v>Tecnologia</v>
      </c>
    </row>
    <row r="265" spans="1:166" s="36" customFormat="1" ht="15.75" customHeight="1" x14ac:dyDescent="0.2">
      <c r="A265" s="38">
        <v>43426.855451724536</v>
      </c>
      <c r="B265" s="41"/>
      <c r="C265" s="36" t="s">
        <v>125</v>
      </c>
      <c r="D265" s="47" t="s">
        <v>133</v>
      </c>
      <c r="E265" s="36" t="s">
        <v>135</v>
      </c>
      <c r="F265" s="36" t="s">
        <v>138</v>
      </c>
      <c r="H265" s="36" t="s">
        <v>142</v>
      </c>
      <c r="I265" s="36" t="s">
        <v>144</v>
      </c>
      <c r="M265" s="36" t="s">
        <v>146</v>
      </c>
      <c r="N265" s="36" t="s">
        <v>134</v>
      </c>
      <c r="O265" s="36" t="s">
        <v>133</v>
      </c>
      <c r="P265" s="36" t="s">
        <v>133</v>
      </c>
      <c r="Q265" s="36" t="s">
        <v>133</v>
      </c>
      <c r="R265" s="36" t="s">
        <v>151</v>
      </c>
      <c r="Y265" s="36" t="s">
        <v>134</v>
      </c>
      <c r="AI265" s="40"/>
      <c r="AQ265" s="40"/>
      <c r="BT265" s="36">
        <v>3</v>
      </c>
      <c r="BU265" s="36">
        <v>3</v>
      </c>
      <c r="BV265" s="36">
        <v>3</v>
      </c>
      <c r="BW265" s="36">
        <v>3</v>
      </c>
      <c r="BX265" s="36">
        <v>3</v>
      </c>
      <c r="BY265" s="36">
        <v>3</v>
      </c>
      <c r="BZ265" s="36">
        <v>3</v>
      </c>
      <c r="CA265" s="36">
        <v>3</v>
      </c>
      <c r="CB265" s="36">
        <v>3</v>
      </c>
      <c r="CC265" s="36">
        <v>3</v>
      </c>
      <c r="CD265" s="36">
        <v>3</v>
      </c>
      <c r="CE265" s="36">
        <v>3</v>
      </c>
      <c r="CF265" s="36">
        <v>1</v>
      </c>
      <c r="CG265" s="36">
        <v>1</v>
      </c>
      <c r="CH265" s="36" t="s">
        <v>222</v>
      </c>
      <c r="CI265"/>
      <c r="CJ265"/>
      <c r="CK265" s="36" t="s">
        <v>239</v>
      </c>
      <c r="CL265"/>
      <c r="CM265"/>
      <c r="CN265" s="36" t="s">
        <v>242</v>
      </c>
      <c r="CO265" s="36" t="s">
        <v>134</v>
      </c>
      <c r="CP265" s="36">
        <v>1</v>
      </c>
      <c r="CQ265" s="36">
        <v>3</v>
      </c>
      <c r="CR265" s="36" t="s">
        <v>249</v>
      </c>
      <c r="CS265" s="36">
        <v>3</v>
      </c>
      <c r="CT265" s="36">
        <v>3</v>
      </c>
      <c r="CU265" s="36">
        <v>1</v>
      </c>
      <c r="CV265" s="36">
        <v>2</v>
      </c>
      <c r="CW265" s="36">
        <v>3</v>
      </c>
      <c r="CX265" s="36">
        <v>3</v>
      </c>
      <c r="CY265" s="36">
        <v>3</v>
      </c>
      <c r="CZ265" s="36">
        <v>3</v>
      </c>
      <c r="DA265" s="36">
        <v>1</v>
      </c>
      <c r="DB265" s="36">
        <v>1</v>
      </c>
      <c r="DC265" s="36">
        <v>3</v>
      </c>
      <c r="DD265" s="36">
        <v>3</v>
      </c>
      <c r="DE265" s="36">
        <v>3</v>
      </c>
      <c r="DF265" s="36">
        <v>3</v>
      </c>
      <c r="DG265" s="36">
        <v>3</v>
      </c>
      <c r="DH265" s="36">
        <v>3</v>
      </c>
      <c r="DI265" s="36" t="s">
        <v>133</v>
      </c>
      <c r="DJ265" s="36" t="s">
        <v>133</v>
      </c>
      <c r="DK265" s="36" t="s">
        <v>910</v>
      </c>
      <c r="DL265"/>
      <c r="DM265"/>
      <c r="DN265"/>
      <c r="DO265"/>
      <c r="DP265"/>
      <c r="DQ265" s="36">
        <v>3</v>
      </c>
      <c r="DR265" s="36" t="s">
        <v>133</v>
      </c>
      <c r="DS265" s="36" t="s">
        <v>260</v>
      </c>
      <c r="DT265" t="s">
        <v>261</v>
      </c>
      <c r="DU265"/>
      <c r="DV265"/>
      <c r="DW265"/>
      <c r="DX265"/>
      <c r="DY265" s="36">
        <v>5</v>
      </c>
      <c r="DZ265" s="36" t="s">
        <v>133</v>
      </c>
      <c r="EA265" s="36">
        <v>5</v>
      </c>
      <c r="EB265" s="36" t="s">
        <v>263</v>
      </c>
      <c r="EC265" s="36" t="s">
        <v>265</v>
      </c>
      <c r="ED265" s="36">
        <v>33</v>
      </c>
      <c r="EE265" s="36" t="s">
        <v>778</v>
      </c>
      <c r="EF265" s="36" t="str">
        <f>Tabulacao!MC265</f>
        <v>Barra dos Coqueiros</v>
      </c>
      <c r="EG265" s="36" t="s">
        <v>778</v>
      </c>
      <c r="EH265" s="36" t="str">
        <f>Tabulacao!MG265</f>
        <v>Barra dos Coqueiros</v>
      </c>
      <c r="EI265" s="36" t="s">
        <v>778</v>
      </c>
      <c r="EJ265" s="36" t="str">
        <f>Tabulacao!MK265</f>
        <v>Barra dos Coqueiros</v>
      </c>
      <c r="EK265" s="36" t="s">
        <v>134</v>
      </c>
      <c r="EL265" s="36" t="s">
        <v>134</v>
      </c>
      <c r="EM265" s="36" t="s">
        <v>134</v>
      </c>
      <c r="EN265" s="36" t="s">
        <v>134</v>
      </c>
      <c r="EO265" s="36" t="s">
        <v>270</v>
      </c>
      <c r="EP265" s="36" t="s">
        <v>134</v>
      </c>
      <c r="EQ265" s="36" t="s">
        <v>911</v>
      </c>
      <c r="ER265" s="36" t="str">
        <f>IF(OR(EQ265=CaractAmostra!$BD$9,EQ265=CaractAmostra!$BD$10,EQ265=CaractAmostra!$BD$11,EQ265=CaractAmostra!$BD$12,EQ265=CaractAmostra!$BD$13),Respostas_Formatadas!EQ265,"Outros")</f>
        <v>Outros</v>
      </c>
      <c r="ES265" s="36" t="s">
        <v>912</v>
      </c>
      <c r="ET265" s="36" t="str">
        <f>IF(OR(ES265=CaractAmostra!$BH$9,ES265=CaractAmostra!$BH$10,ES265=CaractAmostra!$BH$11,ES265=CaractAmostra!$BH$12),Respostas_Formatadas!ES265,"Outros")</f>
        <v>Outros</v>
      </c>
      <c r="EU265" s="36" t="s">
        <v>279</v>
      </c>
      <c r="EV265" s="36" t="s">
        <v>282</v>
      </c>
      <c r="EW265" s="36" t="s">
        <v>282</v>
      </c>
      <c r="FE265" s="47">
        <v>2010</v>
      </c>
      <c r="FF265" s="97">
        <v>6.2679</v>
      </c>
      <c r="FG265" s="47">
        <v>2011</v>
      </c>
      <c r="FH265" s="47">
        <f t="shared" si="11"/>
        <v>1</v>
      </c>
      <c r="FI265" s="47" t="str">
        <f t="shared" si="12"/>
        <v>Aracaju</v>
      </c>
      <c r="FJ265" s="47" t="str">
        <f t="shared" si="13"/>
        <v>Tecnologia</v>
      </c>
    </row>
    <row r="266" spans="1:166" s="36" customFormat="1" ht="15.75" customHeight="1" x14ac:dyDescent="0.2">
      <c r="A266" s="38">
        <v>43426.86335003472</v>
      </c>
      <c r="B266" s="41"/>
      <c r="C266" s="36" t="s">
        <v>121</v>
      </c>
      <c r="D266" s="47" t="s">
        <v>134</v>
      </c>
      <c r="M266" s="36" t="s">
        <v>146</v>
      </c>
      <c r="N266" s="36" t="s">
        <v>134</v>
      </c>
      <c r="O266" s="36" t="s">
        <v>134</v>
      </c>
      <c r="P266" s="36" t="s">
        <v>134</v>
      </c>
      <c r="Q266" s="36" t="s">
        <v>134</v>
      </c>
      <c r="R266" s="36" t="s">
        <v>151</v>
      </c>
      <c r="Y266" s="36" t="s">
        <v>134</v>
      </c>
      <c r="AI266" s="40"/>
      <c r="AQ266" s="40"/>
      <c r="BT266" s="36">
        <v>4</v>
      </c>
      <c r="BU266" s="36">
        <v>4</v>
      </c>
      <c r="BV266" s="36">
        <v>4</v>
      </c>
      <c r="BW266" s="36">
        <v>4</v>
      </c>
      <c r="BX266" s="36">
        <v>3</v>
      </c>
      <c r="BY266" s="36">
        <v>4</v>
      </c>
      <c r="BZ266" s="36">
        <v>4</v>
      </c>
      <c r="CA266" s="36">
        <v>5</v>
      </c>
      <c r="CB266" s="36">
        <v>3</v>
      </c>
      <c r="CC266" s="36">
        <v>4</v>
      </c>
      <c r="CD266" s="36">
        <v>3</v>
      </c>
      <c r="CE266" s="36">
        <v>3</v>
      </c>
      <c r="CF266" s="36">
        <v>1</v>
      </c>
      <c r="CG266" s="36">
        <v>1</v>
      </c>
      <c r="CH266" s="36" t="s">
        <v>225</v>
      </c>
      <c r="CI266"/>
      <c r="CJ266"/>
      <c r="CK266" s="36" t="s">
        <v>913</v>
      </c>
      <c r="CL266"/>
      <c r="CM266"/>
      <c r="CN266" s="36" t="s">
        <v>241</v>
      </c>
      <c r="CO266" s="36" t="s">
        <v>134</v>
      </c>
      <c r="CP266" s="36">
        <v>3</v>
      </c>
      <c r="CQ266" s="36">
        <v>3</v>
      </c>
      <c r="CR266" s="36" t="s">
        <v>248</v>
      </c>
      <c r="CS266" s="36">
        <v>2</v>
      </c>
      <c r="CT266" s="36">
        <v>1</v>
      </c>
      <c r="CU266" s="36">
        <v>1</v>
      </c>
      <c r="CV266" s="36">
        <v>5</v>
      </c>
      <c r="CW266" s="36">
        <v>4</v>
      </c>
      <c r="CX266" s="36">
        <v>4</v>
      </c>
      <c r="CY266" s="36">
        <v>3</v>
      </c>
      <c r="CZ266" s="36">
        <v>4</v>
      </c>
      <c r="DA266" s="36">
        <v>1</v>
      </c>
      <c r="DB266" s="36">
        <v>2</v>
      </c>
      <c r="DC266" s="36">
        <v>1</v>
      </c>
      <c r="DD266" s="36">
        <v>5</v>
      </c>
      <c r="DE266" s="36">
        <v>4</v>
      </c>
      <c r="DF266" s="36">
        <v>3</v>
      </c>
      <c r="DG266" s="36">
        <v>5</v>
      </c>
      <c r="DH266" s="36">
        <v>5</v>
      </c>
      <c r="DI266" s="36" t="s">
        <v>133</v>
      </c>
      <c r="DJ266" s="36" t="s">
        <v>134</v>
      </c>
      <c r="DL266"/>
      <c r="DM266"/>
      <c r="DN266"/>
      <c r="DO266"/>
      <c r="DP266"/>
      <c r="DR266" s="36" t="s">
        <v>133</v>
      </c>
      <c r="DS266" s="36" t="s">
        <v>258</v>
      </c>
      <c r="DT266" t="s">
        <v>259</v>
      </c>
      <c r="DU266"/>
      <c r="DV266"/>
      <c r="DW266"/>
      <c r="DX266"/>
      <c r="DY266" s="36">
        <v>5</v>
      </c>
      <c r="DZ266" s="36" t="s">
        <v>134</v>
      </c>
      <c r="EB266" s="36" t="s">
        <v>262</v>
      </c>
      <c r="EC266" s="36" t="s">
        <v>264</v>
      </c>
      <c r="ED266" s="36">
        <v>26</v>
      </c>
      <c r="EE266" s="36" t="s">
        <v>914</v>
      </c>
      <c r="EF266" s="36" t="str">
        <f>Tabulacao!MC266</f>
        <v>Nossa Senhora da Glória</v>
      </c>
      <c r="EG266" s="36" t="s">
        <v>367</v>
      </c>
      <c r="EH266" s="36" t="str">
        <f>Tabulacao!MG266</f>
        <v>Aracaju</v>
      </c>
      <c r="EI266" s="36" t="s">
        <v>367</v>
      </c>
      <c r="EJ266" s="36" t="str">
        <f>Tabulacao!MK266</f>
        <v>Aracaju</v>
      </c>
      <c r="EK266" s="36" t="s">
        <v>134</v>
      </c>
      <c r="EL266" s="36" t="s">
        <v>134</v>
      </c>
      <c r="EM266" s="36" t="s">
        <v>134</v>
      </c>
      <c r="EN266" s="36" t="s">
        <v>134</v>
      </c>
      <c r="EO266" s="36" t="s">
        <v>134</v>
      </c>
      <c r="EP266" s="36" t="s">
        <v>134</v>
      </c>
      <c r="EQ266" s="36" t="s">
        <v>273</v>
      </c>
      <c r="ER266" s="36" t="str">
        <f>IF(OR(EQ266=CaractAmostra!$BD$9,EQ266=CaractAmostra!$BD$10,EQ266=CaractAmostra!$BD$11,EQ266=CaractAmostra!$BD$12,EQ266=CaractAmostra!$BD$13),Respostas_Formatadas!EQ266,"Outros")</f>
        <v>Dividia residência com outras pessoas</v>
      </c>
      <c r="ES266" s="36" t="s">
        <v>278</v>
      </c>
      <c r="ET266" s="36" t="str">
        <f>IF(OR(ES266=CaractAmostra!$BH$9,ES266=CaractAmostra!$BH$10,ES266=CaractAmostra!$BH$11,ES266=CaractAmostra!$BH$12),Respostas_Formatadas!ES266,"Outros")</f>
        <v>Divido residência com outras pessoas</v>
      </c>
      <c r="EU266" s="36" t="s">
        <v>134</v>
      </c>
      <c r="EV266" s="36" t="s">
        <v>285</v>
      </c>
      <c r="EW266" s="36" t="s">
        <v>287</v>
      </c>
      <c r="FE266" s="47">
        <v>2017</v>
      </c>
      <c r="FF266" s="97">
        <v>6.7991000000000001</v>
      </c>
      <c r="FG266" s="47">
        <v>2017</v>
      </c>
      <c r="FH266" s="47">
        <f t="shared" si="11"/>
        <v>0</v>
      </c>
      <c r="FI266" s="47" t="str">
        <f t="shared" si="12"/>
        <v>Aracaju</v>
      </c>
      <c r="FJ266" s="47" t="str">
        <f t="shared" si="13"/>
        <v>Licenciatura</v>
      </c>
    </row>
    <row r="267" spans="1:166" s="36" customFormat="1" ht="15.75" customHeight="1" x14ac:dyDescent="0.2">
      <c r="A267" s="38">
        <v>43426.874414513892</v>
      </c>
      <c r="C267" s="36" t="s">
        <v>126</v>
      </c>
      <c r="D267" s="47" t="s">
        <v>134</v>
      </c>
      <c r="M267" s="36" t="s">
        <v>147</v>
      </c>
      <c r="N267" s="36" t="s">
        <v>133</v>
      </c>
      <c r="O267" s="36" t="s">
        <v>133</v>
      </c>
      <c r="P267" s="36" t="s">
        <v>133</v>
      </c>
      <c r="Q267" s="36" t="s">
        <v>134</v>
      </c>
      <c r="R267" s="36" t="s">
        <v>151</v>
      </c>
      <c r="Y267" s="36" t="s">
        <v>166</v>
      </c>
      <c r="AC267" s="36" t="s">
        <v>186</v>
      </c>
      <c r="AD267" s="36" t="s">
        <v>915</v>
      </c>
      <c r="AE267" s="36">
        <v>3</v>
      </c>
      <c r="AF267" s="36" t="s">
        <v>190</v>
      </c>
      <c r="AG267" s="36" t="s">
        <v>190</v>
      </c>
      <c r="AH267" s="36" t="s">
        <v>134</v>
      </c>
      <c r="AI267" s="40">
        <v>2500</v>
      </c>
      <c r="AJ267" s="36">
        <v>3</v>
      </c>
      <c r="AK267" s="36">
        <v>1</v>
      </c>
      <c r="AL267" s="36" t="s">
        <v>134</v>
      </c>
      <c r="AM267" s="36" t="s">
        <v>168</v>
      </c>
      <c r="AN267" s="36">
        <v>1</v>
      </c>
      <c r="AO267" s="36" t="s">
        <v>133</v>
      </c>
      <c r="AP267" s="36" t="s">
        <v>915</v>
      </c>
      <c r="AQ267" s="40">
        <v>2500</v>
      </c>
      <c r="AR267" s="36">
        <v>1</v>
      </c>
      <c r="AS267" s="36">
        <v>2</v>
      </c>
      <c r="AT267" s="36">
        <v>1</v>
      </c>
      <c r="AU267" s="36">
        <v>1</v>
      </c>
      <c r="AV267" s="36">
        <v>2</v>
      </c>
      <c r="AW267" s="36" t="s">
        <v>198</v>
      </c>
      <c r="AX267" s="36" t="s">
        <v>206</v>
      </c>
      <c r="AY267" s="36" t="s">
        <v>210</v>
      </c>
      <c r="AZ267" s="36" t="s">
        <v>133</v>
      </c>
      <c r="BA267" s="36" t="s">
        <v>170</v>
      </c>
      <c r="BB267" s="36" t="s">
        <v>916</v>
      </c>
      <c r="BC267" s="36" t="s">
        <v>292</v>
      </c>
      <c r="BD267" s="36" t="s">
        <v>190</v>
      </c>
      <c r="BG267" s="36">
        <v>3</v>
      </c>
      <c r="BH267" s="36">
        <v>3</v>
      </c>
      <c r="BI267" s="36">
        <v>2</v>
      </c>
      <c r="BJ267" s="36">
        <v>2</v>
      </c>
      <c r="BK267" s="36">
        <v>1</v>
      </c>
      <c r="BL267" s="36">
        <v>1</v>
      </c>
      <c r="BM267" s="36">
        <v>1</v>
      </c>
      <c r="BN267" s="36">
        <v>4</v>
      </c>
      <c r="BO267" s="36">
        <v>2</v>
      </c>
      <c r="BP267" s="36">
        <v>1</v>
      </c>
      <c r="BQ267" s="36">
        <v>1</v>
      </c>
      <c r="BR267" s="36">
        <v>1</v>
      </c>
      <c r="BS267" s="36">
        <v>1</v>
      </c>
      <c r="BT267" s="36">
        <v>4</v>
      </c>
      <c r="BU267" s="36">
        <v>4</v>
      </c>
      <c r="BV267" s="36">
        <v>4</v>
      </c>
      <c r="BW267" s="36">
        <v>3</v>
      </c>
      <c r="BX267" s="36">
        <v>3</v>
      </c>
      <c r="BY267" s="36">
        <v>3</v>
      </c>
      <c r="BZ267" s="36">
        <v>3</v>
      </c>
      <c r="CA267" s="36">
        <v>4</v>
      </c>
      <c r="CB267" s="36">
        <v>4</v>
      </c>
      <c r="CC267" s="36">
        <v>4</v>
      </c>
      <c r="CD267" s="36">
        <v>3</v>
      </c>
      <c r="CE267" s="36">
        <v>3</v>
      </c>
      <c r="CF267" s="36">
        <v>3</v>
      </c>
      <c r="CG267" s="36">
        <v>3</v>
      </c>
      <c r="CH267" s="36" t="s">
        <v>917</v>
      </c>
      <c r="CI267"/>
      <c r="CJ267"/>
      <c r="CK267" s="36" t="s">
        <v>234</v>
      </c>
      <c r="CL267"/>
      <c r="CM267"/>
      <c r="CN267" s="36" t="s">
        <v>241</v>
      </c>
      <c r="CO267" s="36" t="s">
        <v>133</v>
      </c>
      <c r="CP267" s="36">
        <v>3</v>
      </c>
      <c r="CQ267" s="36">
        <v>3</v>
      </c>
      <c r="CR267" s="36" t="s">
        <v>249</v>
      </c>
      <c r="CS267" s="36">
        <v>2</v>
      </c>
      <c r="CT267" s="36">
        <v>1</v>
      </c>
      <c r="CU267" s="36">
        <v>2</v>
      </c>
      <c r="CV267" s="36">
        <v>3</v>
      </c>
      <c r="CW267" s="36">
        <v>3</v>
      </c>
      <c r="CX267" s="36">
        <v>4</v>
      </c>
      <c r="CY267" s="36">
        <v>3</v>
      </c>
      <c r="CZ267" s="36">
        <v>5</v>
      </c>
      <c r="DA267" s="36">
        <v>2</v>
      </c>
      <c r="DB267" s="36">
        <v>3</v>
      </c>
      <c r="DC267" s="36">
        <v>5</v>
      </c>
      <c r="DD267" s="36">
        <v>3</v>
      </c>
      <c r="DE267" s="36">
        <v>3</v>
      </c>
      <c r="DF267" s="36">
        <v>3</v>
      </c>
      <c r="DG267" s="36">
        <v>3</v>
      </c>
      <c r="DH267" s="36">
        <v>3</v>
      </c>
      <c r="DI267" s="36" t="s">
        <v>252</v>
      </c>
      <c r="DJ267" s="36" t="s">
        <v>134</v>
      </c>
      <c r="DL267"/>
      <c r="DM267"/>
      <c r="DN267"/>
      <c r="DO267"/>
      <c r="DP267"/>
      <c r="DR267" s="36" t="s">
        <v>134</v>
      </c>
      <c r="DT267"/>
      <c r="DU267"/>
      <c r="DV267"/>
      <c r="DW267"/>
      <c r="DX267"/>
      <c r="DZ267" s="36" t="s">
        <v>133</v>
      </c>
      <c r="EA267" s="36">
        <v>3</v>
      </c>
      <c r="EB267" s="36" t="s">
        <v>262</v>
      </c>
      <c r="EC267" s="36" t="s">
        <v>267</v>
      </c>
      <c r="ED267" s="36">
        <v>35</v>
      </c>
      <c r="EE267" s="36" t="s">
        <v>304</v>
      </c>
      <c r="EF267" s="36" t="str">
        <f>Tabulacao!MC267</f>
        <v>Aracaju</v>
      </c>
      <c r="EG267" s="36" t="s">
        <v>304</v>
      </c>
      <c r="EH267" s="36" t="str">
        <f>Tabulacao!MG267</f>
        <v>Aracaju</v>
      </c>
      <c r="EI267" s="36" t="s">
        <v>304</v>
      </c>
      <c r="EJ267" s="36" t="str">
        <f>Tabulacao!MK267</f>
        <v>Aracaju</v>
      </c>
      <c r="EK267" s="36" t="s">
        <v>134</v>
      </c>
      <c r="EL267" s="36" t="s">
        <v>134</v>
      </c>
      <c r="EM267" s="36" t="s">
        <v>134</v>
      </c>
      <c r="EN267" s="36" t="s">
        <v>134</v>
      </c>
      <c r="EO267" s="36" t="s">
        <v>134</v>
      </c>
      <c r="EP267" s="36" t="s">
        <v>134</v>
      </c>
      <c r="EQ267" s="36" t="s">
        <v>272</v>
      </c>
      <c r="ER267" s="36" t="str">
        <f>IF(OR(EQ267=CaractAmostra!$BD$9,EQ267=CaractAmostra!$BD$10,EQ267=CaractAmostra!$BD$11,EQ267=CaractAmostra!$BD$12,EQ267=CaractAmostra!$BD$13),Respostas_Formatadas!EQ267,"Outros")</f>
        <v>Morava sozinho</v>
      </c>
      <c r="ES267" s="36" t="s">
        <v>277</v>
      </c>
      <c r="ET267" s="36" t="str">
        <f>IF(OR(ES267=CaractAmostra!$BH$9,ES267=CaractAmostra!$BH$10,ES267=CaractAmostra!$BH$11,ES267=CaractAmostra!$BH$12),Respostas_Formatadas!ES267,"Outros")</f>
        <v>Sozinho</v>
      </c>
      <c r="EU267" s="36" t="s">
        <v>134</v>
      </c>
      <c r="EV267" s="36" t="s">
        <v>283</v>
      </c>
      <c r="EW267" s="36" t="s">
        <v>284</v>
      </c>
      <c r="FE267" s="47">
        <v>2018</v>
      </c>
      <c r="FF267" s="97">
        <v>6.8429000000000002</v>
      </c>
      <c r="FG267" s="47">
        <v>2018</v>
      </c>
      <c r="FH267" s="47">
        <f t="shared" si="11"/>
        <v>0</v>
      </c>
      <c r="FI267" s="47" t="str">
        <f t="shared" si="12"/>
        <v>Lagarto</v>
      </c>
      <c r="FJ267" s="47" t="str">
        <f t="shared" si="13"/>
        <v>Tecnologia</v>
      </c>
    </row>
    <row r="268" spans="1:166" s="36" customFormat="1" ht="15.75" customHeight="1" x14ac:dyDescent="0.2">
      <c r="A268" s="38">
        <v>43426.894006550923</v>
      </c>
      <c r="B268" s="41"/>
      <c r="C268" s="36" t="s">
        <v>124</v>
      </c>
      <c r="D268" s="47" t="s">
        <v>134</v>
      </c>
      <c r="M268" s="36" t="s">
        <v>147</v>
      </c>
      <c r="N268" s="36" t="s">
        <v>134</v>
      </c>
      <c r="O268" s="36" t="s">
        <v>134</v>
      </c>
      <c r="P268" s="36" t="s">
        <v>134</v>
      </c>
      <c r="Q268" s="36" t="s">
        <v>134</v>
      </c>
      <c r="R268" s="36" t="s">
        <v>153</v>
      </c>
      <c r="S268" s="36" t="s">
        <v>938</v>
      </c>
      <c r="T268" s="36" t="s">
        <v>154</v>
      </c>
      <c r="U268" s="36" t="s">
        <v>157</v>
      </c>
      <c r="V268" s="36">
        <v>4</v>
      </c>
      <c r="W268" s="36">
        <v>5</v>
      </c>
      <c r="X268" s="36">
        <v>1</v>
      </c>
      <c r="Y268" s="36" t="s">
        <v>165</v>
      </c>
      <c r="Z268" s="36" t="s">
        <v>169</v>
      </c>
      <c r="AA268" s="36" t="s">
        <v>173</v>
      </c>
      <c r="AB268" s="36" t="s">
        <v>181</v>
      </c>
      <c r="AD268" s="36" t="s">
        <v>918</v>
      </c>
      <c r="AE268" s="36">
        <v>2</v>
      </c>
      <c r="AF268" s="36" t="s">
        <v>190</v>
      </c>
      <c r="AG268" s="36" t="s">
        <v>190</v>
      </c>
      <c r="AH268" s="36" t="s">
        <v>134</v>
      </c>
      <c r="AI268" s="40">
        <v>1000</v>
      </c>
      <c r="AJ268" s="36">
        <v>2</v>
      </c>
      <c r="AK268" s="36">
        <v>2</v>
      </c>
      <c r="AL268" s="36" t="s">
        <v>134</v>
      </c>
      <c r="AM268" s="36" t="s">
        <v>169</v>
      </c>
      <c r="AN268" s="36">
        <v>2</v>
      </c>
      <c r="AO268" s="36" t="s">
        <v>133</v>
      </c>
      <c r="AP268" s="36" t="s">
        <v>919</v>
      </c>
      <c r="AQ268" s="40">
        <v>1800</v>
      </c>
      <c r="AR268" s="36">
        <v>1</v>
      </c>
      <c r="AS268" s="36">
        <v>1</v>
      </c>
      <c r="AT268" s="36">
        <v>1</v>
      </c>
      <c r="AU268" s="36">
        <v>1</v>
      </c>
      <c r="AV268" s="36">
        <v>1</v>
      </c>
      <c r="AW268" s="36" t="s">
        <v>643</v>
      </c>
      <c r="AX268" s="36" t="s">
        <v>204</v>
      </c>
      <c r="AY268" s="36" t="s">
        <v>208</v>
      </c>
      <c r="AZ268" s="36" t="s">
        <v>134</v>
      </c>
      <c r="BA268" s="36" t="s">
        <v>170</v>
      </c>
      <c r="BB268" s="36" t="s">
        <v>920</v>
      </c>
      <c r="BC268" s="36" t="s">
        <v>292</v>
      </c>
      <c r="BD268" s="36" t="s">
        <v>190</v>
      </c>
      <c r="BG268" s="36">
        <v>1</v>
      </c>
      <c r="BH268" s="36">
        <v>1</v>
      </c>
      <c r="BI268" s="36">
        <v>3</v>
      </c>
      <c r="BJ268" s="36">
        <v>5</v>
      </c>
      <c r="BK268" s="36">
        <v>3</v>
      </c>
      <c r="BL268" s="36">
        <v>5</v>
      </c>
      <c r="BM268" s="36">
        <v>4</v>
      </c>
      <c r="BN268" s="36">
        <v>4</v>
      </c>
      <c r="BO268" s="36">
        <v>4</v>
      </c>
      <c r="BP268" s="36">
        <v>2</v>
      </c>
      <c r="BQ268" s="36">
        <v>1</v>
      </c>
      <c r="BR268" s="36">
        <v>2</v>
      </c>
      <c r="BS268" s="36">
        <v>1</v>
      </c>
      <c r="BT268" s="36">
        <v>3</v>
      </c>
      <c r="BU268" s="36">
        <v>3</v>
      </c>
      <c r="BV268" s="36">
        <v>5</v>
      </c>
      <c r="BW268" s="36">
        <v>4</v>
      </c>
      <c r="BX268" s="36">
        <v>4</v>
      </c>
      <c r="BY268" s="36">
        <v>4</v>
      </c>
      <c r="BZ268" s="36">
        <v>5</v>
      </c>
      <c r="CA268" s="36">
        <v>5</v>
      </c>
      <c r="CB268" s="36">
        <v>5</v>
      </c>
      <c r="CC268" s="36">
        <v>5</v>
      </c>
      <c r="CD268" s="36">
        <v>4</v>
      </c>
      <c r="CE268" s="36">
        <v>5</v>
      </c>
      <c r="CF268" s="36">
        <v>4</v>
      </c>
      <c r="CG268" s="36">
        <v>2</v>
      </c>
      <c r="CH268" s="36" t="s">
        <v>222</v>
      </c>
      <c r="CI268" t="s">
        <v>226</v>
      </c>
      <c r="CJ268" t="s">
        <v>229</v>
      </c>
      <c r="CK268" s="36" t="s">
        <v>921</v>
      </c>
      <c r="CL268"/>
      <c r="CM268"/>
      <c r="CN268" s="36" t="s">
        <v>242</v>
      </c>
      <c r="CO268" s="36" t="s">
        <v>134</v>
      </c>
      <c r="CP268" s="36">
        <v>2</v>
      </c>
      <c r="CQ268" s="36">
        <v>4</v>
      </c>
      <c r="CR268" s="36" t="s">
        <v>249</v>
      </c>
      <c r="CS268" s="36">
        <v>2</v>
      </c>
      <c r="CT268" s="36">
        <v>1</v>
      </c>
      <c r="CU268" s="36">
        <v>1</v>
      </c>
      <c r="CV268" s="36">
        <v>2</v>
      </c>
      <c r="CW268" s="36">
        <v>2</v>
      </c>
      <c r="CX268" s="36">
        <v>3</v>
      </c>
      <c r="CY268" s="36">
        <v>4</v>
      </c>
      <c r="CZ268" s="36">
        <v>5</v>
      </c>
      <c r="DA268" s="36">
        <v>3</v>
      </c>
      <c r="DB268" s="36">
        <v>1</v>
      </c>
      <c r="DC268" s="36">
        <v>3</v>
      </c>
      <c r="DD268" s="36">
        <v>2</v>
      </c>
      <c r="DE268" s="36">
        <v>3</v>
      </c>
      <c r="DF268" s="36">
        <v>3</v>
      </c>
      <c r="DG268" s="36">
        <v>3</v>
      </c>
      <c r="DH268" s="36">
        <v>2</v>
      </c>
      <c r="DI268" s="36" t="s">
        <v>252</v>
      </c>
      <c r="DJ268" s="36" t="s">
        <v>134</v>
      </c>
      <c r="DL268"/>
      <c r="DM268"/>
      <c r="DN268"/>
      <c r="DO268"/>
      <c r="DP268"/>
      <c r="DR268" s="36" t="s">
        <v>134</v>
      </c>
      <c r="DT268"/>
      <c r="DU268"/>
      <c r="DV268"/>
      <c r="DW268"/>
      <c r="DX268"/>
      <c r="DZ268" s="36" t="s">
        <v>134</v>
      </c>
      <c r="EB268" s="36" t="s">
        <v>262</v>
      </c>
      <c r="EC268" s="36" t="s">
        <v>267</v>
      </c>
      <c r="ED268" s="36">
        <v>35</v>
      </c>
      <c r="EE268" s="36" t="s">
        <v>372</v>
      </c>
      <c r="EF268" s="36" t="str">
        <f>Tabulacao!MC268</f>
        <v>Aracaju</v>
      </c>
      <c r="EG268" s="36" t="s">
        <v>372</v>
      </c>
      <c r="EH268" s="36" t="str">
        <f>Tabulacao!MG268</f>
        <v>Aracaju</v>
      </c>
      <c r="EI268" s="36" t="s">
        <v>372</v>
      </c>
      <c r="EJ268" s="36" t="str">
        <f>Tabulacao!MK268</f>
        <v>Aracaju</v>
      </c>
      <c r="EK268" s="36" t="s">
        <v>134</v>
      </c>
      <c r="EL268" s="36" t="s">
        <v>134</v>
      </c>
      <c r="EM268" s="36" t="s">
        <v>134</v>
      </c>
      <c r="EN268" s="36" t="s">
        <v>134</v>
      </c>
      <c r="EO268" s="36" t="s">
        <v>134</v>
      </c>
      <c r="EP268" s="36" t="s">
        <v>134</v>
      </c>
      <c r="EQ268" s="36" t="s">
        <v>275</v>
      </c>
      <c r="ER268" s="36" t="str">
        <f>IF(OR(EQ268=CaractAmostra!$BD$9,EQ268=CaractAmostra!$BD$10,EQ268=CaractAmostra!$BD$11,EQ268=CaractAmostra!$BD$12,EQ268=CaractAmostra!$BD$13),Respostas_Formatadas!EQ268,"Outros")</f>
        <v>Com os pais</v>
      </c>
      <c r="ES268" s="36" t="s">
        <v>275</v>
      </c>
      <c r="ET268" s="36" t="str">
        <f>IF(OR(ES268=CaractAmostra!$BH$9,ES268=CaractAmostra!$BH$10,ES268=CaractAmostra!$BH$11,ES268=CaractAmostra!$BH$12),Respostas_Formatadas!ES268,"Outros")</f>
        <v>Com os pais</v>
      </c>
      <c r="EU268" s="36" t="s">
        <v>134</v>
      </c>
      <c r="EV268" s="36" t="s">
        <v>287</v>
      </c>
      <c r="EW268" s="36" t="s">
        <v>285</v>
      </c>
      <c r="FE268" s="47">
        <v>2006</v>
      </c>
      <c r="FF268" s="97" t="s">
        <v>933</v>
      </c>
      <c r="FG268" s="47">
        <v>2005</v>
      </c>
      <c r="FH268" s="47">
        <f t="shared" si="11"/>
        <v>-1</v>
      </c>
      <c r="FI268" s="47" t="str">
        <f t="shared" si="12"/>
        <v>Aracaju</v>
      </c>
      <c r="FJ268" s="47" t="str">
        <f t="shared" si="13"/>
        <v>Tecnologia</v>
      </c>
    </row>
    <row r="269" spans="1:166" s="36" customFormat="1" ht="15.75" customHeight="1" x14ac:dyDescent="0.2">
      <c r="A269" s="38">
        <v>43426.899098402777</v>
      </c>
      <c r="C269" s="36" t="s">
        <v>127</v>
      </c>
      <c r="D269" s="47" t="s">
        <v>133</v>
      </c>
      <c r="E269" s="36" t="s">
        <v>135</v>
      </c>
      <c r="H269" s="36" t="s">
        <v>144</v>
      </c>
      <c r="M269" s="36" t="s">
        <v>146</v>
      </c>
      <c r="N269" s="36" t="s">
        <v>133</v>
      </c>
      <c r="O269" s="36" t="s">
        <v>133</v>
      </c>
      <c r="P269" s="36" t="s">
        <v>133</v>
      </c>
      <c r="Q269" s="36" t="s">
        <v>133</v>
      </c>
      <c r="R269" s="36" t="s">
        <v>151</v>
      </c>
      <c r="Y269" s="36" t="s">
        <v>165</v>
      </c>
      <c r="Z269" s="36" t="s">
        <v>167</v>
      </c>
      <c r="AA269" s="36" t="s">
        <v>171</v>
      </c>
      <c r="AB269" s="36" t="s">
        <v>181</v>
      </c>
      <c r="AD269" s="36" t="s">
        <v>922</v>
      </c>
      <c r="AE269" s="36">
        <v>4</v>
      </c>
      <c r="AF269" s="36" t="s">
        <v>188</v>
      </c>
      <c r="AG269" s="36" t="s">
        <v>188</v>
      </c>
      <c r="AH269" s="36" t="s">
        <v>134</v>
      </c>
      <c r="AI269" s="40">
        <v>1005</v>
      </c>
      <c r="AJ269" s="36">
        <v>3</v>
      </c>
      <c r="AK269" s="36">
        <v>4</v>
      </c>
      <c r="AL269" s="36" t="s">
        <v>133</v>
      </c>
      <c r="AP269" s="36" t="s">
        <v>923</v>
      </c>
      <c r="AQ269" s="40">
        <v>1500</v>
      </c>
      <c r="AR269" s="36">
        <v>3</v>
      </c>
      <c r="AS269" s="36">
        <v>3</v>
      </c>
      <c r="AT269" s="36">
        <v>3</v>
      </c>
      <c r="AU269" s="36">
        <v>3</v>
      </c>
      <c r="AV269" s="36">
        <v>4</v>
      </c>
      <c r="AW269" s="36" t="s">
        <v>192</v>
      </c>
      <c r="AX269" s="36" t="s">
        <v>207</v>
      </c>
      <c r="AY269" s="36" t="s">
        <v>210</v>
      </c>
      <c r="AZ269" s="36" t="s">
        <v>134</v>
      </c>
      <c r="BA269" s="36" t="s">
        <v>212</v>
      </c>
      <c r="BB269" s="36" t="s">
        <v>501</v>
      </c>
      <c r="BC269" s="36" t="s">
        <v>292</v>
      </c>
      <c r="BD269" s="36" t="s">
        <v>188</v>
      </c>
      <c r="BF269" s="36" t="s">
        <v>219</v>
      </c>
      <c r="BG269" s="36">
        <v>3</v>
      </c>
      <c r="BH269" s="36">
        <v>3</v>
      </c>
      <c r="BI269" s="36">
        <v>2</v>
      </c>
      <c r="BJ269" s="36">
        <v>3</v>
      </c>
      <c r="BK269" s="36">
        <v>4</v>
      </c>
      <c r="BL269" s="36">
        <v>5</v>
      </c>
      <c r="BM269" s="36">
        <v>3</v>
      </c>
      <c r="BN269" s="36">
        <v>5</v>
      </c>
      <c r="BO269" s="36">
        <v>4</v>
      </c>
      <c r="BP269" s="36">
        <v>3</v>
      </c>
      <c r="BQ269" s="36">
        <v>1</v>
      </c>
      <c r="BR269" s="36">
        <v>2</v>
      </c>
      <c r="BS269" s="36">
        <v>1</v>
      </c>
      <c r="BT269" s="36">
        <v>5</v>
      </c>
      <c r="BU269" s="36">
        <v>5</v>
      </c>
      <c r="BV269" s="36">
        <v>4</v>
      </c>
      <c r="BW269" s="36">
        <v>5</v>
      </c>
      <c r="BX269" s="36">
        <v>5</v>
      </c>
      <c r="BY269" s="36">
        <v>5</v>
      </c>
      <c r="BZ269" s="36">
        <v>5</v>
      </c>
      <c r="CA269" s="36">
        <v>5</v>
      </c>
      <c r="CB269" s="36">
        <v>4</v>
      </c>
      <c r="CC269" s="36">
        <v>5</v>
      </c>
      <c r="CD269" s="36">
        <v>5</v>
      </c>
      <c r="CE269" s="36">
        <v>5</v>
      </c>
      <c r="CF269" s="36">
        <v>2</v>
      </c>
      <c r="CG269" s="36">
        <v>4</v>
      </c>
      <c r="CH269" s="36" t="s">
        <v>225</v>
      </c>
      <c r="CI269"/>
      <c r="CJ269"/>
      <c r="CK269" s="36" t="s">
        <v>235</v>
      </c>
      <c r="CL269"/>
      <c r="CM269"/>
      <c r="CN269" s="36" t="s">
        <v>242</v>
      </c>
      <c r="CO269" s="36" t="s">
        <v>134</v>
      </c>
      <c r="CP269" s="36">
        <v>2</v>
      </c>
      <c r="CQ269" s="36">
        <v>5</v>
      </c>
      <c r="CR269" s="36" t="s">
        <v>248</v>
      </c>
      <c r="CS269" s="36">
        <v>3</v>
      </c>
      <c r="CT269" s="36">
        <v>4</v>
      </c>
      <c r="CU269" s="36">
        <v>3</v>
      </c>
      <c r="CV269" s="36">
        <v>1</v>
      </c>
      <c r="CW269" s="36">
        <v>3</v>
      </c>
      <c r="CX269" s="36">
        <v>3</v>
      </c>
      <c r="CY269" s="36">
        <v>4</v>
      </c>
      <c r="CZ269" s="36">
        <v>3</v>
      </c>
      <c r="DA269" s="36">
        <v>3</v>
      </c>
      <c r="DB269" s="36">
        <v>3</v>
      </c>
      <c r="DC269" s="36">
        <v>3</v>
      </c>
      <c r="DD269" s="36">
        <v>3</v>
      </c>
      <c r="DE269" s="36">
        <v>3</v>
      </c>
      <c r="DF269" s="36">
        <v>3</v>
      </c>
      <c r="DG269" s="36">
        <v>3</v>
      </c>
      <c r="DH269" s="36">
        <v>4</v>
      </c>
      <c r="DI269" s="36" t="s">
        <v>133</v>
      </c>
      <c r="DJ269" s="36" t="s">
        <v>133</v>
      </c>
      <c r="DK269" s="36" t="s">
        <v>254</v>
      </c>
      <c r="DL269"/>
      <c r="DM269"/>
      <c r="DN269"/>
      <c r="DO269"/>
      <c r="DP269"/>
      <c r="DQ269" s="36">
        <v>5</v>
      </c>
      <c r="DR269" s="36" t="s">
        <v>134</v>
      </c>
      <c r="DT269"/>
      <c r="DU269"/>
      <c r="DV269"/>
      <c r="DW269"/>
      <c r="DX269"/>
      <c r="DZ269" s="36" t="s">
        <v>133</v>
      </c>
      <c r="EA269" s="36">
        <v>5</v>
      </c>
      <c r="EB269" s="36" t="s">
        <v>263</v>
      </c>
      <c r="EC269" s="36" t="s">
        <v>267</v>
      </c>
      <c r="ED269" s="36">
        <v>21</v>
      </c>
      <c r="EE269" s="36" t="s">
        <v>824</v>
      </c>
      <c r="EF269" s="36" t="str">
        <f>Tabulacao!MC269</f>
        <v>Malhador</v>
      </c>
      <c r="EG269" s="36" t="s">
        <v>824</v>
      </c>
      <c r="EH269" s="36" t="str">
        <f>Tabulacao!MG269</f>
        <v>Malhador</v>
      </c>
      <c r="EI269" s="36" t="s">
        <v>292</v>
      </c>
      <c r="EJ269" s="36" t="str">
        <f>Tabulacao!MK269</f>
        <v>Aracaju</v>
      </c>
      <c r="EK269" s="36" t="s">
        <v>134</v>
      </c>
      <c r="EL269" s="36" t="s">
        <v>134</v>
      </c>
      <c r="EM269" s="36" t="s">
        <v>134</v>
      </c>
      <c r="EN269" s="36" t="s">
        <v>134</v>
      </c>
      <c r="EO269" s="36" t="s">
        <v>134</v>
      </c>
      <c r="EP269" s="36" t="s">
        <v>134</v>
      </c>
      <c r="EQ269" s="36" t="s">
        <v>275</v>
      </c>
      <c r="ER269" s="36" t="str">
        <f>IF(OR(EQ269=CaractAmostra!$BD$9,EQ269=CaractAmostra!$BD$10,EQ269=CaractAmostra!$BD$11,EQ269=CaractAmostra!$BD$12,EQ269=CaractAmostra!$BD$13),Respostas_Formatadas!EQ269,"Outros")</f>
        <v>Com os pais</v>
      </c>
      <c r="ES269" s="36" t="s">
        <v>278</v>
      </c>
      <c r="ET269" s="36" t="str">
        <f>IF(OR(ES269=CaractAmostra!$BH$9,ES269=CaractAmostra!$BH$10,ES269=CaractAmostra!$BH$11,ES269=CaractAmostra!$BH$12),Respostas_Formatadas!ES269,"Outros")</f>
        <v>Divido residência com outras pessoas</v>
      </c>
      <c r="EU269" s="36" t="s">
        <v>134</v>
      </c>
      <c r="EV269" s="36" t="s">
        <v>282</v>
      </c>
      <c r="EW269" s="36" t="s">
        <v>285</v>
      </c>
      <c r="FE269" s="47">
        <v>2018</v>
      </c>
      <c r="FF269" s="97">
        <v>8.3086000000000002</v>
      </c>
      <c r="FG269" s="47">
        <v>2017</v>
      </c>
      <c r="FH269" s="47">
        <f t="shared" si="11"/>
        <v>-1</v>
      </c>
      <c r="FI269" s="47" t="str">
        <f t="shared" si="12"/>
        <v>Itabaiana</v>
      </c>
      <c r="FJ269" s="47" t="str">
        <f t="shared" si="13"/>
        <v>Tecnologia</v>
      </c>
    </row>
    <row r="270" spans="1:166" s="36" customFormat="1" ht="15.75" customHeight="1" x14ac:dyDescent="0.2">
      <c r="A270" s="38">
        <v>43426.941888900459</v>
      </c>
      <c r="B270" s="41"/>
      <c r="C270" s="36" t="s">
        <v>127</v>
      </c>
      <c r="D270" s="47" t="s">
        <v>134</v>
      </c>
      <c r="M270" s="36" t="s">
        <v>147</v>
      </c>
      <c r="N270" s="36" t="s">
        <v>134</v>
      </c>
      <c r="O270" s="36" t="s">
        <v>134</v>
      </c>
      <c r="P270" s="36" t="s">
        <v>133</v>
      </c>
      <c r="Q270" s="36" t="s">
        <v>133</v>
      </c>
      <c r="R270" s="36" t="s">
        <v>153</v>
      </c>
      <c r="S270" s="36" t="s">
        <v>938</v>
      </c>
      <c r="T270" s="36" t="s">
        <v>154</v>
      </c>
      <c r="U270" s="36" t="s">
        <v>157</v>
      </c>
      <c r="V270" s="36">
        <v>3</v>
      </c>
      <c r="W270" s="36">
        <v>2</v>
      </c>
      <c r="X270" s="36">
        <v>3</v>
      </c>
      <c r="Y270" s="36" t="s">
        <v>166</v>
      </c>
      <c r="AC270" s="36" t="s">
        <v>181</v>
      </c>
      <c r="AD270" s="36" t="s">
        <v>541</v>
      </c>
      <c r="AE270" s="36">
        <v>3</v>
      </c>
      <c r="AF270" s="36" t="s">
        <v>189</v>
      </c>
      <c r="AG270" s="36" t="s">
        <v>189</v>
      </c>
      <c r="AH270" s="36" t="s">
        <v>134</v>
      </c>
      <c r="AI270" s="40">
        <v>1100</v>
      </c>
      <c r="AJ270" s="36">
        <v>4</v>
      </c>
      <c r="AK270" s="36">
        <v>3</v>
      </c>
      <c r="AL270" s="36" t="s">
        <v>134</v>
      </c>
      <c r="AM270" s="36" t="s">
        <v>170</v>
      </c>
      <c r="AN270" s="36">
        <v>2</v>
      </c>
      <c r="AO270" s="36" t="s">
        <v>133</v>
      </c>
      <c r="AP270" s="36" t="s">
        <v>851</v>
      </c>
      <c r="AQ270" s="40">
        <v>1500</v>
      </c>
      <c r="AR270" s="36">
        <v>3</v>
      </c>
      <c r="AS270" s="36">
        <v>2</v>
      </c>
      <c r="AT270" s="36">
        <v>2</v>
      </c>
      <c r="AU270" s="36">
        <v>3</v>
      </c>
      <c r="AV270" s="36">
        <v>2</v>
      </c>
      <c r="AW270" s="36" t="s">
        <v>193</v>
      </c>
      <c r="AX270" s="36" t="s">
        <v>206</v>
      </c>
      <c r="AY270" s="36" t="s">
        <v>210</v>
      </c>
      <c r="AZ270" s="36" t="s">
        <v>134</v>
      </c>
      <c r="BA270" s="36" t="s">
        <v>213</v>
      </c>
      <c r="BB270" s="36" t="s">
        <v>852</v>
      </c>
      <c r="BC270" s="36" t="s">
        <v>853</v>
      </c>
      <c r="BD270" s="36" t="s">
        <v>189</v>
      </c>
      <c r="BF270" s="36" t="s">
        <v>218</v>
      </c>
      <c r="BG270" s="36">
        <v>3</v>
      </c>
      <c r="BH270" s="36">
        <v>3</v>
      </c>
      <c r="BI270" s="36">
        <v>3</v>
      </c>
      <c r="BJ270" s="36">
        <v>3</v>
      </c>
      <c r="BK270" s="36">
        <v>4</v>
      </c>
      <c r="BL270" s="36">
        <v>4</v>
      </c>
      <c r="BM270" s="36">
        <v>4</v>
      </c>
      <c r="BN270" s="36">
        <v>5</v>
      </c>
      <c r="BO270" s="36">
        <v>4</v>
      </c>
      <c r="BP270" s="36">
        <v>4</v>
      </c>
      <c r="BQ270" s="36">
        <v>4</v>
      </c>
      <c r="BR270" s="36">
        <v>3</v>
      </c>
      <c r="BS270" s="36">
        <v>2</v>
      </c>
      <c r="BT270" s="36">
        <v>3</v>
      </c>
      <c r="BU270" s="36">
        <v>3</v>
      </c>
      <c r="BV270" s="36">
        <v>3</v>
      </c>
      <c r="BW270" s="36">
        <v>4</v>
      </c>
      <c r="BX270" s="36">
        <v>4</v>
      </c>
      <c r="BY270" s="36">
        <v>4</v>
      </c>
      <c r="BZ270" s="36">
        <v>4</v>
      </c>
      <c r="CA270" s="36">
        <v>5</v>
      </c>
      <c r="CB270" s="36">
        <v>4</v>
      </c>
      <c r="CC270" s="36">
        <v>4</v>
      </c>
      <c r="CD270" s="36">
        <v>4</v>
      </c>
      <c r="CE270" s="36">
        <v>3</v>
      </c>
      <c r="CF270" s="36">
        <v>2</v>
      </c>
      <c r="CG270" s="36">
        <v>3</v>
      </c>
      <c r="CH270" s="36" t="s">
        <v>222</v>
      </c>
      <c r="CI270" t="s">
        <v>227</v>
      </c>
      <c r="CJ270"/>
      <c r="CK270" s="36" t="s">
        <v>233</v>
      </c>
      <c r="CL270"/>
      <c r="CM270"/>
      <c r="CN270" s="36" t="s">
        <v>242</v>
      </c>
      <c r="CO270" s="36" t="s">
        <v>133</v>
      </c>
      <c r="CP270" s="36">
        <v>2</v>
      </c>
      <c r="CQ270" s="36">
        <v>3</v>
      </c>
      <c r="CR270" s="36" t="s">
        <v>249</v>
      </c>
      <c r="CS270" s="36">
        <v>2</v>
      </c>
      <c r="CT270" s="36">
        <v>3</v>
      </c>
      <c r="CU270" s="36">
        <v>1</v>
      </c>
      <c r="CV270" s="36">
        <v>1</v>
      </c>
      <c r="CW270" s="36">
        <v>1</v>
      </c>
      <c r="CX270" s="36">
        <v>2</v>
      </c>
      <c r="CY270" s="36">
        <v>3</v>
      </c>
      <c r="CZ270" s="36">
        <v>3</v>
      </c>
      <c r="DA270" s="36">
        <v>2</v>
      </c>
      <c r="DB270" s="36">
        <v>3</v>
      </c>
      <c r="DC270" s="36">
        <v>3</v>
      </c>
      <c r="DD270" s="36">
        <v>3</v>
      </c>
      <c r="DE270" s="36">
        <v>2</v>
      </c>
      <c r="DF270" s="36">
        <v>4</v>
      </c>
      <c r="DG270" s="36">
        <v>4</v>
      </c>
      <c r="DH270" s="36">
        <v>4</v>
      </c>
      <c r="DI270" s="36" t="s">
        <v>133</v>
      </c>
      <c r="DJ270" s="36" t="s">
        <v>134</v>
      </c>
      <c r="DL270"/>
      <c r="DM270"/>
      <c r="DN270"/>
      <c r="DO270"/>
      <c r="DP270"/>
      <c r="DR270" s="36" t="s">
        <v>134</v>
      </c>
      <c r="DT270"/>
      <c r="DU270"/>
      <c r="DV270"/>
      <c r="DW270"/>
      <c r="DX270"/>
      <c r="DZ270" s="36" t="s">
        <v>133</v>
      </c>
      <c r="EA270" s="36">
        <v>5</v>
      </c>
      <c r="EB270" s="36" t="s">
        <v>262</v>
      </c>
      <c r="EC270" s="36" t="s">
        <v>267</v>
      </c>
      <c r="ED270" s="36">
        <v>27</v>
      </c>
      <c r="EE270" s="36" t="s">
        <v>853</v>
      </c>
      <c r="EF270" s="36" t="str">
        <f>Tabulacao!MC270</f>
        <v>Pinhão</v>
      </c>
      <c r="EG270" s="36" t="s">
        <v>853</v>
      </c>
      <c r="EH270" s="36" t="str">
        <f>Tabulacao!MG270</f>
        <v>Pinhão</v>
      </c>
      <c r="EI270" s="36" t="s">
        <v>853</v>
      </c>
      <c r="EJ270" s="36" t="str">
        <f>Tabulacao!MK270</f>
        <v>Pinhão</v>
      </c>
      <c r="EK270" s="36" t="s">
        <v>134</v>
      </c>
      <c r="EL270" s="36" t="s">
        <v>134</v>
      </c>
      <c r="EM270" s="36" t="s">
        <v>134</v>
      </c>
      <c r="EN270" s="36" t="s">
        <v>134</v>
      </c>
      <c r="EO270" s="36" t="s">
        <v>134</v>
      </c>
      <c r="EP270" s="36" t="s">
        <v>134</v>
      </c>
      <c r="EQ270" s="36" t="s">
        <v>272</v>
      </c>
      <c r="ER270" s="36" t="str">
        <f>IF(OR(EQ270=CaractAmostra!$BD$9,EQ270=CaractAmostra!$BD$10,EQ270=CaractAmostra!$BD$11,EQ270=CaractAmostra!$BD$12,EQ270=CaractAmostra!$BD$13),Respostas_Formatadas!EQ270,"Outros")</f>
        <v>Morava sozinho</v>
      </c>
      <c r="ES270" s="36" t="s">
        <v>274</v>
      </c>
      <c r="ET270" s="36" t="str">
        <f>IF(OR(ES270=CaractAmostra!$BH$9,ES270=CaractAmostra!$BH$10,ES270=CaractAmostra!$BH$11,ES270=CaractAmostra!$BH$12),Respostas_Formatadas!ES270,"Outros")</f>
        <v>Com um(a) parceiro(a)</v>
      </c>
      <c r="EU270" s="36" t="s">
        <v>134</v>
      </c>
      <c r="EV270" s="36" t="s">
        <v>288</v>
      </c>
      <c r="EW270" s="36" t="s">
        <v>285</v>
      </c>
      <c r="FE270" s="47">
        <v>2018</v>
      </c>
      <c r="FF270" s="97">
        <v>7.0888999999999998</v>
      </c>
      <c r="FG270" s="47">
        <v>2017</v>
      </c>
      <c r="FH270" s="47">
        <f t="shared" si="11"/>
        <v>-1</v>
      </c>
      <c r="FI270" s="47" t="str">
        <f t="shared" si="12"/>
        <v>Itabaiana</v>
      </c>
      <c r="FJ270" s="47" t="str">
        <f t="shared" si="13"/>
        <v>Tecnologia</v>
      </c>
    </row>
    <row r="271" spans="1:166" s="36" customFormat="1" ht="15.75" customHeight="1" x14ac:dyDescent="0.2">
      <c r="A271" s="38">
        <v>43427.018983657406</v>
      </c>
      <c r="B271" s="41"/>
      <c r="C271" s="36" t="s">
        <v>120</v>
      </c>
      <c r="D271" s="47" t="s">
        <v>133</v>
      </c>
      <c r="E271" s="36" t="s">
        <v>135</v>
      </c>
      <c r="H271" s="36" t="s">
        <v>144</v>
      </c>
      <c r="M271" s="36" t="s">
        <v>149</v>
      </c>
      <c r="N271" s="36" t="s">
        <v>134</v>
      </c>
      <c r="O271" s="36" t="s">
        <v>133</v>
      </c>
      <c r="P271" s="36" t="s">
        <v>133</v>
      </c>
      <c r="Q271" s="36" t="s">
        <v>133</v>
      </c>
      <c r="R271" s="36" t="s">
        <v>151</v>
      </c>
      <c r="Y271" s="36" t="s">
        <v>166</v>
      </c>
      <c r="AC271" s="36" t="s">
        <v>181</v>
      </c>
      <c r="AD271" s="36" t="s">
        <v>924</v>
      </c>
      <c r="AE271" s="36">
        <v>5</v>
      </c>
      <c r="AF271" s="36" t="s">
        <v>190</v>
      </c>
      <c r="AG271" s="36" t="s">
        <v>190</v>
      </c>
      <c r="AH271" s="36" t="s">
        <v>134</v>
      </c>
      <c r="AI271" s="40">
        <v>2400</v>
      </c>
      <c r="AJ271" s="36">
        <v>3</v>
      </c>
      <c r="AK271" s="36">
        <v>4</v>
      </c>
      <c r="AL271" s="36" t="s">
        <v>133</v>
      </c>
      <c r="AP271" s="36" t="s">
        <v>925</v>
      </c>
      <c r="AQ271" s="40">
        <v>3000</v>
      </c>
      <c r="AR271" s="36">
        <v>3</v>
      </c>
      <c r="AS271" s="36">
        <v>3</v>
      </c>
      <c r="AT271" s="36">
        <v>4</v>
      </c>
      <c r="AU271" s="36">
        <v>4</v>
      </c>
      <c r="AV271" s="36">
        <v>4</v>
      </c>
      <c r="AW271" s="36" t="s">
        <v>926</v>
      </c>
      <c r="AX271" s="36" t="s">
        <v>206</v>
      </c>
      <c r="AY271" s="36" t="s">
        <v>210</v>
      </c>
      <c r="AZ271" s="36" t="s">
        <v>133</v>
      </c>
      <c r="BA271" s="36" t="s">
        <v>170</v>
      </c>
      <c r="BB271" s="36" t="s">
        <v>292</v>
      </c>
      <c r="BC271" s="36" t="s">
        <v>292</v>
      </c>
      <c r="BD271" s="36" t="s">
        <v>190</v>
      </c>
      <c r="BG271" s="36">
        <v>5</v>
      </c>
      <c r="BH271" s="36">
        <v>3</v>
      </c>
      <c r="BI271" s="36">
        <v>4</v>
      </c>
      <c r="BJ271" s="36">
        <v>3</v>
      </c>
      <c r="BK271" s="36">
        <v>3</v>
      </c>
      <c r="BL271" s="36">
        <v>3</v>
      </c>
      <c r="BM271" s="36">
        <v>4</v>
      </c>
      <c r="BN271" s="36">
        <v>5</v>
      </c>
      <c r="BO271" s="36">
        <v>4</v>
      </c>
      <c r="BP271" s="36">
        <v>4</v>
      </c>
      <c r="BQ271" s="36">
        <v>3</v>
      </c>
      <c r="BR271" s="36">
        <v>2</v>
      </c>
      <c r="BS271" s="36">
        <v>1</v>
      </c>
      <c r="BT271" s="36">
        <v>4</v>
      </c>
      <c r="BU271" s="36">
        <v>3</v>
      </c>
      <c r="BV271" s="36">
        <v>4</v>
      </c>
      <c r="BW271" s="36">
        <v>3</v>
      </c>
      <c r="BX271" s="36">
        <v>3</v>
      </c>
      <c r="BY271" s="36">
        <v>4</v>
      </c>
      <c r="BZ271" s="36">
        <v>4</v>
      </c>
      <c r="CA271" s="36">
        <v>5</v>
      </c>
      <c r="CB271" s="36">
        <v>4</v>
      </c>
      <c r="CC271" s="36">
        <v>4</v>
      </c>
      <c r="CD271" s="36">
        <v>3</v>
      </c>
      <c r="CE271" s="36">
        <v>3</v>
      </c>
      <c r="CF271" s="36">
        <v>1</v>
      </c>
      <c r="CG271" s="36">
        <v>3</v>
      </c>
      <c r="CH271" s="36" t="s">
        <v>229</v>
      </c>
      <c r="CI271"/>
      <c r="CJ271"/>
      <c r="CK271" s="36" t="s">
        <v>233</v>
      </c>
      <c r="CL271" t="s">
        <v>235</v>
      </c>
      <c r="CM271" t="s">
        <v>240</v>
      </c>
      <c r="CN271" s="36" t="s">
        <v>242</v>
      </c>
      <c r="CO271" s="36" t="s">
        <v>134</v>
      </c>
      <c r="CP271" s="36">
        <v>4</v>
      </c>
      <c r="CQ271" s="36">
        <v>4</v>
      </c>
      <c r="CR271" s="36" t="s">
        <v>249</v>
      </c>
      <c r="CS271" s="36">
        <v>3</v>
      </c>
      <c r="CT271" s="36">
        <v>3</v>
      </c>
      <c r="CU271" s="36">
        <v>3</v>
      </c>
      <c r="CV271" s="36">
        <v>1</v>
      </c>
      <c r="CW271" s="36">
        <v>4</v>
      </c>
      <c r="CX271" s="36">
        <v>4</v>
      </c>
      <c r="CY271" s="36">
        <v>4</v>
      </c>
      <c r="CZ271" s="36">
        <v>3</v>
      </c>
      <c r="DA271" s="36">
        <v>2</v>
      </c>
      <c r="DB271" s="36">
        <v>3</v>
      </c>
      <c r="DC271" s="36">
        <v>4</v>
      </c>
      <c r="DD271" s="36">
        <v>3</v>
      </c>
      <c r="DE271" s="36">
        <v>3</v>
      </c>
      <c r="DF271" s="36">
        <v>4</v>
      </c>
      <c r="DG271" s="36">
        <v>4</v>
      </c>
      <c r="DH271" s="36">
        <v>3</v>
      </c>
      <c r="DI271" s="36" t="s">
        <v>133</v>
      </c>
      <c r="DJ271" s="36" t="s">
        <v>133</v>
      </c>
      <c r="DK271" s="36" t="s">
        <v>255</v>
      </c>
      <c r="DL271"/>
      <c r="DM271"/>
      <c r="DN271" t="s">
        <v>256</v>
      </c>
      <c r="DO271"/>
      <c r="DP271"/>
      <c r="DQ271" s="36">
        <v>3</v>
      </c>
      <c r="DR271" s="36" t="s">
        <v>133</v>
      </c>
      <c r="DS271" s="36" t="s">
        <v>259</v>
      </c>
      <c r="DT271"/>
      <c r="DU271"/>
      <c r="DV271" t="s">
        <v>260</v>
      </c>
      <c r="DW271"/>
      <c r="DX271"/>
      <c r="DY271" s="36">
        <v>4</v>
      </c>
      <c r="DZ271" s="36" t="s">
        <v>134</v>
      </c>
      <c r="EB271" s="36" t="s">
        <v>262</v>
      </c>
      <c r="EC271" s="36" t="s">
        <v>267</v>
      </c>
      <c r="ED271" s="36">
        <v>30</v>
      </c>
      <c r="EE271" s="36" t="s">
        <v>659</v>
      </c>
      <c r="EF271" s="36" t="str">
        <f>Tabulacao!MC271</f>
        <v>Simão Dias</v>
      </c>
      <c r="EG271" s="36" t="s">
        <v>292</v>
      </c>
      <c r="EH271" s="36" t="str">
        <f>Tabulacao!MG271</f>
        <v>Aracaju</v>
      </c>
      <c r="EI271" s="36" t="s">
        <v>292</v>
      </c>
      <c r="EJ271" s="36" t="str">
        <f>Tabulacao!MK271</f>
        <v>Aracaju</v>
      </c>
      <c r="EK271" s="36" t="s">
        <v>134</v>
      </c>
      <c r="EL271" s="36" t="s">
        <v>134</v>
      </c>
      <c r="EM271" s="36" t="s">
        <v>134</v>
      </c>
      <c r="EN271" s="36" t="s">
        <v>134</v>
      </c>
      <c r="EO271" s="36" t="s">
        <v>134</v>
      </c>
      <c r="EP271" s="36" t="s">
        <v>134</v>
      </c>
      <c r="EQ271" s="36" t="s">
        <v>274</v>
      </c>
      <c r="ER271" s="36" t="str">
        <f>IF(OR(EQ271=CaractAmostra!$BD$9,EQ271=CaractAmostra!$BD$10,EQ271=CaractAmostra!$BD$11,EQ271=CaractAmostra!$BD$12,EQ271=CaractAmostra!$BD$13),Respostas_Formatadas!EQ271,"Outros")</f>
        <v>Com um(a) parceiro(a)</v>
      </c>
      <c r="ES271" s="36" t="s">
        <v>274</v>
      </c>
      <c r="ET271" s="36" t="str">
        <f>IF(OR(ES271=CaractAmostra!$BH$9,ES271=CaractAmostra!$BH$10,ES271=CaractAmostra!$BH$11,ES271=CaractAmostra!$BH$12),Respostas_Formatadas!ES271,"Outros")</f>
        <v>Com um(a) parceiro(a)</v>
      </c>
      <c r="EU271" s="36" t="s">
        <v>280</v>
      </c>
      <c r="EV271" s="36" t="s">
        <v>282</v>
      </c>
      <c r="EW271" s="36" t="s">
        <v>285</v>
      </c>
      <c r="FE271" s="47">
        <v>2018</v>
      </c>
      <c r="FF271" s="97">
        <v>7.0152999999999999</v>
      </c>
      <c r="FG271" s="47">
        <v>2017</v>
      </c>
      <c r="FH271" s="47">
        <f t="shared" si="11"/>
        <v>-1</v>
      </c>
      <c r="FI271" s="47" t="str">
        <f t="shared" si="12"/>
        <v>Lagarto</v>
      </c>
      <c r="FJ271" s="47" t="str">
        <f t="shared" si="13"/>
        <v>Bacharelado</v>
      </c>
    </row>
    <row r="272" spans="1:166" s="36" customFormat="1" ht="15.75" customHeight="1" x14ac:dyDescent="0.2">
      <c r="A272" s="38">
        <v>43427.08329844907</v>
      </c>
      <c r="B272" s="41"/>
      <c r="C272" s="36" t="s">
        <v>126</v>
      </c>
      <c r="D272" s="47" t="s">
        <v>134</v>
      </c>
      <c r="M272" s="36" t="s">
        <v>147</v>
      </c>
      <c r="N272" s="36" t="s">
        <v>134</v>
      </c>
      <c r="O272" s="36" t="s">
        <v>133</v>
      </c>
      <c r="P272" s="36" t="s">
        <v>134</v>
      </c>
      <c r="Q272" s="36" t="s">
        <v>133</v>
      </c>
      <c r="R272" s="36" t="s">
        <v>151</v>
      </c>
      <c r="Y272" s="36" t="s">
        <v>166</v>
      </c>
      <c r="AC272" s="36" t="s">
        <v>176</v>
      </c>
      <c r="AD272" s="36" t="s">
        <v>927</v>
      </c>
      <c r="AE272" s="36">
        <v>4</v>
      </c>
      <c r="AF272" s="36" t="s">
        <v>187</v>
      </c>
      <c r="AG272" s="36" t="s">
        <v>187</v>
      </c>
      <c r="AH272" s="36" t="s">
        <v>133</v>
      </c>
      <c r="AI272" s="40">
        <v>4000</v>
      </c>
      <c r="AJ272" s="36">
        <v>5</v>
      </c>
      <c r="AK272" s="36">
        <v>5</v>
      </c>
      <c r="AL272" s="36" t="s">
        <v>134</v>
      </c>
      <c r="AM272" s="36" t="s">
        <v>170</v>
      </c>
      <c r="AN272" s="36">
        <v>1</v>
      </c>
      <c r="AO272" s="36" t="s">
        <v>133</v>
      </c>
      <c r="AP272" s="36" t="s">
        <v>928</v>
      </c>
      <c r="AQ272" s="40">
        <v>6500</v>
      </c>
      <c r="AR272" s="36">
        <v>3</v>
      </c>
      <c r="AS272" s="36">
        <v>5</v>
      </c>
      <c r="AT272" s="36">
        <v>5</v>
      </c>
      <c r="AU272" s="36">
        <v>4</v>
      </c>
      <c r="AV272" s="36">
        <v>4</v>
      </c>
      <c r="AW272" s="36" t="s">
        <v>193</v>
      </c>
      <c r="AX272" s="36" t="s">
        <v>206</v>
      </c>
      <c r="AY272" s="36" t="s">
        <v>210</v>
      </c>
      <c r="AZ272" s="36" t="s">
        <v>133</v>
      </c>
      <c r="BA272" s="36" t="s">
        <v>170</v>
      </c>
      <c r="BB272" s="36" t="s">
        <v>702</v>
      </c>
      <c r="BC272" s="36" t="s">
        <v>1284</v>
      </c>
      <c r="BD272" s="36" t="s">
        <v>187</v>
      </c>
      <c r="BE272" s="36" t="s">
        <v>217</v>
      </c>
      <c r="BG272" s="36">
        <v>5</v>
      </c>
      <c r="BH272" s="36">
        <v>4</v>
      </c>
      <c r="BI272" s="36">
        <v>5</v>
      </c>
      <c r="BJ272" s="36">
        <v>5</v>
      </c>
      <c r="BK272" s="36">
        <v>5</v>
      </c>
      <c r="BL272" s="36">
        <v>5</v>
      </c>
      <c r="BM272" s="36">
        <v>5</v>
      </c>
      <c r="BN272" s="36">
        <v>5</v>
      </c>
      <c r="BO272" s="36">
        <v>5</v>
      </c>
      <c r="BP272" s="36">
        <v>5</v>
      </c>
      <c r="BQ272" s="36">
        <v>5</v>
      </c>
      <c r="BR272" s="36">
        <v>5</v>
      </c>
      <c r="BS272" s="36">
        <v>3</v>
      </c>
      <c r="BT272" s="36">
        <v>5</v>
      </c>
      <c r="BU272" s="36">
        <v>4</v>
      </c>
      <c r="BV272" s="36">
        <v>5</v>
      </c>
      <c r="BW272" s="36">
        <v>5</v>
      </c>
      <c r="BX272" s="36">
        <v>5</v>
      </c>
      <c r="BY272" s="36">
        <v>5</v>
      </c>
      <c r="BZ272" s="36">
        <v>5</v>
      </c>
      <c r="CA272" s="36">
        <v>5</v>
      </c>
      <c r="CB272" s="36">
        <v>5</v>
      </c>
      <c r="CC272" s="36">
        <v>5</v>
      </c>
      <c r="CD272" s="36">
        <v>5</v>
      </c>
      <c r="CE272" s="36">
        <v>4</v>
      </c>
      <c r="CF272" s="36">
        <v>3</v>
      </c>
      <c r="CG272" s="36">
        <v>5</v>
      </c>
      <c r="CH272" s="36" t="s">
        <v>229</v>
      </c>
      <c r="CI272"/>
      <c r="CJ272"/>
      <c r="CK272" s="36" t="s">
        <v>233</v>
      </c>
      <c r="CL272"/>
      <c r="CM272"/>
      <c r="CN272" s="36" t="s">
        <v>242</v>
      </c>
      <c r="CO272" s="36" t="s">
        <v>134</v>
      </c>
      <c r="CP272" s="36">
        <v>4</v>
      </c>
      <c r="CQ272" s="36">
        <v>5</v>
      </c>
      <c r="CR272" s="36" t="s">
        <v>248</v>
      </c>
      <c r="CS272" s="36">
        <v>5</v>
      </c>
      <c r="CT272" s="36">
        <v>5</v>
      </c>
      <c r="CU272" s="36">
        <v>5</v>
      </c>
      <c r="CV272" s="36">
        <v>4</v>
      </c>
      <c r="CW272" s="36">
        <v>5</v>
      </c>
      <c r="CX272" s="36">
        <v>5</v>
      </c>
      <c r="CY272" s="36">
        <v>5</v>
      </c>
      <c r="CZ272" s="36">
        <v>5</v>
      </c>
      <c r="DA272" s="36">
        <v>5</v>
      </c>
      <c r="DB272" s="36">
        <v>5</v>
      </c>
      <c r="DC272" s="36">
        <v>5</v>
      </c>
      <c r="DD272" s="36">
        <v>5</v>
      </c>
      <c r="DE272" s="36">
        <v>5</v>
      </c>
      <c r="DF272" s="36">
        <v>5</v>
      </c>
      <c r="DG272" s="36">
        <v>5</v>
      </c>
      <c r="DH272" s="36">
        <v>5</v>
      </c>
      <c r="DI272" s="36" t="s">
        <v>250</v>
      </c>
      <c r="DJ272" s="36" t="s">
        <v>133</v>
      </c>
      <c r="DK272" s="36" t="s">
        <v>256</v>
      </c>
      <c r="DL272"/>
      <c r="DM272"/>
      <c r="DN272"/>
      <c r="DO272"/>
      <c r="DP272"/>
      <c r="DQ272" s="36">
        <v>5</v>
      </c>
      <c r="DR272" s="36" t="s">
        <v>133</v>
      </c>
      <c r="DS272" s="36" t="s">
        <v>259</v>
      </c>
      <c r="DT272"/>
      <c r="DU272"/>
      <c r="DV272"/>
      <c r="DW272"/>
      <c r="DX272"/>
      <c r="DY272" s="36">
        <v>5</v>
      </c>
      <c r="DZ272" s="36" t="s">
        <v>134</v>
      </c>
      <c r="EB272" s="36" t="s">
        <v>262</v>
      </c>
      <c r="EC272" s="36" t="s">
        <v>264</v>
      </c>
      <c r="ED272" s="36">
        <v>29</v>
      </c>
      <c r="EE272" s="36" t="s">
        <v>929</v>
      </c>
      <c r="EF272" s="36" t="str">
        <f>Tabulacao!MC272</f>
        <v>Rio Real - BA</v>
      </c>
      <c r="EG272" s="36" t="s">
        <v>291</v>
      </c>
      <c r="EH272" s="36" t="str">
        <f>Tabulacao!MG272</f>
        <v>Lagarto</v>
      </c>
      <c r="EI272" s="36" t="s">
        <v>702</v>
      </c>
      <c r="EJ272" s="36" t="str">
        <f>Tabulacao!MK272</f>
        <v>Alagoinhas - BA</v>
      </c>
      <c r="EK272" s="36" t="s">
        <v>134</v>
      </c>
      <c r="EL272" s="36" t="s">
        <v>134</v>
      </c>
      <c r="EM272" s="36" t="s">
        <v>134</v>
      </c>
      <c r="EN272" s="36" t="s">
        <v>134</v>
      </c>
      <c r="EO272" s="36" t="s">
        <v>134</v>
      </c>
      <c r="EP272" s="36" t="s">
        <v>134</v>
      </c>
      <c r="EQ272" s="36" t="s">
        <v>273</v>
      </c>
      <c r="ER272" s="36" t="str">
        <f>IF(OR(EQ272=CaractAmostra!$BD$9,EQ272=CaractAmostra!$BD$10,EQ272=CaractAmostra!$BD$11,EQ272=CaractAmostra!$BD$12,EQ272=CaractAmostra!$BD$13),Respostas_Formatadas!EQ272,"Outros")</f>
        <v>Dividia residência com outras pessoas</v>
      </c>
      <c r="ES272" s="36" t="s">
        <v>274</v>
      </c>
      <c r="ET272" s="36" t="str">
        <f>IF(OR(ES272=CaractAmostra!$BH$9,ES272=CaractAmostra!$BH$10,ES272=CaractAmostra!$BH$11,ES272=CaractAmostra!$BH$12),Respostas_Formatadas!ES272,"Outros")</f>
        <v>Com um(a) parceiro(a)</v>
      </c>
      <c r="EU272" s="36" t="s">
        <v>279</v>
      </c>
      <c r="EV272" s="36" t="s">
        <v>283</v>
      </c>
      <c r="EW272" s="36" t="s">
        <v>283</v>
      </c>
      <c r="FE272" s="47">
        <v>2018</v>
      </c>
      <c r="FF272" s="97">
        <v>7.1212</v>
      </c>
      <c r="FG272" s="47">
        <v>2018</v>
      </c>
      <c r="FH272" s="47">
        <f t="shared" si="11"/>
        <v>0</v>
      </c>
      <c r="FI272" s="47" t="str">
        <f t="shared" si="12"/>
        <v>Lagarto</v>
      </c>
      <c r="FJ272" s="47" t="str">
        <f t="shared" si="13"/>
        <v>Tecnologia</v>
      </c>
    </row>
    <row r="273" spans="1:166" s="36" customFormat="1" ht="15.75" customHeight="1" x14ac:dyDescent="0.2">
      <c r="A273" s="38">
        <v>43427.320669826389</v>
      </c>
      <c r="B273" s="41"/>
      <c r="C273" s="36" t="s">
        <v>130</v>
      </c>
      <c r="D273" s="47" t="s">
        <v>134</v>
      </c>
      <c r="M273" s="36" t="s">
        <v>147</v>
      </c>
      <c r="N273" s="36" t="s">
        <v>134</v>
      </c>
      <c r="O273" s="36" t="s">
        <v>133</v>
      </c>
      <c r="P273" s="36" t="s">
        <v>133</v>
      </c>
      <c r="Q273" s="36" t="s">
        <v>134</v>
      </c>
      <c r="R273" s="36" t="s">
        <v>151</v>
      </c>
      <c r="Y273" s="36" t="s">
        <v>134</v>
      </c>
      <c r="AQ273" s="40"/>
      <c r="BT273" s="36">
        <v>5</v>
      </c>
      <c r="BU273" s="36">
        <v>3</v>
      </c>
      <c r="BV273" s="36">
        <v>4</v>
      </c>
      <c r="BW273" s="36">
        <v>2</v>
      </c>
      <c r="BX273" s="36">
        <v>4</v>
      </c>
      <c r="BY273" s="36">
        <v>5</v>
      </c>
      <c r="BZ273" s="36">
        <v>5</v>
      </c>
      <c r="CA273" s="36">
        <v>3</v>
      </c>
      <c r="CB273" s="36">
        <v>4</v>
      </c>
      <c r="CC273" s="36">
        <v>4</v>
      </c>
      <c r="CD273" s="36">
        <v>3</v>
      </c>
      <c r="CE273" s="36">
        <v>3</v>
      </c>
      <c r="CF273" s="36">
        <v>2</v>
      </c>
      <c r="CG273" s="36">
        <v>2</v>
      </c>
      <c r="CH273" s="36" t="s">
        <v>222</v>
      </c>
      <c r="CI273" t="s">
        <v>229</v>
      </c>
      <c r="CJ273" t="s">
        <v>231</v>
      </c>
      <c r="CK273" s="36" t="s">
        <v>240</v>
      </c>
      <c r="CL273"/>
      <c r="CM273"/>
      <c r="CN273" s="36" t="s">
        <v>241</v>
      </c>
      <c r="CO273" s="36" t="s">
        <v>133</v>
      </c>
      <c r="CP273" s="36">
        <v>1</v>
      </c>
      <c r="CQ273" s="36">
        <v>4</v>
      </c>
      <c r="CR273" s="36" t="s">
        <v>248</v>
      </c>
      <c r="CS273" s="36">
        <v>4</v>
      </c>
      <c r="CT273" s="36">
        <v>5</v>
      </c>
      <c r="CU273" s="36">
        <v>5</v>
      </c>
      <c r="CV273" s="36">
        <v>3</v>
      </c>
      <c r="CW273" s="36">
        <v>5</v>
      </c>
      <c r="CX273" s="36">
        <v>5</v>
      </c>
      <c r="CY273" s="36">
        <v>3</v>
      </c>
      <c r="CZ273" s="36">
        <v>5</v>
      </c>
      <c r="DA273" s="36">
        <v>3</v>
      </c>
      <c r="DB273" s="36">
        <v>5</v>
      </c>
      <c r="DC273" s="36">
        <v>4</v>
      </c>
      <c r="DD273" s="36">
        <v>5</v>
      </c>
      <c r="DE273" s="36">
        <v>4</v>
      </c>
      <c r="DF273" s="36">
        <v>4</v>
      </c>
      <c r="DG273" s="36">
        <v>5</v>
      </c>
      <c r="DH273" s="36">
        <v>3</v>
      </c>
      <c r="DI273" s="36" t="s">
        <v>133</v>
      </c>
      <c r="DJ273" s="36" t="s">
        <v>133</v>
      </c>
      <c r="DK273" s="36" t="s">
        <v>254</v>
      </c>
      <c r="DL273" t="s">
        <v>255</v>
      </c>
      <c r="DM273"/>
      <c r="DN273"/>
      <c r="DO273" t="s">
        <v>256</v>
      </c>
      <c r="DP273" t="s">
        <v>257</v>
      </c>
      <c r="DQ273" s="36">
        <v>5</v>
      </c>
      <c r="DR273" s="36" t="s">
        <v>133</v>
      </c>
      <c r="DS273" s="36" t="s">
        <v>259</v>
      </c>
      <c r="DT273"/>
      <c r="DU273"/>
      <c r="DV273" t="s">
        <v>260</v>
      </c>
      <c r="DW273" t="s">
        <v>261</v>
      </c>
      <c r="DX273"/>
      <c r="DY273" s="36">
        <v>5</v>
      </c>
      <c r="DZ273" s="36" t="s">
        <v>133</v>
      </c>
      <c r="EA273" s="36">
        <v>4</v>
      </c>
      <c r="EB273" s="36" t="s">
        <v>263</v>
      </c>
      <c r="EC273" s="36" t="s">
        <v>265</v>
      </c>
      <c r="EE273" s="36" t="s">
        <v>930</v>
      </c>
      <c r="EF273" s="36" t="str">
        <f>Tabulacao!MC273</f>
        <v>Salvador - BA</v>
      </c>
      <c r="EG273" s="36" t="s">
        <v>292</v>
      </c>
      <c r="EH273" s="36" t="str">
        <f>Tabulacao!MG273</f>
        <v>Aracaju</v>
      </c>
      <c r="EI273" s="36" t="s">
        <v>292</v>
      </c>
      <c r="EJ273" s="36" t="str">
        <f>Tabulacao!MK273</f>
        <v>Aracaju</v>
      </c>
      <c r="EK273" s="36" t="s">
        <v>134</v>
      </c>
      <c r="EL273" s="36" t="s">
        <v>134</v>
      </c>
      <c r="EM273" s="36" t="s">
        <v>134</v>
      </c>
      <c r="EN273" s="36" t="s">
        <v>134</v>
      </c>
      <c r="EO273" s="36" t="s">
        <v>134</v>
      </c>
      <c r="EP273" s="36" t="s">
        <v>134</v>
      </c>
      <c r="EQ273" s="36" t="s">
        <v>273</v>
      </c>
      <c r="ER273" s="36" t="str">
        <f>IF(OR(EQ273=CaractAmostra!$BD$9,EQ273=CaractAmostra!$BD$10,EQ273=CaractAmostra!$BD$11,EQ273=CaractAmostra!$BD$12,EQ273=CaractAmostra!$BD$13),Respostas_Formatadas!EQ273,"Outros")</f>
        <v>Dividia residência com outras pessoas</v>
      </c>
      <c r="ES273" s="36" t="s">
        <v>278</v>
      </c>
      <c r="ET273" s="36" t="str">
        <f>IF(OR(ES273=CaractAmostra!$BH$9,ES273=CaractAmostra!$BH$10,ES273=CaractAmostra!$BH$11,ES273=CaractAmostra!$BH$12),Respostas_Formatadas!ES273,"Outros")</f>
        <v>Divido residência com outras pessoas</v>
      </c>
      <c r="EU273" s="36" t="s">
        <v>134</v>
      </c>
      <c r="EV273" s="36" t="s">
        <v>284</v>
      </c>
      <c r="EW273" s="36" t="s">
        <v>286</v>
      </c>
      <c r="FA273" s="39"/>
      <c r="FE273" s="47">
        <v>2017</v>
      </c>
      <c r="FF273" s="97">
        <v>6.2457000000000003</v>
      </c>
      <c r="FG273" s="47">
        <v>2018</v>
      </c>
      <c r="FH273" s="47">
        <f t="shared" si="11"/>
        <v>1</v>
      </c>
      <c r="FI273" s="47" t="str">
        <f t="shared" si="12"/>
        <v>São Cristóvão</v>
      </c>
      <c r="FJ273" s="47" t="str">
        <f t="shared" si="13"/>
        <v>Tecnologia</v>
      </c>
    </row>
    <row r="274" spans="1:166" ht="15.75" customHeight="1" x14ac:dyDescent="0.2">
      <c r="A274" s="43"/>
      <c r="B274" s="44"/>
      <c r="C274" s="37"/>
      <c r="D274" s="54"/>
      <c r="M274" s="37"/>
      <c r="N274" s="37"/>
      <c r="O274" s="37"/>
      <c r="P274" s="37"/>
      <c r="Q274" s="37"/>
      <c r="R274" s="37"/>
      <c r="Y274" s="37"/>
      <c r="AC274" s="37"/>
      <c r="AD274" s="37"/>
      <c r="AE274" s="37"/>
      <c r="AF274" s="37"/>
      <c r="AG274" s="37"/>
      <c r="AH274" s="37"/>
      <c r="AI274" s="37"/>
      <c r="AJ274" s="37"/>
      <c r="AK274" s="37"/>
      <c r="AL274" s="37"/>
      <c r="AP274" s="37"/>
      <c r="AQ274" s="37"/>
      <c r="AR274" s="37"/>
      <c r="AS274" s="37"/>
      <c r="AT274" s="37"/>
      <c r="AU274" s="37"/>
      <c r="AV274" s="37"/>
      <c r="AW274" s="37"/>
      <c r="AX274" s="37"/>
      <c r="AY274" s="37"/>
      <c r="AZ274" s="37"/>
      <c r="BA274" s="37"/>
      <c r="BB274" s="37"/>
      <c r="BC274" s="37"/>
      <c r="BD274" s="37"/>
      <c r="BF274" s="37"/>
      <c r="BG274" s="37"/>
      <c r="BH274" s="37"/>
      <c r="BI274" s="37"/>
      <c r="BJ274" s="37"/>
      <c r="BK274" s="37"/>
      <c r="BL274" s="37"/>
      <c r="BM274" s="37"/>
      <c r="BN274" s="37"/>
      <c r="BO274" s="37"/>
      <c r="BP274" s="37"/>
      <c r="BQ274" s="37"/>
      <c r="BR274" s="37"/>
      <c r="BS274" s="37"/>
      <c r="BT274" s="37"/>
      <c r="BU274" s="37"/>
      <c r="BV274" s="37"/>
      <c r="BW274" s="37"/>
      <c r="BX274" s="37"/>
      <c r="BY274" s="37"/>
      <c r="BZ274" s="37"/>
      <c r="CA274" s="37"/>
      <c r="CB274" s="37"/>
      <c r="CC274" s="37"/>
      <c r="CD274" s="37"/>
      <c r="CE274" s="37"/>
      <c r="CF274" s="37"/>
      <c r="CG274" s="37"/>
      <c r="CH274" s="37"/>
      <c r="CI274" s="37"/>
      <c r="CJ274" s="37"/>
      <c r="CK274" s="37"/>
      <c r="CL274" s="37"/>
      <c r="CM274" s="37"/>
      <c r="CN274" s="37"/>
      <c r="CO274" s="37"/>
      <c r="CP274" s="37"/>
      <c r="CQ274" s="37"/>
      <c r="CR274" s="37"/>
      <c r="CS274" s="37"/>
      <c r="CT274" s="37"/>
      <c r="CU274" s="37"/>
      <c r="CV274" s="37"/>
      <c r="CW274" s="37"/>
      <c r="CX274" s="37"/>
      <c r="CY274" s="37"/>
      <c r="CZ274" s="37"/>
      <c r="DA274" s="37"/>
      <c r="DB274" s="37"/>
      <c r="DC274" s="37"/>
      <c r="DD274" s="37"/>
      <c r="DE274" s="37"/>
      <c r="DF274" s="37"/>
      <c r="DG274" s="37"/>
      <c r="DH274" s="37"/>
      <c r="DI274" s="37"/>
      <c r="DJ274" s="37"/>
      <c r="DK274" s="37"/>
      <c r="DL274" s="37"/>
      <c r="DM274" s="37"/>
      <c r="DN274" s="37"/>
      <c r="DO274" s="37"/>
      <c r="DP274" s="37"/>
      <c r="DQ274" s="37"/>
      <c r="DR274" s="37"/>
      <c r="DS274" s="37"/>
      <c r="DY274" s="37"/>
      <c r="DZ274" s="37"/>
      <c r="EA274" s="37"/>
      <c r="EB274" s="37"/>
      <c r="EC274" s="37"/>
      <c r="ED274" s="37"/>
      <c r="EE274" s="37"/>
      <c r="EF274" s="37"/>
      <c r="EG274" s="37"/>
      <c r="EH274" s="37"/>
      <c r="EI274" s="37"/>
      <c r="EJ274" s="37"/>
      <c r="EK274" s="37"/>
      <c r="EL274" s="37"/>
      <c r="EM274" s="37"/>
      <c r="EN274" s="37"/>
      <c r="EO274" s="37"/>
      <c r="EP274" s="37"/>
      <c r="EQ274" s="37"/>
      <c r="ER274" s="37"/>
      <c r="ES274" s="37"/>
      <c r="ET274" s="37"/>
      <c r="EU274" s="37"/>
      <c r="EV274" s="37"/>
      <c r="EW274" s="37"/>
      <c r="EX274" s="37"/>
      <c r="EY274" s="37"/>
      <c r="FB274" s="37"/>
      <c r="FC274" s="37"/>
      <c r="FD274" s="37"/>
      <c r="FE274" s="37"/>
    </row>
    <row r="275" spans="1:166" ht="15.75" customHeight="1" x14ac:dyDescent="0.2">
      <c r="A275" s="43"/>
      <c r="B275" s="44"/>
      <c r="C275" s="37"/>
      <c r="D275" s="54"/>
      <c r="M275" s="37"/>
      <c r="N275" s="37"/>
      <c r="O275" s="37"/>
      <c r="P275" s="37"/>
      <c r="Q275" s="37"/>
      <c r="R275" s="37"/>
      <c r="Y275" s="37"/>
      <c r="AC275" s="37"/>
      <c r="AD275" s="37"/>
      <c r="AE275" s="37"/>
      <c r="AF275" s="37"/>
      <c r="AG275" s="37"/>
      <c r="AH275" s="37"/>
      <c r="AI275" s="37"/>
      <c r="AJ275" s="37"/>
      <c r="AK275" s="37"/>
      <c r="AL275" s="37"/>
      <c r="AP275" s="37"/>
      <c r="AQ275" s="45"/>
      <c r="AR275" s="37"/>
      <c r="AS275" s="37"/>
      <c r="AT275" s="37"/>
      <c r="AU275" s="37"/>
      <c r="AV275" s="37"/>
      <c r="AW275" s="37"/>
      <c r="AX275" s="37"/>
      <c r="AY275" s="37"/>
      <c r="AZ275" s="37"/>
      <c r="BA275" s="37"/>
      <c r="BB275" s="37"/>
      <c r="BC275" s="37"/>
      <c r="BD275" s="37"/>
      <c r="BF275" s="37"/>
      <c r="BG275" s="37"/>
      <c r="BH275" s="37"/>
      <c r="BI275" s="37"/>
      <c r="BJ275" s="37"/>
      <c r="BK275" s="37"/>
      <c r="BL275" s="37"/>
      <c r="BM275" s="37"/>
      <c r="BN275" s="37"/>
      <c r="BO275" s="37"/>
      <c r="BP275" s="37"/>
      <c r="BQ275" s="37"/>
      <c r="BR275" s="37"/>
      <c r="BS275" s="37"/>
      <c r="BT275" s="37"/>
      <c r="BU275" s="37"/>
      <c r="BV275" s="37"/>
      <c r="BW275" s="37"/>
      <c r="BX275" s="37"/>
      <c r="BY275" s="37"/>
      <c r="BZ275" s="37"/>
      <c r="CA275" s="37"/>
      <c r="CB275" s="37"/>
      <c r="CC275" s="37"/>
      <c r="CD275" s="37"/>
      <c r="CE275" s="37"/>
      <c r="CF275" s="37"/>
      <c r="CG275" s="37"/>
      <c r="CH275" s="37"/>
      <c r="CI275" s="37"/>
      <c r="CJ275" s="37"/>
      <c r="CK275" s="37"/>
      <c r="CL275" s="37"/>
      <c r="CM275" s="37"/>
      <c r="CN275" s="37"/>
      <c r="CO275" s="37"/>
      <c r="CP275" s="37"/>
      <c r="CQ275" s="37"/>
      <c r="CR275" s="37"/>
      <c r="CS275" s="37"/>
      <c r="CT275" s="37"/>
      <c r="CU275" s="37"/>
      <c r="CV275" s="37"/>
      <c r="CW275" s="37"/>
      <c r="CX275" s="37"/>
      <c r="CY275" s="37"/>
      <c r="CZ275" s="37"/>
      <c r="DA275" s="37"/>
      <c r="DB275" s="37"/>
      <c r="DC275" s="37"/>
      <c r="DD275" s="37"/>
      <c r="DE275" s="37"/>
      <c r="DF275" s="37"/>
      <c r="DG275" s="37"/>
      <c r="DH275" s="37"/>
      <c r="DI275" s="37"/>
      <c r="DJ275" s="37"/>
      <c r="DK275" s="37"/>
      <c r="DL275" s="37"/>
      <c r="DM275" s="37"/>
      <c r="DN275" s="37"/>
      <c r="DO275" s="37"/>
      <c r="DP275" s="37"/>
      <c r="DQ275" s="37"/>
      <c r="DR275" s="37"/>
      <c r="DS275" s="37"/>
      <c r="DY275" s="37"/>
      <c r="DZ275" s="37"/>
      <c r="EA275" s="37"/>
      <c r="EB275" s="37"/>
      <c r="EC275" s="37"/>
      <c r="ED275" s="37"/>
      <c r="EE275" s="37"/>
      <c r="EF275" s="37"/>
      <c r="EG275" s="37"/>
      <c r="EH275" s="37"/>
      <c r="EI275" s="37"/>
      <c r="EJ275" s="37"/>
      <c r="EK275" s="37"/>
      <c r="EL275" s="37"/>
      <c r="EM275" s="37"/>
      <c r="EN275" s="37"/>
      <c r="EO275" s="37"/>
      <c r="EP275" s="37"/>
      <c r="EQ275" s="37"/>
      <c r="ER275" s="37"/>
      <c r="ES275" s="37"/>
      <c r="ET275" s="37"/>
      <c r="EU275" s="37"/>
      <c r="EV275" s="37"/>
      <c r="EW275" s="37"/>
      <c r="EX275" s="37"/>
      <c r="EY275" s="37"/>
      <c r="EZ275" s="37"/>
      <c r="FB275" s="37"/>
      <c r="FC275" s="37"/>
      <c r="FD275" s="37"/>
      <c r="FE275" s="37"/>
    </row>
    <row r="276" spans="1:166" ht="15.75" customHeight="1" x14ac:dyDescent="0.2">
      <c r="A276" s="43"/>
      <c r="B276" s="44"/>
      <c r="C276" s="37"/>
      <c r="D276" s="54"/>
      <c r="M276" s="37"/>
      <c r="N276" s="37"/>
      <c r="O276" s="37"/>
      <c r="P276" s="37"/>
      <c r="Q276" s="37"/>
      <c r="R276" s="37"/>
      <c r="Y276" s="37"/>
      <c r="AC276" s="37"/>
      <c r="AD276" s="37"/>
      <c r="AE276" s="37"/>
      <c r="AF276" s="37"/>
      <c r="AG276" s="37"/>
      <c r="AH276" s="37"/>
      <c r="AI276" s="45"/>
      <c r="AJ276" s="37"/>
      <c r="AK276" s="37"/>
      <c r="AL276" s="37"/>
      <c r="AM276" s="37"/>
      <c r="AN276" s="37"/>
      <c r="AO276" s="37"/>
      <c r="AP276" s="37"/>
      <c r="AQ276" s="45"/>
      <c r="AR276" s="37"/>
      <c r="AS276" s="37"/>
      <c r="AT276" s="37"/>
      <c r="AU276" s="37"/>
      <c r="AV276" s="37"/>
      <c r="AW276" s="37"/>
      <c r="AX276" s="37"/>
      <c r="AY276" s="37"/>
      <c r="AZ276" s="37"/>
      <c r="BA276" s="37"/>
      <c r="BB276" s="37"/>
      <c r="BC276" s="37"/>
      <c r="BD276" s="37"/>
      <c r="BF276" s="37"/>
      <c r="BG276" s="37"/>
      <c r="BH276" s="37"/>
      <c r="BI276" s="37"/>
      <c r="BJ276" s="37"/>
      <c r="BK276" s="37"/>
      <c r="BL276" s="37"/>
      <c r="BM276" s="37"/>
      <c r="BN276" s="37"/>
      <c r="BO276" s="37"/>
      <c r="BP276" s="37"/>
      <c r="BQ276" s="37"/>
      <c r="BR276" s="37"/>
      <c r="BS276" s="37"/>
      <c r="BT276" s="37"/>
      <c r="BU276" s="37"/>
      <c r="BV276" s="37"/>
      <c r="BW276" s="37"/>
      <c r="BX276" s="37"/>
      <c r="BY276" s="37"/>
      <c r="BZ276" s="37"/>
      <c r="CA276" s="37"/>
      <c r="CB276" s="37"/>
      <c r="CC276" s="37"/>
      <c r="CD276" s="37"/>
      <c r="CE276" s="37"/>
      <c r="CF276" s="37"/>
      <c r="CG276" s="37"/>
      <c r="CH276" s="37"/>
      <c r="CI276" s="37"/>
      <c r="CJ276" s="37"/>
      <c r="CK276" s="37"/>
      <c r="CL276" s="37"/>
      <c r="CM276" s="37"/>
      <c r="CN276" s="37"/>
      <c r="CO276" s="37"/>
      <c r="CP276" s="37"/>
      <c r="CQ276" s="37"/>
      <c r="CR276" s="37"/>
      <c r="CS276" s="37"/>
      <c r="CT276" s="37"/>
      <c r="CU276" s="37"/>
      <c r="CV276" s="37"/>
      <c r="CW276" s="37"/>
      <c r="CX276" s="37"/>
      <c r="CY276" s="37"/>
      <c r="CZ276" s="37"/>
      <c r="DA276" s="37"/>
      <c r="DB276" s="37"/>
      <c r="DC276" s="37"/>
      <c r="DD276" s="37"/>
      <c r="DE276" s="37"/>
      <c r="DF276" s="37"/>
      <c r="DG276" s="37"/>
      <c r="DH276" s="37"/>
      <c r="DI276" s="37"/>
      <c r="DJ276" s="37"/>
      <c r="DK276" s="37"/>
      <c r="DL276" s="37"/>
      <c r="DM276" s="37"/>
      <c r="DN276" s="37"/>
      <c r="DO276" s="37"/>
      <c r="DP276" s="37"/>
      <c r="DQ276" s="37"/>
      <c r="DR276" s="37"/>
      <c r="DS276" s="37"/>
      <c r="DY276" s="37"/>
      <c r="DZ276" s="37"/>
      <c r="EB276" s="37"/>
      <c r="EC276" s="37"/>
      <c r="ED276" s="37"/>
      <c r="EE276" s="37"/>
      <c r="EF276" s="37"/>
      <c r="EG276" s="37"/>
      <c r="EH276" s="37"/>
      <c r="EI276" s="37"/>
      <c r="EJ276" s="37"/>
      <c r="EK276" s="37"/>
      <c r="EL276" s="37"/>
      <c r="EM276" s="37"/>
      <c r="EN276" s="37"/>
      <c r="EO276" s="37"/>
      <c r="EP276" s="37"/>
      <c r="EQ276" s="37"/>
      <c r="ER276" s="37"/>
      <c r="ES276" s="37"/>
      <c r="ET276" s="37"/>
      <c r="EU276" s="37"/>
      <c r="EV276" s="37"/>
      <c r="EW276" s="37"/>
      <c r="EX276" s="37"/>
      <c r="EY276" s="37"/>
      <c r="EZ276" s="37"/>
      <c r="FB276" s="37"/>
      <c r="FC276" s="37"/>
      <c r="FD276" s="37"/>
      <c r="FE276" s="37"/>
    </row>
    <row r="277" spans="1:166" ht="15.75" customHeight="1" x14ac:dyDescent="0.2">
      <c r="A277" s="43"/>
      <c r="B277" s="44"/>
      <c r="C277" s="37"/>
      <c r="D277" s="54"/>
      <c r="M277" s="37"/>
      <c r="N277" s="37"/>
      <c r="O277" s="37"/>
      <c r="P277" s="37"/>
      <c r="Q277" s="37"/>
      <c r="R277" s="37"/>
      <c r="Y277" s="37"/>
      <c r="Z277" s="37"/>
      <c r="AA277" s="37"/>
      <c r="AB277" s="37"/>
      <c r="AD277" s="37"/>
      <c r="AE277" s="37"/>
      <c r="AF277" s="37"/>
      <c r="AG277" s="37"/>
      <c r="AH277" s="37"/>
      <c r="AI277" s="37"/>
      <c r="AJ277" s="37"/>
      <c r="AK277" s="37"/>
      <c r="AL277" s="37"/>
      <c r="AM277" s="37"/>
      <c r="AO277" s="37"/>
      <c r="AP277" s="37"/>
      <c r="AQ277" s="37"/>
      <c r="AR277" s="37"/>
      <c r="AS277" s="37"/>
      <c r="AT277" s="37"/>
      <c r="AU277" s="37"/>
      <c r="AV277" s="37"/>
      <c r="AW277" s="37"/>
      <c r="AX277" s="37"/>
      <c r="AY277" s="37"/>
      <c r="AZ277" s="37"/>
      <c r="BA277" s="37"/>
      <c r="BB277" s="37"/>
      <c r="BC277" s="37"/>
      <c r="BD277" s="37"/>
      <c r="BF277" s="37"/>
      <c r="BG277" s="37"/>
      <c r="BH277" s="37"/>
      <c r="BI277" s="37"/>
      <c r="BJ277" s="37"/>
      <c r="BK277" s="37"/>
      <c r="BL277" s="37"/>
      <c r="BM277" s="37"/>
      <c r="BN277" s="37"/>
      <c r="BO277" s="37"/>
      <c r="BP277" s="37"/>
      <c r="BQ277" s="37"/>
      <c r="BR277" s="37"/>
      <c r="BS277" s="37"/>
      <c r="BT277" s="37"/>
      <c r="BU277" s="37"/>
      <c r="BV277" s="37"/>
      <c r="BW277" s="37"/>
      <c r="BX277" s="37"/>
      <c r="BY277" s="37"/>
      <c r="BZ277" s="37"/>
      <c r="CA277" s="37"/>
      <c r="CB277" s="37"/>
      <c r="CC277" s="37"/>
      <c r="CD277" s="37"/>
      <c r="CE277" s="37"/>
      <c r="CF277" s="37"/>
      <c r="CG277" s="37"/>
      <c r="CH277" s="37"/>
      <c r="CI277" s="37"/>
      <c r="CJ277" s="37"/>
      <c r="CK277" s="37"/>
      <c r="CL277" s="37"/>
      <c r="CM277" s="37"/>
      <c r="CN277" s="37"/>
      <c r="CO277" s="37"/>
      <c r="CP277" s="37"/>
      <c r="CQ277" s="37"/>
      <c r="CR277" s="37"/>
      <c r="CS277" s="37"/>
      <c r="CT277" s="37"/>
      <c r="CU277" s="37"/>
      <c r="CV277" s="37"/>
      <c r="CW277" s="37"/>
      <c r="CX277" s="37"/>
      <c r="CY277" s="37"/>
      <c r="CZ277" s="37"/>
      <c r="DA277" s="37"/>
      <c r="DB277" s="37"/>
      <c r="DC277" s="37"/>
      <c r="DD277" s="37"/>
      <c r="DE277" s="37"/>
      <c r="DF277" s="37"/>
      <c r="DG277" s="37"/>
      <c r="DH277" s="37"/>
      <c r="DI277" s="37"/>
      <c r="DJ277" s="37"/>
      <c r="DK277" s="37"/>
      <c r="DL277" s="37"/>
      <c r="DM277" s="37"/>
      <c r="DN277" s="37"/>
      <c r="DO277" s="37"/>
      <c r="DP277" s="37"/>
      <c r="DQ277" s="37"/>
      <c r="DR277" s="37"/>
      <c r="DS277" s="37"/>
      <c r="DY277" s="37"/>
      <c r="DZ277" s="37"/>
      <c r="EA277" s="37"/>
      <c r="EB277" s="37"/>
      <c r="EC277" s="37"/>
      <c r="ED277" s="37"/>
      <c r="EE277" s="37"/>
      <c r="EF277" s="37"/>
      <c r="EG277" s="37"/>
      <c r="EH277" s="37"/>
      <c r="EI277" s="37"/>
      <c r="EJ277" s="37"/>
      <c r="EK277" s="37"/>
      <c r="EL277" s="37"/>
      <c r="EM277" s="37"/>
      <c r="EN277" s="37"/>
      <c r="EO277" s="37"/>
      <c r="EP277" s="37"/>
      <c r="EQ277" s="37"/>
      <c r="ER277" s="37"/>
      <c r="ES277" s="37"/>
      <c r="ET277" s="37"/>
      <c r="EU277" s="37"/>
      <c r="EV277" s="37"/>
      <c r="EW277" s="37"/>
      <c r="EX277" s="37"/>
      <c r="EY277" s="37"/>
      <c r="EZ277" s="37"/>
      <c r="FA277" s="46"/>
      <c r="FB277" s="37"/>
      <c r="FC277" s="37"/>
      <c r="FD277" s="37"/>
      <c r="FE277" s="37"/>
    </row>
    <row r="278" spans="1:166" ht="15.75" customHeight="1" x14ac:dyDescent="0.2">
      <c r="A278" s="43"/>
      <c r="B278" s="44"/>
      <c r="C278" s="37"/>
      <c r="D278" s="54"/>
      <c r="E278" s="37"/>
      <c r="F278" s="37"/>
      <c r="G278" s="37"/>
      <c r="H278" s="37"/>
      <c r="I278" s="37"/>
      <c r="J278" s="37"/>
      <c r="K278" s="37"/>
      <c r="L278" s="37"/>
      <c r="M278" s="37"/>
      <c r="N278" s="37"/>
      <c r="O278" s="37"/>
      <c r="P278" s="37"/>
      <c r="Q278" s="37"/>
      <c r="R278" s="37"/>
      <c r="Y278" s="37"/>
      <c r="Z278" s="37"/>
      <c r="AA278" s="37"/>
      <c r="AB278" s="37"/>
      <c r="AD278" s="37"/>
      <c r="AE278" s="37"/>
      <c r="AF278" s="37"/>
      <c r="AG278" s="37"/>
      <c r="AH278" s="37"/>
      <c r="AI278" s="37"/>
      <c r="AJ278" s="37"/>
      <c r="AK278" s="37"/>
      <c r="AL278" s="37"/>
      <c r="AM278" s="37"/>
      <c r="AN278" s="37"/>
      <c r="AO278" s="37"/>
      <c r="AP278" s="37"/>
      <c r="AQ278" s="37"/>
      <c r="AR278" s="37"/>
      <c r="AS278" s="37"/>
      <c r="AT278" s="37"/>
      <c r="AU278" s="37"/>
      <c r="AV278" s="37"/>
      <c r="AW278" s="37"/>
      <c r="AX278" s="37"/>
      <c r="AY278" s="37"/>
      <c r="AZ278" s="37"/>
      <c r="BA278" s="37"/>
      <c r="BB278" s="37"/>
      <c r="BC278" s="37"/>
      <c r="BD278" s="37"/>
      <c r="BE278" s="37"/>
      <c r="BG278" s="37"/>
      <c r="BH278" s="37"/>
      <c r="BI278" s="37"/>
      <c r="BJ278" s="37"/>
      <c r="BK278" s="37"/>
      <c r="BL278" s="37"/>
      <c r="BM278" s="37"/>
      <c r="BN278" s="37"/>
      <c r="BO278" s="37"/>
      <c r="BP278" s="37"/>
      <c r="BQ278" s="37"/>
      <c r="BR278" s="37"/>
      <c r="BS278" s="37"/>
      <c r="BT278" s="37"/>
      <c r="BU278" s="37"/>
      <c r="BV278" s="37"/>
      <c r="BW278" s="37"/>
      <c r="BX278" s="37"/>
      <c r="BY278" s="37"/>
      <c r="BZ278" s="37"/>
      <c r="CA278" s="37"/>
      <c r="CB278" s="37"/>
      <c r="CC278" s="37"/>
      <c r="CD278" s="37"/>
      <c r="CE278" s="37"/>
      <c r="CF278" s="37"/>
      <c r="CG278" s="37"/>
      <c r="CH278" s="37"/>
      <c r="CI278" s="37"/>
      <c r="CJ278" s="37"/>
      <c r="CK278" s="37"/>
      <c r="CL278" s="37"/>
      <c r="CM278" s="37"/>
      <c r="CN278" s="37"/>
      <c r="CO278" s="37"/>
      <c r="CP278" s="37"/>
      <c r="CQ278" s="37"/>
      <c r="CR278" s="37"/>
      <c r="CS278" s="37"/>
      <c r="CT278" s="37"/>
      <c r="CU278" s="37"/>
      <c r="CV278" s="37"/>
      <c r="CW278" s="37"/>
      <c r="CX278" s="37"/>
      <c r="CY278" s="37"/>
      <c r="CZ278" s="37"/>
      <c r="DA278" s="37"/>
      <c r="DB278" s="37"/>
      <c r="DC278" s="37"/>
      <c r="DD278" s="37"/>
      <c r="DE278" s="37"/>
      <c r="DF278" s="37"/>
      <c r="DG278" s="37"/>
      <c r="DH278" s="37"/>
      <c r="DI278" s="37"/>
      <c r="DJ278" s="37"/>
      <c r="DR278" s="37"/>
      <c r="DZ278" s="37"/>
      <c r="EA278" s="37"/>
      <c r="EB278" s="37"/>
      <c r="EC278" s="37"/>
      <c r="ED278" s="37"/>
      <c r="EE278" s="37"/>
      <c r="EF278" s="37"/>
      <c r="EG278" s="37"/>
      <c r="EH278" s="37"/>
      <c r="EI278" s="37"/>
      <c r="EJ278" s="37"/>
      <c r="EK278" s="37"/>
      <c r="EL278" s="37"/>
      <c r="EM278" s="37"/>
      <c r="EN278" s="37"/>
      <c r="EO278" s="37"/>
      <c r="EP278" s="37"/>
      <c r="EQ278" s="37"/>
      <c r="ER278" s="37"/>
      <c r="ES278" s="37"/>
      <c r="ET278" s="37"/>
      <c r="EU278" s="37"/>
      <c r="EV278" s="37"/>
      <c r="EW278" s="37"/>
      <c r="EX278" s="37"/>
      <c r="EY278" s="37"/>
      <c r="EZ278" s="37"/>
      <c r="FA278" s="37"/>
      <c r="FB278" s="37"/>
      <c r="FC278" s="37"/>
      <c r="FE278" s="37"/>
    </row>
    <row r="279" spans="1:166" ht="15.75" customHeight="1" x14ac:dyDescent="0.2">
      <c r="A279" s="43"/>
      <c r="B279" s="44"/>
      <c r="C279" s="37"/>
      <c r="D279" s="54"/>
      <c r="M279" s="37"/>
      <c r="N279" s="37"/>
      <c r="O279" s="37"/>
      <c r="P279" s="37"/>
      <c r="Q279" s="37"/>
      <c r="R279" s="37"/>
      <c r="Y279" s="37"/>
      <c r="AC279" s="37"/>
      <c r="AD279" s="37"/>
      <c r="AE279" s="37"/>
      <c r="AF279" s="37"/>
      <c r="AG279" s="37"/>
      <c r="AH279" s="37"/>
      <c r="AI279" s="37"/>
      <c r="AJ279" s="37"/>
      <c r="AK279" s="37"/>
      <c r="AL279" s="37"/>
      <c r="AM279" s="37"/>
      <c r="AN279" s="37"/>
      <c r="AO279" s="37"/>
      <c r="AP279" s="37"/>
      <c r="AQ279" s="37"/>
      <c r="AR279" s="37"/>
      <c r="AS279" s="37"/>
      <c r="AT279" s="37"/>
      <c r="AU279" s="37"/>
      <c r="AV279" s="37"/>
      <c r="AW279" s="37"/>
      <c r="AX279" s="37"/>
      <c r="AY279" s="37"/>
      <c r="AZ279" s="37"/>
      <c r="BA279" s="37"/>
      <c r="BB279" s="37"/>
      <c r="BC279" s="37"/>
      <c r="BD279" s="37"/>
      <c r="BF279" s="37"/>
      <c r="BG279" s="37"/>
      <c r="BH279" s="37"/>
      <c r="BI279" s="37"/>
      <c r="BJ279" s="37"/>
      <c r="BK279" s="37"/>
      <c r="BL279" s="37"/>
      <c r="BM279" s="37"/>
      <c r="BN279" s="37"/>
      <c r="BO279" s="37"/>
      <c r="BP279" s="37"/>
      <c r="BQ279" s="37"/>
      <c r="BR279" s="37"/>
      <c r="BS279" s="37"/>
      <c r="BT279" s="37"/>
      <c r="BU279" s="37"/>
      <c r="BV279" s="37"/>
      <c r="BW279" s="37"/>
      <c r="BX279" s="37"/>
      <c r="BY279" s="37"/>
      <c r="BZ279" s="37"/>
      <c r="CA279" s="37"/>
      <c r="CB279" s="37"/>
      <c r="CC279" s="37"/>
      <c r="CD279" s="37"/>
      <c r="CE279" s="37"/>
      <c r="CF279" s="37"/>
      <c r="CG279" s="37"/>
      <c r="CH279" s="37"/>
      <c r="CI279" s="37"/>
      <c r="CJ279" s="37"/>
      <c r="CK279" s="37"/>
      <c r="CL279" s="37"/>
      <c r="CM279" s="37"/>
      <c r="CN279" s="37"/>
      <c r="CO279" s="37"/>
      <c r="CP279" s="37"/>
      <c r="CQ279" s="37"/>
      <c r="CR279" s="37"/>
      <c r="CS279" s="37"/>
      <c r="CT279" s="37"/>
      <c r="CU279" s="37"/>
      <c r="CV279" s="37"/>
      <c r="CW279" s="37"/>
      <c r="CX279" s="37"/>
      <c r="CY279" s="37"/>
      <c r="CZ279" s="37"/>
      <c r="DA279" s="37"/>
      <c r="DB279" s="37"/>
      <c r="DC279" s="37"/>
      <c r="DD279" s="37"/>
      <c r="DE279" s="37"/>
      <c r="DF279" s="37"/>
      <c r="DG279" s="37"/>
      <c r="DH279" s="37"/>
      <c r="DI279" s="37"/>
      <c r="DJ279" s="37"/>
      <c r="DR279" s="37"/>
      <c r="DZ279" s="37"/>
      <c r="EB279" s="37"/>
      <c r="EC279" s="37"/>
      <c r="ED279" s="37"/>
      <c r="EE279" s="37"/>
      <c r="EF279" s="37"/>
      <c r="EG279" s="37"/>
      <c r="EH279" s="37"/>
      <c r="EI279" s="37"/>
      <c r="EJ279" s="37"/>
      <c r="EK279" s="37"/>
      <c r="EL279" s="37"/>
      <c r="EM279" s="37"/>
      <c r="EN279" s="37"/>
      <c r="EO279" s="37"/>
      <c r="EP279" s="37"/>
      <c r="EQ279" s="37"/>
      <c r="ER279" s="37"/>
      <c r="ES279" s="37"/>
      <c r="ET279" s="37"/>
      <c r="EU279" s="37"/>
      <c r="EV279" s="37"/>
      <c r="EW279" s="37"/>
      <c r="EX279" s="37"/>
      <c r="EY279" s="37"/>
      <c r="FB279" s="37"/>
      <c r="FC279" s="37"/>
      <c r="FE279" s="37"/>
    </row>
    <row r="280" spans="1:166" ht="15.75" customHeight="1" x14ac:dyDescent="0.2">
      <c r="A280" s="43"/>
      <c r="B280" s="44"/>
      <c r="C280" s="37"/>
      <c r="D280" s="54"/>
      <c r="E280" s="37"/>
      <c r="F280" s="37"/>
      <c r="G280" s="37"/>
      <c r="H280" s="37"/>
      <c r="I280" s="37"/>
      <c r="J280" s="37"/>
      <c r="K280" s="37"/>
      <c r="L280" s="37"/>
      <c r="M280" s="37"/>
      <c r="N280" s="37"/>
      <c r="O280" s="37"/>
      <c r="P280" s="37"/>
      <c r="Q280" s="37"/>
      <c r="R280" s="37"/>
      <c r="Y280" s="37"/>
      <c r="BT280" s="37"/>
      <c r="BU280" s="37"/>
      <c r="BV280" s="37"/>
      <c r="BW280" s="37"/>
      <c r="BX280" s="37"/>
      <c r="BY280" s="37"/>
      <c r="BZ280" s="37"/>
      <c r="CA280" s="37"/>
      <c r="CB280" s="37"/>
      <c r="CC280" s="37"/>
      <c r="CD280" s="37"/>
      <c r="CE280" s="37"/>
      <c r="CF280" s="37"/>
      <c r="CG280" s="37"/>
      <c r="CH280" s="37"/>
      <c r="CI280" s="37"/>
      <c r="CJ280" s="37"/>
      <c r="CK280" s="37"/>
      <c r="CL280" s="37"/>
      <c r="CM280" s="37"/>
      <c r="CN280" s="37"/>
      <c r="CO280" s="37"/>
      <c r="CP280" s="37"/>
      <c r="CQ280" s="37"/>
      <c r="CR280" s="37"/>
      <c r="CS280" s="37"/>
      <c r="CT280" s="37"/>
      <c r="CU280" s="37"/>
      <c r="CV280" s="37"/>
      <c r="CW280" s="37"/>
      <c r="CX280" s="37"/>
      <c r="CY280" s="37"/>
      <c r="CZ280" s="37"/>
      <c r="DA280" s="37"/>
      <c r="DB280" s="37"/>
      <c r="DC280" s="37"/>
      <c r="DD280" s="37"/>
      <c r="DE280" s="37"/>
      <c r="DF280" s="37"/>
      <c r="DG280" s="37"/>
      <c r="DH280" s="37"/>
      <c r="DI280" s="37"/>
      <c r="DJ280" s="37"/>
      <c r="DK280" s="37"/>
      <c r="DL280" s="37"/>
      <c r="DM280" s="37"/>
      <c r="DN280" s="37"/>
      <c r="DO280" s="37"/>
      <c r="DP280" s="37"/>
      <c r="DQ280" s="37"/>
      <c r="DR280" s="37"/>
      <c r="DS280" s="37"/>
      <c r="DY280" s="37"/>
      <c r="DZ280" s="37"/>
      <c r="EA280" s="37"/>
      <c r="EB280" s="37"/>
      <c r="EC280" s="37"/>
      <c r="ED280" s="37"/>
      <c r="EE280" s="37"/>
      <c r="EF280" s="37"/>
      <c r="EG280" s="37"/>
      <c r="EH280" s="37"/>
      <c r="EI280" s="37"/>
      <c r="EJ280" s="37"/>
      <c r="EK280" s="37"/>
      <c r="EL280" s="37"/>
      <c r="EM280" s="37"/>
      <c r="EN280" s="37"/>
      <c r="EO280" s="37"/>
      <c r="EP280" s="37"/>
      <c r="EQ280" s="37"/>
      <c r="ER280" s="37"/>
      <c r="ES280" s="37"/>
      <c r="ET280" s="37"/>
      <c r="EU280" s="37"/>
      <c r="EV280" s="37"/>
      <c r="EW280" s="37"/>
      <c r="EX280" s="37"/>
      <c r="FB280" s="37"/>
      <c r="FC280" s="37"/>
      <c r="FE280" s="37"/>
    </row>
    <row r="281" spans="1:166" ht="15.75" customHeight="1" x14ac:dyDescent="0.2">
      <c r="A281" s="43"/>
      <c r="B281" s="44"/>
      <c r="C281" s="37"/>
      <c r="D281" s="54"/>
      <c r="M281" s="37"/>
      <c r="N281" s="37"/>
      <c r="O281" s="37"/>
      <c r="P281" s="37"/>
      <c r="Q281" s="37"/>
      <c r="R281" s="37"/>
      <c r="Y281" s="37"/>
      <c r="BT281" s="37"/>
      <c r="BU281" s="37"/>
      <c r="BV281" s="37"/>
      <c r="BW281" s="37"/>
      <c r="BX281" s="37"/>
      <c r="BY281" s="37"/>
      <c r="BZ281" s="37"/>
      <c r="CA281" s="37"/>
      <c r="CB281" s="37"/>
      <c r="CC281" s="37"/>
      <c r="CD281" s="37"/>
      <c r="CE281" s="37"/>
      <c r="CF281" s="37"/>
      <c r="CG281" s="37"/>
      <c r="CH281" s="37"/>
      <c r="CI281" s="37"/>
      <c r="CJ281" s="37"/>
      <c r="CK281" s="37"/>
      <c r="CL281" s="37"/>
      <c r="CM281" s="37"/>
      <c r="CN281" s="37"/>
      <c r="CO281" s="37"/>
      <c r="CP281" s="37"/>
      <c r="CQ281" s="37"/>
      <c r="CR281" s="37"/>
      <c r="CS281" s="37"/>
      <c r="CT281" s="37"/>
      <c r="CU281" s="37"/>
      <c r="CV281" s="37"/>
      <c r="CW281" s="37"/>
      <c r="CX281" s="37"/>
      <c r="CY281" s="37"/>
      <c r="CZ281" s="37"/>
      <c r="DA281" s="37"/>
      <c r="DB281" s="37"/>
      <c r="DC281" s="37"/>
      <c r="DD281" s="37"/>
      <c r="DE281" s="37"/>
      <c r="DF281" s="37"/>
      <c r="DG281" s="37"/>
      <c r="DH281" s="37"/>
      <c r="DI281" s="37"/>
      <c r="DJ281" s="37"/>
      <c r="DR281" s="37"/>
      <c r="DS281" s="37"/>
      <c r="DY281" s="37"/>
      <c r="DZ281" s="37"/>
      <c r="EB281" s="37"/>
      <c r="EC281" s="37"/>
      <c r="ED281" s="37"/>
      <c r="EE281" s="37"/>
      <c r="EF281" s="37"/>
      <c r="EG281" s="37"/>
      <c r="EH281" s="37"/>
      <c r="EI281" s="37"/>
      <c r="EJ281" s="37"/>
      <c r="EK281" s="37"/>
      <c r="EL281" s="37"/>
      <c r="EM281" s="37"/>
      <c r="EN281" s="37"/>
      <c r="EO281" s="37"/>
      <c r="EP281" s="37"/>
      <c r="EQ281" s="37"/>
      <c r="ER281" s="37"/>
      <c r="ES281" s="37"/>
      <c r="ET281" s="37"/>
      <c r="EU281" s="37"/>
      <c r="EV281" s="37"/>
      <c r="EW281" s="37"/>
      <c r="EX281" s="37"/>
      <c r="FB281" s="37"/>
      <c r="FC281" s="37"/>
      <c r="FE281" s="37"/>
    </row>
    <row r="282" spans="1:166" ht="15.75" customHeight="1" x14ac:dyDescent="0.2">
      <c r="A282" s="43"/>
      <c r="B282" s="44"/>
      <c r="C282" s="37"/>
      <c r="D282" s="54"/>
      <c r="M282" s="37"/>
      <c r="N282" s="37"/>
      <c r="O282" s="37"/>
      <c r="P282" s="37"/>
      <c r="Q282" s="37"/>
      <c r="R282" s="37"/>
      <c r="Y282" s="37"/>
      <c r="AC282" s="37"/>
      <c r="AD282" s="37"/>
      <c r="AE282" s="37"/>
      <c r="AF282" s="37"/>
      <c r="AG282" s="37"/>
      <c r="AH282" s="37"/>
      <c r="AI282" s="37"/>
      <c r="AJ282" s="37"/>
      <c r="AK282" s="37"/>
      <c r="AL282" s="37"/>
      <c r="AM282" s="37"/>
      <c r="AN282" s="37"/>
      <c r="AO282" s="37"/>
      <c r="AP282" s="37"/>
      <c r="AQ282" s="37"/>
      <c r="AR282" s="37"/>
      <c r="AS282" s="37"/>
      <c r="AT282" s="37"/>
      <c r="AU282" s="37"/>
      <c r="AV282" s="37"/>
      <c r="AW282" s="37"/>
      <c r="AX282" s="37"/>
      <c r="AY282" s="37"/>
      <c r="AZ282" s="37"/>
      <c r="BA282" s="37"/>
      <c r="BB282" s="37"/>
      <c r="BC282" s="37"/>
      <c r="BD282" s="37"/>
      <c r="BG282" s="37"/>
      <c r="BH282" s="37"/>
      <c r="BI282" s="37"/>
      <c r="BJ282" s="37"/>
      <c r="BK282" s="37"/>
      <c r="BL282" s="37"/>
      <c r="BM282" s="37"/>
      <c r="BN282" s="37"/>
      <c r="BO282" s="37"/>
      <c r="BP282" s="37"/>
      <c r="BQ282" s="37"/>
      <c r="BR282" s="37"/>
      <c r="BS282" s="37"/>
      <c r="BT282" s="37"/>
      <c r="BU282" s="37"/>
      <c r="BV282" s="37"/>
      <c r="BW282" s="37"/>
      <c r="BX282" s="37"/>
      <c r="BY282" s="37"/>
      <c r="BZ282" s="37"/>
      <c r="CA282" s="37"/>
      <c r="CB282" s="37"/>
      <c r="CC282" s="37"/>
      <c r="CD282" s="37"/>
      <c r="CE282" s="37"/>
      <c r="CF282" s="37"/>
      <c r="CG282" s="37"/>
      <c r="CH282" s="37"/>
      <c r="CI282" s="37"/>
      <c r="CJ282" s="37"/>
      <c r="CK282" s="37"/>
      <c r="CL282" s="37"/>
      <c r="CM282" s="37"/>
      <c r="CN282" s="37"/>
      <c r="CO282" s="37"/>
      <c r="CP282" s="37"/>
      <c r="CQ282" s="37"/>
      <c r="CR282" s="37"/>
      <c r="CS282" s="37"/>
      <c r="CT282" s="37"/>
      <c r="CU282" s="37"/>
      <c r="CV282" s="37"/>
      <c r="CW282" s="37"/>
      <c r="CX282" s="37"/>
      <c r="CY282" s="37"/>
      <c r="CZ282" s="37"/>
      <c r="DA282" s="37"/>
      <c r="DB282" s="37"/>
      <c r="DC282" s="37"/>
      <c r="DD282" s="37"/>
      <c r="DE282" s="37"/>
      <c r="DF282" s="37"/>
      <c r="DG282" s="37"/>
      <c r="DH282" s="37"/>
      <c r="DI282" s="37"/>
      <c r="DJ282" s="37"/>
      <c r="DR282" s="37"/>
      <c r="DZ282" s="37"/>
      <c r="EA282" s="37"/>
      <c r="EB282" s="37"/>
      <c r="EC282" s="37"/>
      <c r="ED282" s="37"/>
      <c r="EE282" s="37"/>
      <c r="EF282" s="37"/>
      <c r="EG282" s="37"/>
      <c r="EH282" s="37"/>
      <c r="EI282" s="37"/>
      <c r="EJ282" s="37"/>
      <c r="EK282" s="37"/>
      <c r="EL282" s="37"/>
      <c r="EM282" s="37"/>
      <c r="EN282" s="37"/>
      <c r="EO282" s="37"/>
      <c r="EP282" s="37"/>
      <c r="EQ282" s="37"/>
      <c r="ER282" s="37"/>
      <c r="ES282" s="37"/>
      <c r="ET282" s="37"/>
      <c r="EU282" s="37"/>
      <c r="EV282" s="37"/>
      <c r="EW282" s="37"/>
      <c r="EX282" s="37"/>
      <c r="EY282" s="37"/>
      <c r="FB282" s="37"/>
      <c r="FC282" s="37"/>
      <c r="FE282" s="37"/>
    </row>
    <row r="283" spans="1:166" ht="15.75" customHeight="1" x14ac:dyDescent="0.2">
      <c r="A283" s="43"/>
      <c r="B283" s="44"/>
      <c r="C283" s="37"/>
      <c r="D283" s="54"/>
      <c r="M283" s="37"/>
      <c r="N283" s="37"/>
      <c r="O283" s="37"/>
      <c r="P283" s="37"/>
      <c r="Q283" s="37"/>
      <c r="R283" s="37"/>
      <c r="S283" s="37"/>
      <c r="T283" s="37"/>
      <c r="U283" s="37"/>
      <c r="V283" s="37"/>
      <c r="W283" s="37"/>
      <c r="X283" s="37"/>
      <c r="Y283" s="37"/>
      <c r="Z283" s="37"/>
      <c r="AA283" s="37"/>
      <c r="AB283" s="37"/>
      <c r="AD283" s="37"/>
      <c r="AE283" s="37"/>
      <c r="AF283" s="37"/>
      <c r="AG283" s="37"/>
      <c r="AH283" s="37"/>
      <c r="AI283" s="37"/>
      <c r="AJ283" s="37"/>
      <c r="AK283" s="37"/>
      <c r="AL283" s="37"/>
      <c r="AM283" s="37"/>
      <c r="AN283" s="37"/>
      <c r="AO283" s="37"/>
      <c r="AP283" s="37"/>
      <c r="AQ283" s="37"/>
      <c r="AR283" s="37"/>
      <c r="AS283" s="37"/>
      <c r="AT283" s="37"/>
      <c r="AU283" s="37"/>
      <c r="AV283" s="37"/>
      <c r="AW283" s="37"/>
      <c r="AX283" s="37"/>
      <c r="AY283" s="37"/>
      <c r="AZ283" s="37"/>
      <c r="BA283" s="37"/>
      <c r="BB283" s="37"/>
      <c r="BC283" s="37"/>
      <c r="BD283" s="37"/>
      <c r="BG283" s="37"/>
      <c r="BH283" s="37"/>
      <c r="BI283" s="37"/>
      <c r="BJ283" s="37"/>
      <c r="BK283" s="37"/>
      <c r="BL283" s="37"/>
      <c r="BM283" s="37"/>
      <c r="BN283" s="37"/>
      <c r="BO283" s="37"/>
      <c r="BP283" s="37"/>
      <c r="BQ283" s="37"/>
      <c r="BR283" s="37"/>
      <c r="BS283" s="37"/>
      <c r="BT283" s="37"/>
      <c r="BU283" s="37"/>
      <c r="BV283" s="37"/>
      <c r="BW283" s="37"/>
      <c r="BX283" s="37"/>
      <c r="BY283" s="37"/>
      <c r="BZ283" s="37"/>
      <c r="CA283" s="37"/>
      <c r="CB283" s="37"/>
      <c r="CC283" s="37"/>
      <c r="CD283" s="37"/>
      <c r="CE283" s="37"/>
      <c r="CF283" s="37"/>
      <c r="CG283" s="37"/>
      <c r="CH283" s="37"/>
      <c r="CI283" s="37"/>
      <c r="CJ283" s="37"/>
      <c r="CK283" s="37"/>
      <c r="CL283" s="37"/>
      <c r="CM283" s="37"/>
      <c r="CN283" s="37"/>
      <c r="CO283" s="37"/>
      <c r="CP283" s="37"/>
      <c r="CQ283" s="37"/>
      <c r="CR283" s="37"/>
      <c r="CS283" s="37"/>
      <c r="CT283" s="37"/>
      <c r="CU283" s="37"/>
      <c r="CV283" s="37"/>
      <c r="CW283" s="37"/>
      <c r="CX283" s="37"/>
      <c r="CY283" s="37"/>
      <c r="CZ283" s="37"/>
      <c r="DA283" s="37"/>
      <c r="DB283" s="37"/>
      <c r="DC283" s="37"/>
      <c r="DD283" s="37"/>
      <c r="DE283" s="37"/>
      <c r="DF283" s="37"/>
      <c r="DG283" s="37"/>
      <c r="DH283" s="37"/>
      <c r="DI283" s="37"/>
      <c r="DJ283" s="37"/>
      <c r="DR283" s="37"/>
      <c r="DZ283" s="37"/>
      <c r="EB283" s="37"/>
      <c r="EC283" s="37"/>
      <c r="ED283" s="37"/>
      <c r="EE283" s="37"/>
      <c r="EF283" s="37"/>
      <c r="EG283" s="37"/>
      <c r="EH283" s="37"/>
      <c r="EI283" s="37"/>
      <c r="EJ283" s="37"/>
      <c r="EK283" s="37"/>
      <c r="EL283" s="37"/>
      <c r="EM283" s="37"/>
      <c r="EN283" s="37"/>
      <c r="EO283" s="37"/>
      <c r="EP283" s="37"/>
      <c r="EQ283" s="37"/>
      <c r="ER283" s="37"/>
      <c r="ES283" s="37"/>
      <c r="ET283" s="37"/>
      <c r="EU283" s="37"/>
      <c r="EV283" s="37"/>
      <c r="EW283" s="37"/>
      <c r="EX283" s="37"/>
      <c r="EY283" s="37"/>
      <c r="FB283" s="37"/>
      <c r="FC283" s="37"/>
      <c r="FE283" s="37"/>
    </row>
    <row r="284" spans="1:166" ht="15.75" customHeight="1" x14ac:dyDescent="0.2">
      <c r="A284" s="43"/>
      <c r="B284" s="44"/>
      <c r="C284" s="37"/>
      <c r="D284" s="54"/>
      <c r="E284" s="37"/>
      <c r="F284" s="37"/>
      <c r="G284" s="37"/>
      <c r="H284" s="37"/>
      <c r="I284" s="37"/>
      <c r="J284" s="37"/>
      <c r="K284" s="37"/>
      <c r="L284" s="37"/>
      <c r="M284" s="37"/>
      <c r="N284" s="37"/>
      <c r="O284" s="37"/>
      <c r="P284" s="37"/>
      <c r="Q284" s="37"/>
      <c r="R284" s="37"/>
      <c r="Y284" s="37"/>
      <c r="Z284" s="37"/>
      <c r="AA284" s="37"/>
      <c r="AB284" s="37"/>
      <c r="AD284" s="37"/>
      <c r="AE284" s="37"/>
      <c r="AF284" s="37"/>
      <c r="AG284" s="37"/>
      <c r="AH284" s="37"/>
      <c r="AI284" s="37"/>
      <c r="AJ284" s="37"/>
      <c r="AK284" s="37"/>
      <c r="AL284" s="37"/>
      <c r="AP284" s="37"/>
      <c r="AQ284" s="37"/>
      <c r="AR284" s="37"/>
      <c r="AS284" s="37"/>
      <c r="AT284" s="37"/>
      <c r="AU284" s="37"/>
      <c r="AV284" s="37"/>
      <c r="AW284" s="37"/>
      <c r="AX284" s="37"/>
      <c r="AY284" s="37"/>
      <c r="AZ284" s="37"/>
      <c r="BA284" s="37"/>
      <c r="BB284" s="37"/>
      <c r="BC284" s="37"/>
      <c r="BD284" s="37"/>
      <c r="BF284" s="37"/>
      <c r="BG284" s="37"/>
      <c r="BH284" s="37"/>
      <c r="BI284" s="37"/>
      <c r="BJ284" s="37"/>
      <c r="BK284" s="37"/>
      <c r="BL284" s="37"/>
      <c r="BM284" s="37"/>
      <c r="BN284" s="37"/>
      <c r="BO284" s="37"/>
      <c r="BP284" s="37"/>
      <c r="BQ284" s="37"/>
      <c r="BR284" s="37"/>
      <c r="BS284" s="37"/>
      <c r="BT284" s="37"/>
      <c r="BU284" s="37"/>
      <c r="BV284" s="37"/>
      <c r="BW284" s="37"/>
      <c r="BX284" s="37"/>
      <c r="BY284" s="37"/>
      <c r="BZ284" s="37"/>
      <c r="CA284" s="37"/>
      <c r="CB284" s="37"/>
      <c r="CC284" s="37"/>
      <c r="CD284" s="37"/>
      <c r="CE284" s="37"/>
      <c r="CF284" s="37"/>
      <c r="CG284" s="37"/>
      <c r="CH284" s="37"/>
      <c r="CI284" s="37"/>
      <c r="CJ284" s="37"/>
      <c r="CK284" s="37"/>
      <c r="CL284" s="37"/>
      <c r="CM284" s="37"/>
      <c r="CN284" s="37"/>
      <c r="CO284" s="37"/>
      <c r="CP284" s="37"/>
      <c r="CQ284" s="37"/>
      <c r="CR284" s="37"/>
      <c r="CS284" s="37"/>
      <c r="CT284" s="37"/>
      <c r="CU284" s="37"/>
      <c r="CV284" s="37"/>
      <c r="CW284" s="37"/>
      <c r="CX284" s="37"/>
      <c r="CY284" s="37"/>
      <c r="CZ284" s="37"/>
      <c r="DA284" s="37"/>
      <c r="DB284" s="37"/>
      <c r="DC284" s="37"/>
      <c r="DD284" s="37"/>
      <c r="DE284" s="37"/>
      <c r="DF284" s="37"/>
      <c r="DG284" s="37"/>
      <c r="DH284" s="37"/>
      <c r="DI284" s="37"/>
      <c r="DJ284" s="37"/>
      <c r="DK284" s="37"/>
      <c r="DL284" s="37"/>
      <c r="DM284" s="37"/>
      <c r="DN284" s="37"/>
      <c r="DO284" s="37"/>
      <c r="DP284" s="37"/>
      <c r="DQ284" s="37"/>
      <c r="DR284" s="37"/>
      <c r="DZ284" s="37"/>
      <c r="EA284" s="37"/>
      <c r="EB284" s="37"/>
      <c r="EC284" s="37"/>
      <c r="ED284" s="37"/>
      <c r="EE284" s="37"/>
      <c r="EF284" s="37"/>
      <c r="EG284" s="37"/>
      <c r="EH284" s="37"/>
      <c r="EI284" s="37"/>
      <c r="EJ284" s="37"/>
      <c r="EK284" s="37"/>
      <c r="EL284" s="37"/>
      <c r="EM284" s="37"/>
      <c r="EN284" s="37"/>
      <c r="EO284" s="37"/>
      <c r="EP284" s="37"/>
      <c r="EQ284" s="37"/>
      <c r="ER284" s="37"/>
      <c r="ES284" s="37"/>
      <c r="ET284" s="37"/>
      <c r="EU284" s="37"/>
      <c r="EV284" s="37"/>
      <c r="EW284" s="37"/>
      <c r="EX284" s="37"/>
      <c r="EY284" s="37"/>
      <c r="EZ284" s="37"/>
      <c r="FB284" s="37"/>
      <c r="FC284" s="37"/>
      <c r="FE284" s="37"/>
    </row>
    <row r="285" spans="1:166" ht="15.75" customHeight="1" x14ac:dyDescent="0.2">
      <c r="A285" s="43"/>
      <c r="B285" s="44"/>
      <c r="C285" s="37"/>
      <c r="D285" s="54"/>
      <c r="M285" s="37"/>
      <c r="N285" s="37"/>
      <c r="O285" s="37"/>
      <c r="P285" s="37"/>
      <c r="Q285" s="37"/>
      <c r="R285" s="37"/>
      <c r="S285" s="37"/>
      <c r="T285" s="37"/>
      <c r="U285" s="37"/>
      <c r="V285" s="37"/>
      <c r="W285" s="37"/>
      <c r="X285" s="37"/>
      <c r="Y285" s="37"/>
      <c r="AC285" s="37"/>
      <c r="AD285" s="37"/>
      <c r="AE285" s="37"/>
      <c r="AF285" s="37"/>
      <c r="AG285" s="37"/>
      <c r="AH285" s="37"/>
      <c r="AI285" s="37"/>
      <c r="AJ285" s="37"/>
      <c r="AK285" s="37"/>
      <c r="AL285" s="37"/>
      <c r="AM285" s="37"/>
      <c r="AN285" s="37"/>
      <c r="AO285" s="37"/>
      <c r="AP285" s="37"/>
      <c r="AQ285" s="37"/>
      <c r="AR285" s="37"/>
      <c r="AS285" s="37"/>
      <c r="AT285" s="37"/>
      <c r="AU285" s="37"/>
      <c r="AV285" s="37"/>
      <c r="AW285" s="37"/>
      <c r="AX285" s="37"/>
      <c r="AY285" s="37"/>
      <c r="AZ285" s="37"/>
      <c r="BA285" s="37"/>
      <c r="BB285" s="37"/>
      <c r="BC285" s="37"/>
      <c r="BD285" s="37"/>
      <c r="BF285" s="37"/>
      <c r="BG285" s="37"/>
      <c r="BH285" s="37"/>
      <c r="BI285" s="37"/>
      <c r="BJ285" s="37"/>
      <c r="BK285" s="37"/>
      <c r="BL285" s="37"/>
      <c r="BM285" s="37"/>
      <c r="BN285" s="37"/>
      <c r="BO285" s="37"/>
      <c r="BP285" s="37"/>
      <c r="BQ285" s="37"/>
      <c r="BR285" s="37"/>
      <c r="BS285" s="37"/>
      <c r="BT285" s="37"/>
      <c r="BU285" s="37"/>
      <c r="BV285" s="37"/>
      <c r="BW285" s="37"/>
      <c r="BX285" s="37"/>
      <c r="BY285" s="37"/>
      <c r="BZ285" s="37"/>
      <c r="CA285" s="37"/>
      <c r="CB285" s="37"/>
      <c r="CC285" s="37"/>
      <c r="CD285" s="37"/>
      <c r="CE285" s="37"/>
      <c r="CF285" s="37"/>
      <c r="CG285" s="37"/>
      <c r="CH285" s="37"/>
      <c r="CI285" s="37"/>
      <c r="CJ285" s="37"/>
      <c r="CK285" s="37"/>
      <c r="CL285" s="37"/>
      <c r="CM285" s="37"/>
      <c r="CN285" s="37"/>
      <c r="CO285" s="37"/>
      <c r="CP285" s="37"/>
      <c r="CQ285" s="37"/>
      <c r="CR285" s="37"/>
      <c r="CS285" s="37"/>
      <c r="CT285" s="37"/>
      <c r="CU285" s="37"/>
      <c r="CV285" s="37"/>
      <c r="CW285" s="37"/>
      <c r="CX285" s="37"/>
      <c r="CY285" s="37"/>
      <c r="CZ285" s="37"/>
      <c r="DA285" s="37"/>
      <c r="DB285" s="37"/>
      <c r="DC285" s="37"/>
      <c r="DD285" s="37"/>
      <c r="DE285" s="37"/>
      <c r="DF285" s="37"/>
      <c r="DG285" s="37"/>
      <c r="DH285" s="37"/>
      <c r="DI285" s="37"/>
      <c r="DJ285" s="37"/>
      <c r="DR285" s="37"/>
      <c r="DZ285" s="37"/>
      <c r="EA285" s="37"/>
      <c r="EB285" s="37"/>
      <c r="EC285" s="37"/>
      <c r="ED285" s="37"/>
      <c r="EE285" s="37"/>
      <c r="EF285" s="37"/>
      <c r="EG285" s="37"/>
      <c r="EH285" s="37"/>
      <c r="EI285" s="37"/>
      <c r="EJ285" s="37"/>
      <c r="EK285" s="37"/>
      <c r="EL285" s="37"/>
      <c r="EM285" s="37"/>
      <c r="EN285" s="37"/>
      <c r="EO285" s="37"/>
      <c r="EP285" s="37"/>
      <c r="EQ285" s="37"/>
      <c r="ER285" s="37"/>
      <c r="ES285" s="37"/>
      <c r="ET285" s="37"/>
      <c r="EU285" s="37"/>
      <c r="EV285" s="37"/>
      <c r="EW285" s="37"/>
      <c r="EX285" s="37"/>
      <c r="EY285" s="37"/>
      <c r="FB285" s="37"/>
      <c r="FC285" s="37"/>
      <c r="FE285" s="37"/>
    </row>
    <row r="286" spans="1:166" ht="15.75" customHeight="1" x14ac:dyDescent="0.2">
      <c r="A286" s="43"/>
      <c r="B286" s="44"/>
      <c r="C286" s="37"/>
      <c r="D286" s="54"/>
      <c r="E286" s="37"/>
      <c r="F286" s="37"/>
      <c r="G286" s="37"/>
      <c r="H286" s="37"/>
      <c r="I286" s="37"/>
      <c r="J286" s="37"/>
      <c r="K286" s="37"/>
      <c r="L286" s="37"/>
      <c r="M286" s="37"/>
      <c r="N286" s="37"/>
      <c r="O286" s="37"/>
      <c r="P286" s="37"/>
      <c r="Q286" s="37"/>
      <c r="R286" s="37"/>
      <c r="Y286" s="37"/>
      <c r="AC286" s="37"/>
      <c r="AD286" s="37"/>
      <c r="AE286" s="37"/>
      <c r="AF286" s="37"/>
      <c r="AG286" s="37"/>
      <c r="AH286" s="37"/>
      <c r="AI286" s="37"/>
      <c r="AJ286" s="37"/>
      <c r="AK286" s="37"/>
      <c r="AL286" s="37"/>
      <c r="AP286" s="37"/>
      <c r="AQ286" s="37"/>
      <c r="AR286" s="37"/>
      <c r="AS286" s="37"/>
      <c r="AT286" s="37"/>
      <c r="AU286" s="37"/>
      <c r="AV286" s="37"/>
      <c r="AW286" s="37"/>
      <c r="AX286" s="37"/>
      <c r="AY286" s="37"/>
      <c r="AZ286" s="37"/>
      <c r="BA286" s="37"/>
      <c r="BB286" s="37"/>
      <c r="BC286" s="37"/>
      <c r="BD286" s="37"/>
      <c r="BG286" s="37"/>
      <c r="BH286" s="37"/>
      <c r="BI286" s="37"/>
      <c r="BJ286" s="37"/>
      <c r="BK286" s="37"/>
      <c r="BL286" s="37"/>
      <c r="BM286" s="37"/>
      <c r="BN286" s="37"/>
      <c r="BO286" s="37"/>
      <c r="BP286" s="37"/>
      <c r="BQ286" s="37"/>
      <c r="BR286" s="37"/>
      <c r="BS286" s="37"/>
      <c r="BT286" s="37"/>
      <c r="BU286" s="37"/>
      <c r="BV286" s="37"/>
      <c r="BW286" s="37"/>
      <c r="BX286" s="37"/>
      <c r="BY286" s="37"/>
      <c r="BZ286" s="37"/>
      <c r="CA286" s="37"/>
      <c r="CB286" s="37"/>
      <c r="CC286" s="37"/>
      <c r="CD286" s="37"/>
      <c r="CE286" s="37"/>
      <c r="CF286" s="37"/>
      <c r="CG286" s="37"/>
      <c r="CH286" s="37"/>
      <c r="CI286" s="37"/>
      <c r="CJ286" s="37"/>
      <c r="CK286" s="37"/>
      <c r="CL286" s="37"/>
      <c r="CM286" s="37"/>
      <c r="CN286" s="37"/>
      <c r="CO286" s="37"/>
      <c r="CP286" s="37"/>
      <c r="CQ286" s="37"/>
      <c r="CR286" s="37"/>
      <c r="CS286" s="37"/>
      <c r="CT286" s="37"/>
      <c r="CU286" s="37"/>
      <c r="CV286" s="37"/>
      <c r="CW286" s="37"/>
      <c r="CX286" s="37"/>
      <c r="CY286" s="37"/>
      <c r="CZ286" s="37"/>
      <c r="DA286" s="37"/>
      <c r="DB286" s="37"/>
      <c r="DC286" s="37"/>
      <c r="DD286" s="37"/>
      <c r="DE286" s="37"/>
      <c r="DF286" s="37"/>
      <c r="DG286" s="37"/>
      <c r="DH286" s="37"/>
      <c r="DI286" s="37"/>
      <c r="DJ286" s="37"/>
      <c r="DK286" s="37"/>
      <c r="DL286" s="37"/>
      <c r="DM286" s="37"/>
      <c r="DN286" s="37"/>
      <c r="DO286" s="37"/>
      <c r="DP286" s="37"/>
      <c r="DQ286" s="37"/>
      <c r="DR286" s="37"/>
      <c r="DS286" s="37"/>
      <c r="DY286" s="37"/>
      <c r="DZ286" s="37"/>
      <c r="EB286" s="37"/>
      <c r="EC286" s="37"/>
      <c r="ED286" s="37"/>
      <c r="EE286" s="37"/>
      <c r="EF286" s="37"/>
      <c r="EG286" s="37"/>
      <c r="EH286" s="37"/>
      <c r="EI286" s="37"/>
      <c r="EJ286" s="37"/>
      <c r="EK286" s="37"/>
      <c r="EL286" s="37"/>
      <c r="EM286" s="37"/>
      <c r="EN286" s="37"/>
      <c r="EO286" s="37"/>
      <c r="EP286" s="37"/>
      <c r="EQ286" s="37"/>
      <c r="ER286" s="37"/>
      <c r="ES286" s="37"/>
      <c r="ET286" s="37"/>
      <c r="EU286" s="37"/>
      <c r="EV286" s="37"/>
      <c r="EW286" s="37"/>
      <c r="EX286" s="37"/>
      <c r="FB286" s="37"/>
      <c r="FC286" s="37"/>
      <c r="FE286" s="37"/>
    </row>
    <row r="287" spans="1:166" ht="15.75" customHeight="1" x14ac:dyDescent="0.2">
      <c r="A287" s="43"/>
      <c r="B287" s="44"/>
      <c r="C287" s="37"/>
      <c r="D287" s="54"/>
      <c r="M287" s="37"/>
      <c r="N287" s="37"/>
      <c r="O287" s="37"/>
      <c r="P287" s="37"/>
      <c r="Q287" s="37"/>
      <c r="R287" s="37"/>
      <c r="Y287" s="37"/>
      <c r="AC287" s="37"/>
      <c r="AD287" s="37"/>
      <c r="AE287" s="37"/>
      <c r="AF287" s="37"/>
      <c r="AG287" s="37"/>
      <c r="AH287" s="37"/>
      <c r="AI287" s="37"/>
      <c r="AJ287" s="37"/>
      <c r="AK287" s="37"/>
      <c r="AL287" s="37"/>
      <c r="AM287" s="37"/>
      <c r="AN287" s="37"/>
      <c r="AO287" s="37"/>
      <c r="AP287" s="37"/>
      <c r="AQ287" s="37"/>
      <c r="AR287" s="37"/>
      <c r="AS287" s="37"/>
      <c r="AT287" s="37"/>
      <c r="AU287" s="37"/>
      <c r="AV287" s="37"/>
      <c r="AW287" s="37"/>
      <c r="AX287" s="37"/>
      <c r="AY287" s="37"/>
      <c r="AZ287" s="37"/>
      <c r="BA287" s="37"/>
      <c r="BB287" s="37"/>
      <c r="BC287" s="37"/>
      <c r="BD287" s="37"/>
      <c r="BE287" s="37"/>
      <c r="BG287" s="37"/>
      <c r="BH287" s="37"/>
      <c r="BI287" s="37"/>
      <c r="BJ287" s="37"/>
      <c r="BK287" s="37"/>
      <c r="BL287" s="37"/>
      <c r="BM287" s="37"/>
      <c r="BN287" s="37"/>
      <c r="BO287" s="37"/>
      <c r="BP287" s="37"/>
      <c r="BQ287" s="37"/>
      <c r="BR287" s="37"/>
      <c r="BS287" s="37"/>
      <c r="BT287" s="37"/>
      <c r="BU287" s="37"/>
      <c r="BV287" s="37"/>
      <c r="BW287" s="37"/>
      <c r="BX287" s="37"/>
      <c r="BY287" s="37"/>
      <c r="BZ287" s="37"/>
      <c r="CA287" s="37"/>
      <c r="CB287" s="37"/>
      <c r="CC287" s="37"/>
      <c r="CD287" s="37"/>
      <c r="CE287" s="37"/>
      <c r="CF287" s="37"/>
      <c r="CG287" s="37"/>
      <c r="CH287" s="37"/>
      <c r="CI287" s="37"/>
      <c r="CJ287" s="37"/>
      <c r="CK287" s="37"/>
      <c r="CL287" s="37"/>
      <c r="CM287" s="37"/>
      <c r="CN287" s="37"/>
      <c r="CO287" s="37"/>
      <c r="CP287" s="37"/>
      <c r="CQ287" s="37"/>
      <c r="CR287" s="37"/>
      <c r="CS287" s="37"/>
      <c r="CT287" s="37"/>
      <c r="CU287" s="37"/>
      <c r="CV287" s="37"/>
      <c r="CW287" s="37"/>
      <c r="CX287" s="37"/>
      <c r="CY287" s="37"/>
      <c r="CZ287" s="37"/>
      <c r="DA287" s="37"/>
      <c r="DB287" s="37"/>
      <c r="DC287" s="37"/>
      <c r="DD287" s="37"/>
      <c r="DE287" s="37"/>
      <c r="DF287" s="37"/>
      <c r="DG287" s="37"/>
      <c r="DH287" s="37"/>
      <c r="DI287" s="37"/>
      <c r="DJ287" s="37"/>
      <c r="DK287" s="37"/>
      <c r="DL287" s="37"/>
      <c r="DM287" s="37"/>
      <c r="DN287" s="37"/>
      <c r="DO287" s="37"/>
      <c r="DP287" s="37"/>
      <c r="DQ287" s="37"/>
      <c r="DR287" s="37"/>
      <c r="DS287" s="37"/>
      <c r="DY287" s="37"/>
      <c r="DZ287" s="37"/>
      <c r="EB287" s="37"/>
      <c r="EC287" s="37"/>
      <c r="ED287" s="37"/>
      <c r="EE287" s="37"/>
      <c r="EF287" s="37"/>
      <c r="EG287" s="37"/>
      <c r="EH287" s="37"/>
      <c r="EI287" s="37"/>
      <c r="EJ287" s="37"/>
      <c r="EK287" s="37"/>
      <c r="EL287" s="37"/>
      <c r="EM287" s="37"/>
      <c r="EN287" s="37"/>
      <c r="EO287" s="37"/>
      <c r="EP287" s="37"/>
      <c r="EQ287" s="37"/>
      <c r="ER287" s="37"/>
      <c r="ES287" s="37"/>
      <c r="ET287" s="37"/>
      <c r="EU287" s="37"/>
      <c r="EV287" s="37"/>
      <c r="EW287" s="37"/>
      <c r="EY287" s="37"/>
      <c r="FB287" s="37"/>
      <c r="FC287" s="37"/>
      <c r="FE287" s="37"/>
    </row>
    <row r="288" spans="1:166" ht="15.75" customHeight="1" x14ac:dyDescent="0.2">
      <c r="A288" s="43"/>
      <c r="B288" s="44"/>
      <c r="C288" s="37"/>
      <c r="D288" s="54"/>
      <c r="M288" s="37"/>
      <c r="N288" s="37"/>
      <c r="O288" s="37"/>
      <c r="P288" s="37"/>
      <c r="Q288" s="37"/>
      <c r="R288" s="37"/>
      <c r="Y288" s="37"/>
      <c r="BT288" s="37"/>
      <c r="BU288" s="37"/>
      <c r="BV288" s="37"/>
      <c r="BW288" s="37"/>
      <c r="BX288" s="37"/>
      <c r="BY288" s="37"/>
      <c r="BZ288" s="37"/>
      <c r="CA288" s="37"/>
      <c r="CB288" s="37"/>
      <c r="CC288" s="37"/>
      <c r="CD288" s="37"/>
      <c r="CE288" s="37"/>
      <c r="CF288" s="37"/>
      <c r="CG288" s="37"/>
      <c r="CH288" s="37"/>
      <c r="CI288" s="37"/>
      <c r="CJ288" s="37"/>
      <c r="CK288" s="37"/>
      <c r="CL288" s="37"/>
      <c r="CM288" s="37"/>
      <c r="CN288" s="37"/>
      <c r="CO288" s="37"/>
      <c r="CP288" s="37"/>
      <c r="CQ288" s="37"/>
      <c r="CR288" s="37"/>
      <c r="CS288" s="37"/>
      <c r="CT288" s="37"/>
      <c r="CU288" s="37"/>
      <c r="CV288" s="37"/>
      <c r="CW288" s="37"/>
      <c r="CX288" s="37"/>
      <c r="CY288" s="37"/>
      <c r="CZ288" s="37"/>
      <c r="DA288" s="37"/>
      <c r="DB288" s="37"/>
      <c r="DC288" s="37"/>
      <c r="DD288" s="37"/>
      <c r="DE288" s="37"/>
      <c r="DF288" s="37"/>
      <c r="DG288" s="37"/>
      <c r="DH288" s="37"/>
      <c r="DI288" s="37"/>
      <c r="DJ288" s="37"/>
      <c r="DK288" s="37"/>
      <c r="DL288" s="37"/>
      <c r="DM288" s="37"/>
      <c r="DN288" s="37"/>
      <c r="DO288" s="37"/>
      <c r="DP288" s="37"/>
      <c r="DQ288" s="37"/>
      <c r="DR288" s="37"/>
      <c r="DS288" s="37"/>
      <c r="DY288" s="37"/>
      <c r="DZ288" s="37"/>
      <c r="EA288" s="37"/>
      <c r="EB288" s="37"/>
      <c r="EC288" s="37"/>
      <c r="EE288" s="37"/>
      <c r="EF288" s="37"/>
      <c r="EG288" s="37"/>
      <c r="EH288" s="37"/>
      <c r="EI288" s="37"/>
      <c r="EJ288" s="37"/>
      <c r="EK288" s="37"/>
      <c r="EL288" s="37"/>
      <c r="EM288" s="37"/>
      <c r="EN288" s="37"/>
      <c r="EO288" s="37"/>
      <c r="EP288" s="37"/>
      <c r="EQ288" s="37"/>
      <c r="ER288" s="37"/>
      <c r="ES288" s="37"/>
      <c r="ET288" s="37"/>
      <c r="EU288" s="37"/>
      <c r="EV288" s="37"/>
      <c r="EW288" s="37"/>
      <c r="EX288" s="37"/>
      <c r="FB288" s="37"/>
      <c r="FC288" s="37"/>
      <c r="FE288" s="37"/>
    </row>
  </sheetData>
  <pageMargins left="0.511811024" right="0.511811024" top="0.78740157499999996" bottom="0.78740157499999996" header="0.31496062000000002" footer="0.31496062000000002"/>
  <pageSetup orientation="portrait" r:id="rId1"/>
  <ignoredErrors>
    <ignoredError sqref="FE13 FE27 FE53:FE62 FE84:FE98 FE106:FE123" numberStoredAsText="1"/>
  </ignoredError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DK205"/>
  <sheetViews>
    <sheetView showGridLines="0" workbookViewId="0"/>
  </sheetViews>
  <sheetFormatPr defaultColWidth="0" defaultRowHeight="12.75" zeroHeight="1" x14ac:dyDescent="0.2"/>
  <cols>
    <col min="1" max="1" width="24.7109375" style="126" customWidth="1"/>
    <col min="2" max="2" width="5.42578125" style="126" customWidth="1"/>
    <col min="3" max="3" width="69.5703125" style="126" customWidth="1"/>
    <col min="4" max="4" width="4.5703125" style="126" customWidth="1"/>
    <col min="5" max="5" width="7.140625" style="126" customWidth="1"/>
    <col min="6" max="6" width="54.7109375" style="126" bestFit="1" customWidth="1"/>
    <col min="7" max="8" width="9.140625" style="126" customWidth="1"/>
    <col min="9" max="9" width="82" style="126" customWidth="1"/>
    <col min="10" max="10" width="9.42578125" style="126" customWidth="1"/>
    <col min="11" max="11" width="54.7109375" style="126" bestFit="1" customWidth="1"/>
    <col min="12" max="15" width="9.140625" style="126" customWidth="1"/>
    <col min="16" max="16" width="44.7109375" style="126" bestFit="1" customWidth="1"/>
    <col min="17" max="27" width="9.140625" style="126" customWidth="1"/>
    <col min="28" max="28" width="54.7109375" style="126" bestFit="1" customWidth="1"/>
    <col min="29" max="31" width="9.140625" style="126" customWidth="1"/>
    <col min="32" max="32" width="10.28515625" style="126" customWidth="1"/>
    <col min="33" max="33" width="57.5703125" style="126" customWidth="1"/>
    <col min="34" max="34" width="9.140625" style="135" customWidth="1"/>
    <col min="35" max="44" width="9.140625" style="126" customWidth="1"/>
    <col min="45" max="45" width="10.28515625" style="126" customWidth="1"/>
    <col min="46" max="46" width="48.7109375" style="126" customWidth="1"/>
    <col min="47" max="47" width="9.140625" style="135" customWidth="1"/>
    <col min="48" max="52" width="9.140625" style="126" customWidth="1"/>
    <col min="53" max="53" width="13" style="126" customWidth="1"/>
    <col min="54" max="54" width="12.42578125" style="126" customWidth="1"/>
    <col min="55" max="55" width="10" style="126" bestFit="1" customWidth="1"/>
    <col min="56" max="57" width="9.140625" style="126" customWidth="1"/>
    <col min="58" max="58" width="59.28515625" style="126" bestFit="1" customWidth="1"/>
    <col min="59" max="60" width="9.140625" style="126" customWidth="1"/>
    <col min="61" max="61" width="82" style="126" customWidth="1"/>
    <col min="62" max="62" width="10.85546875" style="126" customWidth="1"/>
    <col min="63" max="63" width="59.28515625" style="126" bestFit="1" customWidth="1"/>
    <col min="64" max="65" width="9.140625" style="126" customWidth="1"/>
    <col min="66" max="66" width="87.140625" style="126" customWidth="1"/>
    <col min="67" max="67" width="7" style="126" customWidth="1"/>
    <col min="68" max="68" width="59.28515625" style="126" bestFit="1" customWidth="1"/>
    <col min="69" max="71" width="9.140625" style="126" customWidth="1"/>
    <col min="72" max="72" width="78.28515625" style="126" customWidth="1"/>
    <col min="73" max="73" width="7.28515625" style="126" customWidth="1"/>
    <col min="74" max="74" width="56.5703125" style="126" customWidth="1"/>
    <col min="75" max="75" width="15.5703125" style="126" customWidth="1"/>
    <col min="76" max="76" width="15.5703125" style="126" bestFit="1" customWidth="1"/>
    <col min="77" max="77" width="15.5703125" style="126" customWidth="1"/>
    <col min="78" max="78" width="15.5703125" style="126" bestFit="1" customWidth="1"/>
    <col min="79" max="79" width="83" style="126" customWidth="1"/>
    <col min="80" max="80" width="7.42578125" style="126" customWidth="1"/>
    <col min="81" max="81" width="59.28515625" style="126" bestFit="1" customWidth="1"/>
    <col min="82" max="83" width="9.140625" style="126" customWidth="1"/>
    <col min="84" max="84" width="87.140625" style="126" customWidth="1"/>
    <col min="85" max="85" width="6.7109375" style="126" customWidth="1"/>
    <col min="86" max="86" width="59.28515625" style="126" customWidth="1"/>
    <col min="87" max="88" width="9.140625" style="126" customWidth="1"/>
    <col min="89" max="89" width="78.28515625" style="126" customWidth="1"/>
    <col min="90" max="90" width="7.5703125" style="126" customWidth="1"/>
    <col min="91" max="91" width="56.5703125" style="126" customWidth="1"/>
    <col min="92" max="92" width="15.5703125" style="126" customWidth="1"/>
    <col min="93" max="93" width="15.5703125" style="126" bestFit="1" customWidth="1"/>
    <col min="94" max="94" width="15.5703125" style="126" customWidth="1"/>
    <col min="95" max="95" width="15.5703125" style="126" bestFit="1" customWidth="1"/>
    <col min="96" max="96" width="77.5703125" style="126" customWidth="1"/>
    <col min="97" max="97" width="7.7109375" style="126" customWidth="1"/>
    <col min="98" max="98" width="59.28515625" style="126" bestFit="1" customWidth="1"/>
    <col min="99" max="100" width="9.140625" style="126" customWidth="1"/>
    <col min="101" max="101" width="87.140625" style="126" customWidth="1"/>
    <col min="102" max="102" width="7.42578125" style="126" customWidth="1"/>
    <col min="103" max="103" width="56.5703125" style="126" customWidth="1"/>
    <col min="104" max="104" width="15.5703125" style="126" customWidth="1"/>
    <col min="105" max="105" width="15.5703125" style="126" bestFit="1" customWidth="1"/>
    <col min="106" max="106" width="15.5703125" style="126" customWidth="1"/>
    <col min="107" max="107" width="15.5703125" style="126" bestFit="1" customWidth="1"/>
    <col min="108" max="108" width="80.85546875" style="126" customWidth="1"/>
    <col min="109" max="109" width="9.140625" style="280" customWidth="1"/>
    <col min="110" max="110" width="9.140625" style="126" customWidth="1"/>
    <col min="111" max="111" width="38.7109375" style="126" bestFit="1" customWidth="1"/>
    <col min="112" max="115" width="9.140625" style="126" customWidth="1"/>
    <col min="116" max="16384" width="9.140625" style="126" hidden="1"/>
  </cols>
  <sheetData>
    <row r="1" spans="1:114" ht="139.5" customHeight="1" x14ac:dyDescent="0.2">
      <c r="A1" s="151" t="s">
        <v>1193</v>
      </c>
      <c r="F1" s="222" t="s">
        <v>1212</v>
      </c>
      <c r="AH1" s="126"/>
      <c r="AU1" s="126"/>
      <c r="DE1" s="126"/>
    </row>
    <row r="2" spans="1:114" x14ac:dyDescent="0.2">
      <c r="B2" s="48"/>
      <c r="C2" s="144"/>
      <c r="D2" s="48"/>
      <c r="E2" s="48"/>
      <c r="F2" s="48"/>
      <c r="G2" s="48"/>
      <c r="H2" s="48"/>
      <c r="I2" s="48"/>
      <c r="J2" s="48"/>
      <c r="K2" s="48"/>
      <c r="L2" s="48"/>
      <c r="M2" s="48"/>
      <c r="N2" s="48"/>
      <c r="O2" s="48"/>
      <c r="P2" s="48"/>
      <c r="Q2" s="48"/>
      <c r="R2" s="48"/>
      <c r="S2" s="48"/>
      <c r="T2" s="48"/>
      <c r="U2" s="48"/>
      <c r="V2" s="48"/>
      <c r="W2" s="48"/>
      <c r="X2" s="48"/>
      <c r="Y2" s="48"/>
      <c r="Z2" s="48"/>
      <c r="AA2" s="48"/>
      <c r="AB2" s="48"/>
      <c r="AC2" s="48"/>
      <c r="AD2" s="48"/>
      <c r="AE2" s="48"/>
      <c r="AF2" s="48"/>
      <c r="AG2" s="48"/>
      <c r="AH2" s="1"/>
      <c r="AI2" s="48"/>
      <c r="AJ2" s="48"/>
      <c r="AK2" s="48"/>
      <c r="AL2" s="48"/>
      <c r="AM2" s="48"/>
      <c r="AN2" s="48"/>
      <c r="AO2" s="48"/>
      <c r="AP2" s="48"/>
      <c r="AQ2" s="48"/>
      <c r="AR2" s="48"/>
      <c r="AS2" s="48"/>
      <c r="AT2" s="48"/>
      <c r="AU2" s="1"/>
      <c r="AV2" s="48"/>
      <c r="AW2" s="48"/>
      <c r="AX2" s="48"/>
      <c r="AY2" s="48"/>
      <c r="AZ2" s="48"/>
      <c r="BA2" s="48"/>
      <c r="BB2" s="48"/>
      <c r="BC2" s="48"/>
      <c r="BD2" s="48"/>
      <c r="BE2" s="48"/>
      <c r="BF2" s="48"/>
      <c r="BG2" s="48"/>
      <c r="BH2" s="48"/>
      <c r="BI2" s="48"/>
      <c r="BJ2" s="48"/>
      <c r="BK2" s="48"/>
      <c r="BL2" s="48"/>
      <c r="BM2" s="48"/>
      <c r="BN2" s="48"/>
      <c r="BO2" s="48"/>
      <c r="BP2" s="48"/>
      <c r="BQ2" s="48"/>
      <c r="BR2" s="48"/>
      <c r="BS2" s="48"/>
      <c r="BT2" s="48"/>
      <c r="BU2" s="48"/>
      <c r="BV2" s="48"/>
      <c r="BW2" s="48"/>
      <c r="BX2" s="48"/>
      <c r="BY2" s="48"/>
      <c r="BZ2" s="48"/>
      <c r="CA2" s="48"/>
      <c r="CB2" s="48"/>
      <c r="CC2" s="48"/>
      <c r="CD2" s="48"/>
      <c r="CE2" s="48"/>
      <c r="CF2" s="48"/>
      <c r="CG2" s="48"/>
      <c r="CH2" s="48"/>
      <c r="CI2" s="48"/>
      <c r="CJ2" s="48"/>
      <c r="CK2" s="48"/>
      <c r="CL2" s="48"/>
      <c r="CM2" s="48"/>
      <c r="CN2" s="48"/>
      <c r="CO2" s="48"/>
      <c r="CP2" s="48"/>
      <c r="CQ2" s="48"/>
      <c r="CR2" s="48"/>
      <c r="CS2" s="48"/>
      <c r="CT2" s="48"/>
      <c r="CU2" s="48"/>
      <c r="CV2" s="48"/>
      <c r="CW2" s="48"/>
      <c r="CX2" s="48"/>
      <c r="CY2" s="48"/>
      <c r="CZ2" s="48"/>
      <c r="DA2" s="48"/>
      <c r="DB2" s="48"/>
      <c r="DC2" s="48"/>
      <c r="DD2" s="48"/>
      <c r="DE2"/>
      <c r="DF2" s="48"/>
      <c r="DG2" s="48"/>
      <c r="DH2" s="48"/>
      <c r="DI2" s="48"/>
    </row>
    <row r="3" spans="1:114" x14ac:dyDescent="0.2">
      <c r="B3" s="48"/>
      <c r="C3" s="144"/>
      <c r="D3" s="48"/>
      <c r="E3" s="48"/>
      <c r="F3" s="48"/>
      <c r="G3" s="48"/>
      <c r="H3" s="48"/>
      <c r="I3" s="48"/>
      <c r="J3" s="48"/>
      <c r="K3" s="48"/>
      <c r="L3" s="48"/>
      <c r="M3" s="48"/>
      <c r="N3" s="48"/>
      <c r="O3" s="48"/>
      <c r="P3" s="48"/>
      <c r="Q3" s="48"/>
      <c r="R3" s="48"/>
      <c r="S3" s="48"/>
      <c r="T3" s="48"/>
      <c r="U3" s="48"/>
      <c r="V3" s="48"/>
      <c r="W3" s="48"/>
      <c r="X3" s="48"/>
      <c r="Y3" s="48"/>
      <c r="Z3" s="48"/>
      <c r="AA3" s="48"/>
      <c r="AB3" s="48"/>
      <c r="AC3" s="48"/>
      <c r="AD3" s="48"/>
      <c r="AE3" s="48"/>
      <c r="AF3" s="48"/>
      <c r="AG3" s="48"/>
      <c r="AH3" s="1"/>
      <c r="AI3" s="48"/>
      <c r="AJ3" s="48"/>
      <c r="AK3" s="48"/>
      <c r="AL3" s="48"/>
      <c r="AM3" s="48"/>
      <c r="AN3" s="48"/>
      <c r="AO3" s="48"/>
      <c r="AP3" s="48"/>
      <c r="AQ3" s="48"/>
      <c r="AR3" s="48"/>
      <c r="AS3" s="48"/>
      <c r="AT3" s="48"/>
      <c r="AU3" s="1"/>
      <c r="AV3" s="48"/>
      <c r="AW3" s="48"/>
      <c r="AX3" s="48"/>
      <c r="AY3" s="48"/>
      <c r="AZ3" s="48"/>
      <c r="BA3" s="48"/>
      <c r="BB3" s="48"/>
      <c r="BC3" s="48"/>
      <c r="BD3" s="48"/>
      <c r="BE3" s="48"/>
      <c r="BF3" s="48"/>
      <c r="BG3" s="48"/>
      <c r="BH3" s="48"/>
      <c r="BI3" s="48"/>
      <c r="BJ3" s="48"/>
      <c r="BK3" s="48"/>
      <c r="BL3" s="48"/>
      <c r="BM3" s="48"/>
      <c r="BN3" s="48"/>
      <c r="BO3" s="48"/>
      <c r="BP3" s="48"/>
      <c r="BQ3" s="48"/>
      <c r="BR3" s="48"/>
      <c r="BS3" s="48"/>
      <c r="BT3" s="48"/>
      <c r="BU3" s="48"/>
      <c r="BV3" s="48"/>
      <c r="BW3" s="48"/>
      <c r="BX3" s="48"/>
      <c r="BY3" s="48"/>
      <c r="BZ3" s="48"/>
      <c r="CA3" s="48"/>
      <c r="CB3" s="48"/>
      <c r="CC3" s="48"/>
      <c r="CD3" s="48"/>
      <c r="CE3" s="48"/>
      <c r="CF3" s="48"/>
      <c r="CG3" s="48"/>
      <c r="CH3" s="48"/>
      <c r="CI3" s="48"/>
      <c r="CJ3" s="48"/>
      <c r="CK3" s="48"/>
      <c r="CL3" s="48"/>
      <c r="CM3" s="48"/>
      <c r="CN3" s="48"/>
      <c r="CO3" s="48"/>
      <c r="CP3" s="48"/>
      <c r="CQ3" s="48"/>
      <c r="CR3" s="48"/>
      <c r="CS3" s="48"/>
      <c r="CT3" s="48"/>
      <c r="CU3" s="48"/>
      <c r="CV3" s="48"/>
      <c r="CW3" s="48"/>
      <c r="CX3" s="48"/>
      <c r="CY3" s="48"/>
      <c r="CZ3" s="48"/>
      <c r="DA3" s="48"/>
      <c r="DB3" s="48"/>
      <c r="DC3" s="48"/>
      <c r="DD3" s="48"/>
      <c r="DE3"/>
      <c r="DF3" s="48"/>
      <c r="DG3" s="48"/>
      <c r="DH3" s="48"/>
      <c r="DI3" s="48"/>
    </row>
    <row r="4" spans="1:114" x14ac:dyDescent="0.2">
      <c r="A4" s="136"/>
      <c r="B4" s="48"/>
      <c r="C4" s="144"/>
      <c r="D4" s="48"/>
      <c r="E4" s="48"/>
      <c r="F4" s="133">
        <v>77</v>
      </c>
      <c r="G4" s="131"/>
      <c r="H4" s="131"/>
      <c r="I4" s="131"/>
      <c r="J4" s="131"/>
      <c r="K4" s="133">
        <v>78</v>
      </c>
      <c r="L4" s="131"/>
      <c r="M4" s="131"/>
      <c r="N4" s="131"/>
      <c r="O4" s="131"/>
      <c r="P4" s="133" t="s">
        <v>1355</v>
      </c>
      <c r="Q4" s="131"/>
      <c r="R4" s="131"/>
      <c r="S4" s="131"/>
      <c r="T4" s="131"/>
      <c r="U4" s="131"/>
      <c r="V4" s="131"/>
      <c r="W4" s="131"/>
      <c r="X4" s="131"/>
      <c r="Y4" s="131"/>
      <c r="Z4" s="131"/>
      <c r="AA4" s="131"/>
      <c r="AB4" s="133">
        <v>81</v>
      </c>
      <c r="AC4" s="131"/>
      <c r="AD4" s="131"/>
      <c r="AE4" s="131"/>
      <c r="AF4" s="133"/>
      <c r="AG4" s="133" t="s">
        <v>1356</v>
      </c>
      <c r="AH4" s="132"/>
      <c r="AI4" s="131"/>
      <c r="AJ4" s="131"/>
      <c r="AK4" s="131"/>
      <c r="AL4" s="131"/>
      <c r="AM4" s="131"/>
      <c r="AN4" s="131"/>
      <c r="AO4" s="131"/>
      <c r="AP4" s="131"/>
      <c r="AQ4" s="131"/>
      <c r="AR4" s="131"/>
      <c r="AS4" s="133"/>
      <c r="AT4" s="133" t="s">
        <v>1357</v>
      </c>
      <c r="AU4" s="132"/>
      <c r="AV4" s="131"/>
      <c r="AW4" s="131"/>
      <c r="AX4" s="131"/>
      <c r="AY4" s="131"/>
      <c r="AZ4" s="131"/>
      <c r="BA4" s="131"/>
      <c r="BB4" s="131"/>
      <c r="BC4" s="131"/>
      <c r="BD4" s="131"/>
      <c r="BE4" s="131"/>
      <c r="BF4" s="133">
        <v>98</v>
      </c>
      <c r="BG4" s="131"/>
      <c r="BH4" s="131"/>
      <c r="BI4" s="131"/>
      <c r="BJ4" s="131"/>
      <c r="BK4" s="133">
        <v>99</v>
      </c>
      <c r="BL4" s="131"/>
      <c r="BM4" s="131"/>
      <c r="BN4" s="131"/>
      <c r="BO4" s="131"/>
      <c r="BP4" s="133">
        <v>100</v>
      </c>
      <c r="BQ4" s="131"/>
      <c r="BR4" s="131"/>
      <c r="BS4" s="131"/>
      <c r="BT4" s="131"/>
      <c r="BU4" s="131"/>
      <c r="BV4" s="133">
        <v>101</v>
      </c>
      <c r="BW4" s="131"/>
      <c r="BX4" s="131"/>
      <c r="BY4" s="131"/>
      <c r="BZ4" s="131"/>
      <c r="CA4" s="131"/>
      <c r="CB4" s="131"/>
      <c r="CC4" s="133">
        <v>102</v>
      </c>
      <c r="CD4" s="131"/>
      <c r="CE4" s="131"/>
      <c r="CF4" s="131"/>
      <c r="CG4" s="131"/>
      <c r="CH4" s="133">
        <v>103</v>
      </c>
      <c r="CI4" s="131"/>
      <c r="CJ4" s="131"/>
      <c r="CK4" s="131"/>
      <c r="CL4" s="131"/>
      <c r="CM4" s="133">
        <v>104</v>
      </c>
      <c r="CN4" s="131"/>
      <c r="CO4" s="131"/>
      <c r="CP4" s="131"/>
      <c r="CQ4" s="131"/>
      <c r="CR4" s="131"/>
      <c r="CS4" s="131"/>
      <c r="CT4" s="133">
        <v>105</v>
      </c>
      <c r="CU4" s="131"/>
      <c r="CV4" s="131"/>
      <c r="CW4" s="131"/>
      <c r="CX4" s="131"/>
      <c r="CY4" s="133">
        <v>106</v>
      </c>
      <c r="CZ4" s="131"/>
      <c r="DA4" s="131"/>
      <c r="DB4" s="131"/>
      <c r="DC4" s="131"/>
      <c r="DD4" s="131"/>
      <c r="DE4" s="131"/>
      <c r="DF4" s="131"/>
      <c r="DG4" s="133"/>
      <c r="DH4" s="131"/>
      <c r="DI4" s="131"/>
      <c r="DJ4" s="136"/>
    </row>
    <row r="5" spans="1:114" x14ac:dyDescent="0.2">
      <c r="B5" s="48"/>
      <c r="C5" s="144"/>
      <c r="D5" s="48"/>
      <c r="E5" s="48"/>
      <c r="F5" s="48"/>
      <c r="G5" s="48"/>
      <c r="H5" s="48"/>
      <c r="I5" s="48"/>
      <c r="J5" s="48"/>
      <c r="K5" s="48"/>
      <c r="L5" s="48"/>
      <c r="M5" s="48"/>
      <c r="N5" s="48"/>
      <c r="O5" s="48"/>
      <c r="P5" s="48"/>
      <c r="Q5" s="48"/>
      <c r="R5" s="48"/>
      <c r="S5" s="48"/>
      <c r="T5" s="48"/>
      <c r="U5" s="48"/>
      <c r="V5" s="48"/>
      <c r="W5" s="48"/>
      <c r="X5" s="48"/>
      <c r="Y5" s="48"/>
      <c r="Z5" s="48"/>
      <c r="AA5" s="48"/>
      <c r="AB5" s="48"/>
      <c r="AC5" s="48"/>
      <c r="AD5" s="48"/>
      <c r="AE5" s="48"/>
      <c r="AF5" s="48"/>
      <c r="AG5" s="48"/>
      <c r="AH5" s="1"/>
      <c r="AI5" s="48"/>
      <c r="AJ5" s="48"/>
      <c r="AK5" s="48"/>
      <c r="AL5" s="48"/>
      <c r="AM5" s="48"/>
      <c r="AN5" s="48"/>
      <c r="AO5" s="48"/>
      <c r="AP5" s="48"/>
      <c r="AQ5" s="48"/>
      <c r="AR5" s="48"/>
      <c r="AS5" s="48"/>
      <c r="AT5" s="48"/>
      <c r="AU5" s="1"/>
      <c r="AV5" s="48"/>
      <c r="AW5" s="48"/>
      <c r="AX5" s="48"/>
      <c r="AY5" s="48"/>
      <c r="AZ5" s="48"/>
      <c r="BA5" s="48"/>
      <c r="BB5" s="48"/>
      <c r="BC5" s="48"/>
      <c r="BD5" s="48"/>
      <c r="BE5" s="48"/>
      <c r="BF5" s="48"/>
      <c r="BG5" s="48"/>
      <c r="BH5" s="48"/>
      <c r="BI5" s="48"/>
      <c r="BJ5" s="48"/>
      <c r="BK5" s="48"/>
      <c r="BL5" s="48"/>
      <c r="BM5" s="48"/>
      <c r="BN5" s="48"/>
      <c r="BO5" s="48"/>
      <c r="BP5" s="48"/>
      <c r="BQ5" s="48"/>
      <c r="BR5" s="48"/>
      <c r="BS5" s="48"/>
      <c r="BT5" s="48"/>
      <c r="BU5" s="48"/>
      <c r="BV5" s="48"/>
      <c r="BW5" s="48"/>
      <c r="BX5" s="48"/>
      <c r="BY5" s="48"/>
      <c r="BZ5" s="48"/>
      <c r="CA5" s="48"/>
      <c r="CB5" s="48"/>
      <c r="CC5" s="48"/>
      <c r="CD5" s="48"/>
      <c r="CE5" s="48"/>
      <c r="CF5" s="48"/>
      <c r="CG5" s="48"/>
      <c r="CH5" s="48"/>
      <c r="CI5" s="48"/>
      <c r="CJ5" s="48"/>
      <c r="CK5" s="48"/>
      <c r="CL5" s="48"/>
      <c r="CM5" s="48"/>
      <c r="CN5" s="48"/>
      <c r="CO5" s="48"/>
      <c r="CP5" s="48"/>
      <c r="CQ5" s="48"/>
      <c r="CR5" s="48"/>
      <c r="CS5" s="48"/>
      <c r="CT5" s="48"/>
      <c r="CU5" s="48"/>
      <c r="CV5" s="48"/>
      <c r="CW5" s="48"/>
      <c r="CX5" s="48"/>
      <c r="CY5" s="48"/>
      <c r="CZ5" s="48"/>
      <c r="DA5" s="48"/>
      <c r="DB5" s="48"/>
      <c r="DC5" s="48"/>
      <c r="DD5" s="48"/>
      <c r="DE5"/>
      <c r="DF5" s="48"/>
      <c r="DG5" s="48"/>
      <c r="DH5" s="48"/>
      <c r="DI5" s="48"/>
    </row>
    <row r="6" spans="1:114" ht="25.5" customHeight="1" x14ac:dyDescent="0.2">
      <c r="B6" s="48"/>
      <c r="C6" s="178" t="s">
        <v>1153</v>
      </c>
      <c r="D6" s="48"/>
      <c r="E6" s="48"/>
      <c r="F6" s="137" t="str">
        <f>Tabulacao!IH2</f>
        <v>De que forma você ingressou na instituição?</v>
      </c>
      <c r="G6" s="48"/>
      <c r="H6" s="48"/>
      <c r="I6" s="48"/>
      <c r="J6" s="48"/>
      <c r="K6" s="137" t="str">
        <f>Tabulacao!IK2</f>
        <v>Você ingressou via política de cotas?</v>
      </c>
      <c r="L6" s="48"/>
      <c r="M6" s="48"/>
      <c r="N6" s="48"/>
      <c r="O6" s="48"/>
      <c r="P6" s="137" t="str">
        <f>P13</f>
        <v>Autoavaliação quanto à rotina de estudos</v>
      </c>
      <c r="Q6" s="313" t="s">
        <v>1216</v>
      </c>
      <c r="R6" s="332"/>
      <c r="S6" s="314"/>
      <c r="T6" s="48"/>
      <c r="U6" s="48"/>
      <c r="V6" s="48"/>
      <c r="W6" s="48"/>
      <c r="X6" s="48"/>
      <c r="Y6" s="48"/>
      <c r="Z6" s="48"/>
      <c r="AA6" s="48"/>
      <c r="AB6" s="137" t="str">
        <f>Tabulacao!IT2</f>
        <v>Como você descreveria sua situação no último ano da graduação?</v>
      </c>
      <c r="AC6" s="48"/>
      <c r="AD6" s="48"/>
      <c r="AE6" s="48"/>
      <c r="AF6" s="48"/>
      <c r="AG6" s="137" t="s">
        <v>1215</v>
      </c>
      <c r="AH6" s="48"/>
      <c r="AI6" s="48"/>
      <c r="AJ6" s="48"/>
      <c r="AK6" s="48"/>
      <c r="AL6" s="48"/>
      <c r="AM6" s="48"/>
      <c r="AN6" s="48"/>
      <c r="AO6" s="48"/>
      <c r="AP6" s="48"/>
      <c r="AQ6" s="48"/>
      <c r="AR6" s="48"/>
      <c r="AS6" s="48"/>
      <c r="AT6" s="137" t="s">
        <v>1037</v>
      </c>
      <c r="AU6" s="313" t="s">
        <v>1271</v>
      </c>
      <c r="AV6" s="332"/>
      <c r="AW6" s="332"/>
      <c r="AX6" s="332"/>
      <c r="AY6" s="314"/>
      <c r="AZ6" s="48"/>
      <c r="BA6" s="48"/>
      <c r="BB6" s="48"/>
      <c r="BC6" s="48"/>
      <c r="BD6" s="48"/>
      <c r="BE6" s="48"/>
      <c r="BF6" s="137" t="str">
        <f>Tabulacao!KS2</f>
        <v>Olhando para trás, se pudesse escolher novamente, você escolheria o mesmo curso na mesma instituição?</v>
      </c>
      <c r="BG6" s="48"/>
      <c r="BH6" s="48"/>
      <c r="BI6" s="48"/>
      <c r="BJ6" s="48"/>
      <c r="BK6" s="137" t="str">
        <f>Tabulacao!KV2</f>
        <v>Você participou de alguma atividade relacionada à PESQUISA durante a graduação?</v>
      </c>
      <c r="BL6" s="48"/>
      <c r="BM6" s="48"/>
      <c r="BN6" s="48"/>
      <c r="BO6" s="48"/>
      <c r="BP6" s="137" t="str">
        <f>Tabulacao!KY2</f>
        <v>De qual (is) atividade (s) de PESQUISA você participou?</v>
      </c>
      <c r="BQ6" s="48"/>
      <c r="BR6" s="48"/>
      <c r="BS6" s="48"/>
      <c r="BT6" s="48"/>
      <c r="BU6" s="48"/>
      <c r="BV6" s="137" t="str">
        <f>Tabulacao!LB2</f>
        <v>Qual o grau de relevância dessas atividades de PESQUISA durante a graduação para sua atuação profissional atualmente?</v>
      </c>
      <c r="BW6" s="334" t="s">
        <v>1272</v>
      </c>
      <c r="BX6" s="335"/>
      <c r="BY6" s="336"/>
      <c r="BZ6" s="48"/>
      <c r="CA6" s="48"/>
      <c r="CB6" s="48"/>
      <c r="CC6" s="137" t="str">
        <f>Tabulacao!LE2</f>
        <v>Você participou de alguma atividade relacionada à EXTENSÃO durante a graduação?</v>
      </c>
      <c r="CD6" s="48"/>
      <c r="CE6" s="48"/>
      <c r="CF6" s="48"/>
      <c r="CG6" s="48"/>
      <c r="CH6" s="137" t="str">
        <f>Tabulacao!LH2</f>
        <v>De qual (is) atividade (s) de EXTENSÃO você participou?</v>
      </c>
      <c r="CI6" s="48"/>
      <c r="CJ6" s="48"/>
      <c r="CK6" s="48"/>
      <c r="CL6" s="48"/>
      <c r="CM6" s="137" t="str">
        <f>Tabulacao!LK2</f>
        <v>Qual o grau de relevância dessas atividades de EXTENSÃO durante a graduação para sua atuação profissional atualmente?</v>
      </c>
      <c r="CN6" s="334" t="s">
        <v>1272</v>
      </c>
      <c r="CO6" s="335"/>
      <c r="CP6" s="336"/>
      <c r="CQ6" s="48"/>
      <c r="CR6" s="48"/>
      <c r="CS6" s="48"/>
      <c r="CT6" s="137" t="str">
        <f>Tabulacao!LN2</f>
        <v>Você recebeu recursos de Assistência Estudantil durante a graduação?</v>
      </c>
      <c r="CU6" s="48"/>
      <c r="CV6" s="48"/>
      <c r="CW6" s="48"/>
      <c r="CX6" s="48"/>
      <c r="CY6" s="137" t="str">
        <f>Tabulacao!LQ2</f>
        <v>O quanto esses recursos assistenciais foram importantes para que você conseguisse concluir a graduação no IFS?</v>
      </c>
      <c r="CZ6" s="334" t="s">
        <v>1358</v>
      </c>
      <c r="DA6" s="335"/>
      <c r="DB6" s="336"/>
      <c r="DC6" s="48"/>
      <c r="DD6" s="48"/>
      <c r="DE6"/>
      <c r="DF6" s="48"/>
      <c r="DG6" s="137" t="s">
        <v>1359</v>
      </c>
      <c r="DH6" s="48"/>
      <c r="DI6" s="48"/>
    </row>
    <row r="7" spans="1:114" ht="12.75" customHeight="1" x14ac:dyDescent="0.2">
      <c r="B7" s="48"/>
      <c r="C7" s="322" t="s">
        <v>1257</v>
      </c>
      <c r="D7" s="48"/>
      <c r="E7" s="48"/>
      <c r="F7" s="48"/>
      <c r="G7" s="48"/>
      <c r="H7" s="48"/>
      <c r="I7" s="48"/>
      <c r="J7" s="48"/>
      <c r="K7" s="48"/>
      <c r="L7" s="48"/>
      <c r="M7" s="48"/>
      <c r="N7" s="48"/>
      <c r="O7" s="48"/>
      <c r="P7" s="48"/>
      <c r="Q7" s="48"/>
      <c r="R7" s="48"/>
      <c r="S7" s="48"/>
      <c r="T7" s="48"/>
      <c r="U7" s="48"/>
      <c r="V7" s="48"/>
      <c r="W7" s="48"/>
      <c r="X7" s="48"/>
      <c r="Y7" s="48"/>
      <c r="Z7" s="48"/>
      <c r="AA7" s="48"/>
      <c r="AB7" s="48"/>
      <c r="AC7" s="48"/>
      <c r="AD7" s="48"/>
      <c r="AE7" s="48"/>
      <c r="AF7" s="48"/>
      <c r="AG7" s="48"/>
      <c r="AH7" s="337" t="s">
        <v>1270</v>
      </c>
      <c r="AI7" s="337"/>
      <c r="AJ7" s="337"/>
      <c r="AK7" s="337"/>
      <c r="AL7" s="337"/>
      <c r="AM7" s="48"/>
      <c r="AN7" s="48"/>
      <c r="AO7" s="48"/>
      <c r="AP7" s="48"/>
      <c r="AQ7" s="48"/>
      <c r="AR7" s="48"/>
      <c r="AS7" s="48"/>
      <c r="AT7" s="48"/>
      <c r="AU7" s="1"/>
      <c r="AV7" s="48"/>
      <c r="AW7" s="48"/>
      <c r="AX7" s="48"/>
      <c r="AY7" s="48"/>
      <c r="AZ7" s="48"/>
      <c r="BA7" s="48"/>
      <c r="BB7" s="48"/>
      <c r="BC7" s="48"/>
      <c r="BD7" s="48"/>
      <c r="BE7" s="48"/>
      <c r="BF7" s="48"/>
      <c r="BG7" s="48"/>
      <c r="BH7" s="48"/>
      <c r="BI7" s="48"/>
      <c r="BJ7" s="48"/>
      <c r="BK7" s="48"/>
      <c r="BL7" s="48"/>
      <c r="BM7" s="48"/>
      <c r="BN7" s="48"/>
      <c r="BO7" s="48"/>
      <c r="BP7" s="48"/>
      <c r="BQ7" s="48"/>
      <c r="BR7" s="48"/>
      <c r="BS7" s="48"/>
      <c r="BT7" s="48"/>
      <c r="BU7" s="48"/>
      <c r="BV7" s="48"/>
      <c r="BW7" s="48"/>
      <c r="BX7" s="48"/>
      <c r="BY7" s="48"/>
      <c r="BZ7" s="48"/>
      <c r="CA7" s="48"/>
      <c r="CB7" s="48"/>
      <c r="CC7" s="48"/>
      <c r="CD7" s="48"/>
      <c r="CE7" s="48"/>
      <c r="CF7" s="48"/>
      <c r="CG7" s="48"/>
      <c r="CH7" s="48"/>
      <c r="CI7" s="48"/>
      <c r="CJ7" s="48"/>
      <c r="CK7" s="48"/>
      <c r="CL7" s="48"/>
      <c r="CM7" s="48"/>
      <c r="CN7" s="48"/>
      <c r="CO7" s="48"/>
      <c r="CP7" s="48"/>
      <c r="CQ7" s="48"/>
      <c r="CR7" s="48"/>
      <c r="CS7" s="48"/>
      <c r="CT7" s="48"/>
      <c r="CU7" s="48"/>
      <c r="CV7" s="48"/>
      <c r="CW7" s="48"/>
      <c r="CX7" s="48"/>
      <c r="CY7" s="48"/>
      <c r="CZ7" s="48"/>
      <c r="DA7" s="48"/>
      <c r="DB7" s="48"/>
      <c r="DC7" s="48"/>
      <c r="DD7" s="48"/>
      <c r="DE7"/>
      <c r="DF7" s="48"/>
      <c r="DG7" s="48"/>
      <c r="DH7" s="48"/>
      <c r="DI7" s="48"/>
    </row>
    <row r="8" spans="1:114" ht="25.5" x14ac:dyDescent="0.2">
      <c r="B8" s="48"/>
      <c r="C8" s="323"/>
      <c r="D8" s="48"/>
      <c r="E8" s="48"/>
      <c r="F8" s="167" t="s">
        <v>1032</v>
      </c>
      <c r="G8" s="138" t="s">
        <v>131</v>
      </c>
      <c r="H8" s="138" t="s">
        <v>132</v>
      </c>
      <c r="I8" s="48"/>
      <c r="J8" s="48"/>
      <c r="K8" s="167" t="s">
        <v>1033</v>
      </c>
      <c r="L8" s="138" t="s">
        <v>131</v>
      </c>
      <c r="M8" s="138" t="s">
        <v>132</v>
      </c>
      <c r="N8" s="48"/>
      <c r="O8" s="138" t="s">
        <v>998</v>
      </c>
      <c r="P8" s="167" t="s">
        <v>1034</v>
      </c>
      <c r="Q8" s="138">
        <v>1</v>
      </c>
      <c r="R8" s="138">
        <v>2</v>
      </c>
      <c r="S8" s="138">
        <v>3</v>
      </c>
      <c r="T8" s="138">
        <v>4</v>
      </c>
      <c r="U8" s="138">
        <v>5</v>
      </c>
      <c r="V8" s="138" t="s">
        <v>621</v>
      </c>
      <c r="W8" s="138" t="s">
        <v>160</v>
      </c>
      <c r="X8" s="138" t="s">
        <v>161</v>
      </c>
      <c r="Y8" s="138" t="s">
        <v>162</v>
      </c>
      <c r="Z8" s="138" t="s">
        <v>995</v>
      </c>
      <c r="AA8" s="48"/>
      <c r="AB8" s="167" t="s">
        <v>1035</v>
      </c>
      <c r="AC8" s="138" t="s">
        <v>131</v>
      </c>
      <c r="AD8" s="138" t="s">
        <v>132</v>
      </c>
      <c r="AE8" s="48"/>
      <c r="AF8" s="138" t="s">
        <v>998</v>
      </c>
      <c r="AG8" s="167" t="s">
        <v>1036</v>
      </c>
      <c r="AH8" s="138">
        <v>1</v>
      </c>
      <c r="AI8" s="138">
        <v>2</v>
      </c>
      <c r="AJ8" s="138">
        <v>3</v>
      </c>
      <c r="AK8" s="138">
        <v>4</v>
      </c>
      <c r="AL8" s="138">
        <v>5</v>
      </c>
      <c r="AM8" s="138" t="s">
        <v>621</v>
      </c>
      <c r="AN8" s="138" t="s">
        <v>160</v>
      </c>
      <c r="AO8" s="138" t="s">
        <v>161</v>
      </c>
      <c r="AP8" s="138" t="s">
        <v>162</v>
      </c>
      <c r="AQ8" s="138" t="s">
        <v>995</v>
      </c>
      <c r="AR8" s="48"/>
      <c r="AS8" s="138" t="s">
        <v>998</v>
      </c>
      <c r="AT8" s="167" t="s">
        <v>1085</v>
      </c>
      <c r="AU8" s="138">
        <v>1</v>
      </c>
      <c r="AV8" s="138">
        <v>2</v>
      </c>
      <c r="AW8" s="138">
        <v>3</v>
      </c>
      <c r="AX8" s="138">
        <v>4</v>
      </c>
      <c r="AY8" s="138">
        <v>5</v>
      </c>
      <c r="AZ8" s="138" t="s">
        <v>621</v>
      </c>
      <c r="BA8" s="138" t="s">
        <v>160</v>
      </c>
      <c r="BB8" s="138" t="s">
        <v>161</v>
      </c>
      <c r="BC8" s="138" t="s">
        <v>162</v>
      </c>
      <c r="BD8" s="138" t="s">
        <v>995</v>
      </c>
      <c r="BE8" s="48"/>
      <c r="BF8" s="167" t="str">
        <f>BF6</f>
        <v>Olhando para trás, se pudesse escolher novamente, você escolheria o mesmo curso na mesma instituição?</v>
      </c>
      <c r="BG8" s="138" t="s">
        <v>131</v>
      </c>
      <c r="BH8" s="138" t="s">
        <v>132</v>
      </c>
      <c r="BI8" s="48"/>
      <c r="BJ8" s="48"/>
      <c r="BK8" s="167" t="s">
        <v>1038</v>
      </c>
      <c r="BL8" s="138" t="s">
        <v>131</v>
      </c>
      <c r="BM8" s="138" t="s">
        <v>132</v>
      </c>
      <c r="BN8" s="48"/>
      <c r="BO8" s="48"/>
      <c r="BP8" s="167" t="s">
        <v>1038</v>
      </c>
      <c r="BQ8" s="138" t="s">
        <v>131</v>
      </c>
      <c r="BR8" s="138" t="s">
        <v>132</v>
      </c>
      <c r="BS8" s="48"/>
      <c r="BT8" s="48"/>
      <c r="BU8" s="48"/>
      <c r="BV8" s="167" t="s">
        <v>1044</v>
      </c>
      <c r="BW8" s="138" t="s">
        <v>131</v>
      </c>
      <c r="BX8" s="138" t="s">
        <v>132</v>
      </c>
      <c r="BY8" s="48"/>
      <c r="BZ8" s="48"/>
      <c r="CA8" s="48"/>
      <c r="CB8" s="48"/>
      <c r="CC8" s="167" t="s">
        <v>1045</v>
      </c>
      <c r="CD8" s="138" t="s">
        <v>131</v>
      </c>
      <c r="CE8" s="138" t="s">
        <v>132</v>
      </c>
      <c r="CF8" s="48"/>
      <c r="CG8" s="48"/>
      <c r="CH8" s="167" t="s">
        <v>1045</v>
      </c>
      <c r="CI8" s="138" t="s">
        <v>131</v>
      </c>
      <c r="CJ8" s="138" t="s">
        <v>132</v>
      </c>
      <c r="CK8" s="48"/>
      <c r="CL8" s="48"/>
      <c r="CM8" s="167" t="s">
        <v>1052</v>
      </c>
      <c r="CN8" s="138" t="s">
        <v>131</v>
      </c>
      <c r="CO8" s="138" t="s">
        <v>132</v>
      </c>
      <c r="CP8" s="48"/>
      <c r="CQ8" s="48"/>
      <c r="CR8" s="48"/>
      <c r="CS8" s="48"/>
      <c r="CT8" s="167" t="s">
        <v>1053</v>
      </c>
      <c r="CU8" s="138" t="s">
        <v>131</v>
      </c>
      <c r="CV8" s="138" t="s">
        <v>132</v>
      </c>
      <c r="CW8" s="48"/>
      <c r="CX8" s="48"/>
      <c r="CY8" s="167" t="s">
        <v>1054</v>
      </c>
      <c r="CZ8" s="138" t="s">
        <v>131</v>
      </c>
      <c r="DA8" s="138" t="s">
        <v>132</v>
      </c>
      <c r="DB8" s="48"/>
      <c r="DC8" s="48"/>
      <c r="DD8" s="48"/>
      <c r="DE8"/>
      <c r="DF8" s="48"/>
      <c r="DG8" s="167" t="s">
        <v>932</v>
      </c>
      <c r="DH8" s="138" t="s">
        <v>131</v>
      </c>
      <c r="DI8" s="48"/>
    </row>
    <row r="9" spans="1:114" x14ac:dyDescent="0.2">
      <c r="B9" s="48"/>
      <c r="C9" s="323"/>
      <c r="D9" s="48"/>
      <c r="E9" s="48"/>
      <c r="F9" s="60" t="str">
        <f>Tabulacao!IH4</f>
        <v>SISU</v>
      </c>
      <c r="G9" s="52">
        <f>Tabulacao!II4</f>
        <v>76</v>
      </c>
      <c r="H9" s="53">
        <f>Tabulacao!IJ4</f>
        <v>0.28044280442804426</v>
      </c>
      <c r="I9" s="48"/>
      <c r="J9" s="48"/>
      <c r="K9" s="60" t="str">
        <f>Tabulacao!IK4</f>
        <v>Não</v>
      </c>
      <c r="L9" s="52">
        <f>Tabulacao!IL4</f>
        <v>217</v>
      </c>
      <c r="M9" s="53">
        <f>Tabulacao!IM4</f>
        <v>0.80669144981412644</v>
      </c>
      <c r="N9" s="48"/>
      <c r="O9" s="82">
        <v>82</v>
      </c>
      <c r="P9" s="61" t="s">
        <v>66</v>
      </c>
      <c r="Q9" s="213">
        <f>IFERROR(VLOOKUP(Q$13,Tabulacao!$IN$2:$IP$15,2,0),"-")</f>
        <v>54</v>
      </c>
      <c r="R9" s="213">
        <f>IFERROR(VLOOKUP(R$13,Tabulacao!$IN$2:$IP$15,2,0),"-")</f>
        <v>58</v>
      </c>
      <c r="S9" s="213">
        <f>IFERROR(VLOOKUP(S$13,Tabulacao!$IN$2:$IP$15,2,0),"-")</f>
        <v>68</v>
      </c>
      <c r="T9" s="213">
        <f>IFERROR(VLOOKUP(T$13,Tabulacao!$IN$2:$IP$15,2,0),"-")</f>
        <v>53</v>
      </c>
      <c r="U9" s="213">
        <f>IFERROR(VLOOKUP(U$13,Tabulacao!$IN$2:$IP$15,2,0),"-")</f>
        <v>38</v>
      </c>
      <c r="V9" s="213">
        <f>SUM(Q9:U9)</f>
        <v>271</v>
      </c>
      <c r="W9" s="78">
        <f>IFERROR(VLOOKUP(W$13,Tabulacao!$IN$2:$IP$15,2,0),"-")</f>
        <v>2.8634686346863467</v>
      </c>
      <c r="X9" s="79">
        <f>IFERROR(VLOOKUP(X$13,Tabulacao!$IN$2:$IP$15,2,0),"-")</f>
        <v>3</v>
      </c>
      <c r="Y9" s="79">
        <f>IFERROR(VLOOKUP(Y$13,Tabulacao!$IN$2:$IP$15,2,0),"-")</f>
        <v>3</v>
      </c>
      <c r="Z9" s="80">
        <f>IFERROR(VLOOKUP(Z$13,Tabulacao!$IN$2:$IP$15,2,0),"-")</f>
        <v>0.46269114767513059</v>
      </c>
      <c r="AA9" s="48"/>
      <c r="AB9" s="60" t="str">
        <f>Tabulacao!IT4</f>
        <v>Estudar era minha principal atividade</v>
      </c>
      <c r="AC9" s="52">
        <f>Tabulacao!IU4</f>
        <v>174</v>
      </c>
      <c r="AD9" s="53">
        <f>Tabulacao!IV4</f>
        <v>0.64206642066420661</v>
      </c>
      <c r="AE9" s="48"/>
      <c r="AF9" s="82">
        <v>82</v>
      </c>
      <c r="AG9" s="65" t="s">
        <v>69</v>
      </c>
      <c r="AH9" s="213">
        <f>IFERROR(VLOOKUP(AH$8,Tabulacao!$IW$2:$IY$15,2,0),"-")</f>
        <v>15</v>
      </c>
      <c r="AI9" s="213">
        <f>IFERROR(VLOOKUP(AI$8,Tabulacao!$IW$2:$IY$15,2,0),"-")</f>
        <v>50</v>
      </c>
      <c r="AJ9" s="213">
        <f>IFERROR(VLOOKUP(AJ$8,Tabulacao!$IW$2:$IY$15,2,0),"-")</f>
        <v>99</v>
      </c>
      <c r="AK9" s="213">
        <f>IFERROR(VLOOKUP(AK$8,Tabulacao!$IW$2:$IY$15,2,0),"-")</f>
        <v>67</v>
      </c>
      <c r="AL9" s="213">
        <f>IFERROR(VLOOKUP(AL$8,Tabulacao!$IW$2:$IY$15,2,0),"-")</f>
        <v>40</v>
      </c>
      <c r="AM9" s="228">
        <f>SUM(AH9:AL9)</f>
        <v>271</v>
      </c>
      <c r="AN9" s="78">
        <f>IFERROR(VLOOKUP(AN$22,Tabulacao!$IW$2:$IY$15,2,0),"-")</f>
        <v>3.2472324723247232</v>
      </c>
      <c r="AO9" s="79">
        <f>IFERROR(VLOOKUP(AO$22,Tabulacao!$IW$2:$IY$15,2,0),"-")</f>
        <v>3</v>
      </c>
      <c r="AP9" s="79">
        <f>IFERROR(VLOOKUP(AP$22,Tabulacao!$IW$2:$IY$15,2,0),"-")</f>
        <v>3</v>
      </c>
      <c r="AQ9" s="80">
        <f>IFERROR(VLOOKUP(AQ$22,Tabulacao!$IW$2:$IY$15,2,0),"-")</f>
        <v>0.33548646032245139</v>
      </c>
      <c r="AR9" s="48"/>
      <c r="AS9" s="82">
        <v>93</v>
      </c>
      <c r="AT9" s="65" t="s">
        <v>80</v>
      </c>
      <c r="AU9" s="129">
        <f>IFERROR(VLOOKUP(AU$8,Tabulacao!$KD$2:$KF$15,2,0),"-")</f>
        <v>19</v>
      </c>
      <c r="AV9" s="129">
        <f>IFERROR(VLOOKUP(AV$8,Tabulacao!$KD$2:$KF$15,2,0),"-")</f>
        <v>17</v>
      </c>
      <c r="AW9" s="129">
        <f>IFERROR(VLOOKUP(AW$8,Tabulacao!$KD$2:$KF$15,2,0),"-")</f>
        <v>58</v>
      </c>
      <c r="AX9" s="129">
        <f>IFERROR(VLOOKUP(AX$8,Tabulacao!$KD$2:$KF$15,2,0),"-")</f>
        <v>88</v>
      </c>
      <c r="AY9" s="129">
        <f>IFERROR(VLOOKUP(AY$8,Tabulacao!$KD$2:$KF$15,2,0),"-")</f>
        <v>89</v>
      </c>
      <c r="AZ9" s="230">
        <f>SUM(AU9:AY9)</f>
        <v>271</v>
      </c>
      <c r="BA9" s="78">
        <f>IFERROR(VLOOKUP(BA$16,Tabulacao!$KD$2:$KF$15,2,0),"-")</f>
        <v>3.7785977859778597</v>
      </c>
      <c r="BB9" s="79">
        <f>IFERROR(VLOOKUP(BB$16,Tabulacao!$KD$2:$KF$15,2,0),"-")</f>
        <v>5</v>
      </c>
      <c r="BC9" s="79">
        <f>IFERROR(VLOOKUP(BC$16,Tabulacao!$KD$2:$KF$15,2,0),"-")</f>
        <v>4</v>
      </c>
      <c r="BD9" s="80">
        <f>IFERROR(VLOOKUP(BD$16,Tabulacao!$KD$2:$KF$15,2,0),"-")</f>
        <v>0.31093985597309681</v>
      </c>
      <c r="BE9" s="48"/>
      <c r="BF9" s="60" t="str">
        <f>Tabulacao!KS4</f>
        <v>Sim</v>
      </c>
      <c r="BG9" s="52">
        <f>Tabulacao!KT4</f>
        <v>165</v>
      </c>
      <c r="BH9" s="53">
        <f>Tabulacao!KU4</f>
        <v>0.60885608856088558</v>
      </c>
      <c r="BI9" s="48"/>
      <c r="BJ9" s="48"/>
      <c r="BK9" s="60" t="str">
        <f>Tabulacao!KV4</f>
        <v>Sim</v>
      </c>
      <c r="BL9" s="52">
        <f>Tabulacao!KW4</f>
        <v>186</v>
      </c>
      <c r="BM9" s="53">
        <f>Tabulacao!KX4</f>
        <v>0.68634686346863472</v>
      </c>
      <c r="BN9" s="48"/>
      <c r="BO9" s="48"/>
      <c r="BP9" s="60" t="str">
        <f>Tabulacao!KY4</f>
        <v>Grupos de pesquisa</v>
      </c>
      <c r="BQ9" s="52">
        <f>Tabulacao!KZ4</f>
        <v>79</v>
      </c>
      <c r="BR9" s="53">
        <f>Tabulacao!LA4</f>
        <v>0.42473118279569894</v>
      </c>
      <c r="BS9" s="48"/>
      <c r="BT9" s="48"/>
      <c r="BU9" s="48"/>
      <c r="BV9" s="60">
        <f>Tabulacao!LB4</f>
        <v>1</v>
      </c>
      <c r="BW9" s="52">
        <f>Tabulacao!LC4</f>
        <v>20</v>
      </c>
      <c r="BX9" s="53">
        <f>Tabulacao!LD4</f>
        <v>0.10752688172043011</v>
      </c>
      <c r="BY9" s="48"/>
      <c r="BZ9" s="48"/>
      <c r="CA9" s="48"/>
      <c r="CB9" s="48"/>
      <c r="CC9" s="60" t="str">
        <f>Tabulacao!LE4</f>
        <v>Sim</v>
      </c>
      <c r="CD9" s="52">
        <f>Tabulacao!LF4</f>
        <v>141</v>
      </c>
      <c r="CE9" s="53">
        <f>Tabulacao!LG4</f>
        <v>0.52029520295202947</v>
      </c>
      <c r="CF9" s="48"/>
      <c r="CG9" s="48"/>
      <c r="CH9" s="60" t="str">
        <f>Tabulacao!LH4</f>
        <v>Monitoria</v>
      </c>
      <c r="CI9" s="52">
        <f>Tabulacao!LI4</f>
        <v>47</v>
      </c>
      <c r="CJ9" s="53">
        <f>CI9/$CI$14</f>
        <v>0.33333333333333331</v>
      </c>
      <c r="CK9" s="48"/>
      <c r="CL9" s="48"/>
      <c r="CM9" s="60">
        <f>Tabulacao!LK4</f>
        <v>1</v>
      </c>
      <c r="CN9" s="52">
        <f>Tabulacao!LL4</f>
        <v>7</v>
      </c>
      <c r="CO9" s="53">
        <f>Tabulacao!LM4</f>
        <v>4.9645390070921988E-2</v>
      </c>
      <c r="CP9" s="48"/>
      <c r="CQ9" s="48"/>
      <c r="CR9" s="48"/>
      <c r="CS9" s="48"/>
      <c r="CT9" s="60" t="str">
        <f>Tabulacao!LN4</f>
        <v>Sim</v>
      </c>
      <c r="CU9" s="52">
        <f>Tabulacao!LO4</f>
        <v>156</v>
      </c>
      <c r="CV9" s="53">
        <f>Tabulacao!LP4</f>
        <v>0.57564575645756455</v>
      </c>
      <c r="CW9" s="48"/>
      <c r="CX9" s="48"/>
      <c r="CY9" s="60">
        <f>Tabulacao!LQ4</f>
        <v>1</v>
      </c>
      <c r="CZ9" s="52">
        <f>Tabulacao!LR4</f>
        <v>1</v>
      </c>
      <c r="DA9" s="53">
        <f>Tabulacao!LS4</f>
        <v>6.41025641025641E-3</v>
      </c>
      <c r="DB9" s="48"/>
      <c r="DC9" s="48"/>
      <c r="DD9" s="48"/>
      <c r="DE9"/>
      <c r="DF9" s="48"/>
      <c r="DG9" s="60" t="str">
        <f>Tabulacao!OJ4</f>
        <v>Média</v>
      </c>
      <c r="DH9" s="72">
        <f>Tabulacao!OK4</f>
        <v>7.5154550387596908</v>
      </c>
      <c r="DI9" s="48"/>
    </row>
    <row r="10" spans="1:114" x14ac:dyDescent="0.2">
      <c r="B10" s="48"/>
      <c r="C10" s="323"/>
      <c r="D10" s="48"/>
      <c r="E10" s="48"/>
      <c r="F10" s="60" t="str">
        <f>Tabulacao!IH5</f>
        <v>Vestibular do próprio IFS</v>
      </c>
      <c r="G10" s="52">
        <f>Tabulacao!II5</f>
        <v>183</v>
      </c>
      <c r="H10" s="53">
        <f>Tabulacao!IJ5</f>
        <v>0.67527675276752763</v>
      </c>
      <c r="I10" s="48"/>
      <c r="J10" s="48"/>
      <c r="K10" s="60" t="str">
        <f>Tabulacao!IK5</f>
        <v>Sim</v>
      </c>
      <c r="L10" s="52">
        <f>Tabulacao!IL5</f>
        <v>52</v>
      </c>
      <c r="M10" s="53">
        <f>Tabulacao!IM5</f>
        <v>0.19330855018587362</v>
      </c>
      <c r="N10" s="48"/>
      <c r="O10" s="81">
        <v>83</v>
      </c>
      <c r="P10" s="60" t="s">
        <v>67</v>
      </c>
      <c r="Q10" s="214">
        <f>IFERROR(VLOOKUP(Q$13,Tabulacao!$IQ$2:$IS$15,2,0),"-")</f>
        <v>4</v>
      </c>
      <c r="R10" s="214">
        <f>IFERROR(VLOOKUP(R$13,Tabulacao!$IQ$2:$IS$15,2,0),"-")</f>
        <v>5</v>
      </c>
      <c r="S10" s="214">
        <f>IFERROR(VLOOKUP(S$13,Tabulacao!$IQ$2:$IS$15,2,0),"-")</f>
        <v>47</v>
      </c>
      <c r="T10" s="214">
        <f>IFERROR(VLOOKUP(T$13,Tabulacao!$IQ$2:$IS$15,2,0),"-")</f>
        <v>98</v>
      </c>
      <c r="U10" s="214">
        <f>IFERROR(VLOOKUP(U$13,Tabulacao!$IQ$2:$IS$15,2,0),"-")</f>
        <v>117</v>
      </c>
      <c r="V10" s="214">
        <f>SUM(Q10:U10)</f>
        <v>271</v>
      </c>
      <c r="W10" s="76">
        <f>IFERROR(VLOOKUP(W$13,Tabulacao!$IQ$2:$IS$15,2,0),"-")</f>
        <v>4.1771217712177124</v>
      </c>
      <c r="X10" s="75">
        <f>IFERROR(VLOOKUP(X$13,Tabulacao!$IQ$2:$IS$15,2,0),"-")</f>
        <v>5</v>
      </c>
      <c r="Y10" s="75">
        <f>IFERROR(VLOOKUP(Y$13,Tabulacao!$IQ$2:$IS$15,2,0),"-")</f>
        <v>4</v>
      </c>
      <c r="Z10" s="77">
        <f>IFERROR(VLOOKUP(Z$13,Tabulacao!$IQ$2:$IS$15,2,0),"-")</f>
        <v>0.21188210236887992</v>
      </c>
      <c r="AA10" s="48"/>
      <c r="AB10" s="60" t="str">
        <f>Tabulacao!IT5</f>
        <v>Estudar não era minha principal atividade</v>
      </c>
      <c r="AC10" s="52">
        <f>Tabulacao!IU5</f>
        <v>97</v>
      </c>
      <c r="AD10" s="53">
        <f>Tabulacao!IV5</f>
        <v>0.35793357933579334</v>
      </c>
      <c r="AE10" s="48"/>
      <c r="AF10" s="81">
        <v>83</v>
      </c>
      <c r="AG10" s="51" t="s">
        <v>70</v>
      </c>
      <c r="AH10" s="214">
        <f>IFERROR(VLOOKUP(AH$8,Tabulacao!$IZ$2:$JB$15,2,0),"-")</f>
        <v>37</v>
      </c>
      <c r="AI10" s="214">
        <f>IFERROR(VLOOKUP(AI$8,Tabulacao!$IZ$2:$JB$15,2,0),"-")</f>
        <v>62</v>
      </c>
      <c r="AJ10" s="214">
        <f>IFERROR(VLOOKUP(AJ$8,Tabulacao!$IZ$2:$JB$15,2,0),"-")</f>
        <v>74</v>
      </c>
      <c r="AK10" s="214">
        <f>IFERROR(VLOOKUP(AK$8,Tabulacao!$IZ$2:$JB$15,2,0),"-")</f>
        <v>69</v>
      </c>
      <c r="AL10" s="214">
        <f>IFERROR(VLOOKUP(AL$8,Tabulacao!$IZ$2:$JB$15,2,0),"-")</f>
        <v>29</v>
      </c>
      <c r="AM10" s="229">
        <f t="shared" ref="AM10:AM19" si="0">SUM(AH10:AL10)</f>
        <v>271</v>
      </c>
      <c r="AN10" s="76">
        <f>IFERROR(VLOOKUP(AN$22,Tabulacao!$IZ$2:$JB$15,2,0),"-")</f>
        <v>2.9667896678966788</v>
      </c>
      <c r="AO10" s="75">
        <f>IFERROR(VLOOKUP(AO$22,Tabulacao!$IZ$2:$JB$15,2,0),"-")</f>
        <v>3</v>
      </c>
      <c r="AP10" s="75">
        <f>IFERROR(VLOOKUP(AP$22,Tabulacao!$IZ$2:$JB$15,2,0),"-")</f>
        <v>3</v>
      </c>
      <c r="AQ10" s="77">
        <f>IFERROR(VLOOKUP(AQ$22,Tabulacao!$IZ$2:$JB$15,2,0),"-")</f>
        <v>0.40753558126671074</v>
      </c>
      <c r="AR10" s="48"/>
      <c r="AS10" s="81">
        <v>94</v>
      </c>
      <c r="AT10" s="51" t="s">
        <v>81</v>
      </c>
      <c r="AU10" s="130">
        <f>IFERROR(VLOOKUP(AU$8,Tabulacao!$KG$2:$KI$15,2,0),"-")</f>
        <v>26</v>
      </c>
      <c r="AV10" s="130">
        <f>IFERROR(VLOOKUP(AV$8,Tabulacao!$KG$2:$KI$15,2,0),"-")</f>
        <v>22</v>
      </c>
      <c r="AW10" s="130">
        <f>IFERROR(VLOOKUP(AW$8,Tabulacao!$KG$2:$KI$15,2,0),"-")</f>
        <v>50</v>
      </c>
      <c r="AX10" s="130">
        <f>IFERROR(VLOOKUP(AX$8,Tabulacao!$KG$2:$KI$15,2,0),"-")</f>
        <v>95</v>
      </c>
      <c r="AY10" s="130">
        <f>IFERROR(VLOOKUP(AY$8,Tabulacao!$KG$2:$KI$15,2,0),"-")</f>
        <v>78</v>
      </c>
      <c r="AZ10" s="229">
        <f t="shared" ref="AZ10:AZ13" si="1">SUM(AU10:AY10)</f>
        <v>271</v>
      </c>
      <c r="BA10" s="76">
        <f>IFERROR(VLOOKUP(BA$16,Tabulacao!$KG$2:$KI$15,2,0),"-")</f>
        <v>3.6531365313653135</v>
      </c>
      <c r="BB10" s="75">
        <f>IFERROR(VLOOKUP(BB$16,Tabulacao!$KG$2:$KI$15,2,0),"-")</f>
        <v>4</v>
      </c>
      <c r="BC10" s="75">
        <f>IFERROR(VLOOKUP(BC$16,Tabulacao!$KG$2:$KI$15,2,0),"-")</f>
        <v>4</v>
      </c>
      <c r="BD10" s="77">
        <f>IFERROR(VLOOKUP(BD$16,Tabulacao!$KG$2:$KI$15,2,0),"-")</f>
        <v>0.34034999532115684</v>
      </c>
      <c r="BE10" s="48"/>
      <c r="BF10" s="60" t="str">
        <f>Tabulacao!KS5</f>
        <v>Não, eu faria um CURSO DIFERENTE na MESMA INSTITUIÇÃO</v>
      </c>
      <c r="BG10" s="52">
        <f>Tabulacao!KT5</f>
        <v>64</v>
      </c>
      <c r="BH10" s="53">
        <f>Tabulacao!KU5</f>
        <v>0.23616236162361623</v>
      </c>
      <c r="BI10" s="48"/>
      <c r="BJ10" s="48"/>
      <c r="BK10" s="60" t="str">
        <f>Tabulacao!KV5</f>
        <v>Não</v>
      </c>
      <c r="BL10" s="52">
        <f>Tabulacao!KW5</f>
        <v>85</v>
      </c>
      <c r="BM10" s="53">
        <f>Tabulacao!KX5</f>
        <v>0.31365313653136534</v>
      </c>
      <c r="BN10" s="48"/>
      <c r="BO10" s="48"/>
      <c r="BP10" s="60" t="str">
        <f>Tabulacao!KY5</f>
        <v>Projetos de pesquisa (PIBIC, PIVIT, PIBITI, PPTAE, etc.)</v>
      </c>
      <c r="BQ10" s="52">
        <f>Tabulacao!KZ5</f>
        <v>138</v>
      </c>
      <c r="BR10" s="53">
        <f>Tabulacao!LA5</f>
        <v>0.74193548387096775</v>
      </c>
      <c r="BS10" s="48"/>
      <c r="BT10" s="48"/>
      <c r="BU10" s="48"/>
      <c r="BV10" s="60">
        <f>Tabulacao!LB5</f>
        <v>2</v>
      </c>
      <c r="BW10" s="52">
        <f>Tabulacao!LC5</f>
        <v>10</v>
      </c>
      <c r="BX10" s="53">
        <f>Tabulacao!LD5</f>
        <v>5.3763440860215055E-2</v>
      </c>
      <c r="BY10" s="48"/>
      <c r="BZ10" s="48"/>
      <c r="CA10" s="48"/>
      <c r="CB10" s="48"/>
      <c r="CC10" s="60" t="str">
        <f>Tabulacao!LE5</f>
        <v>Não</v>
      </c>
      <c r="CD10" s="52">
        <f>Tabulacao!LF5</f>
        <v>130</v>
      </c>
      <c r="CE10" s="53">
        <f>Tabulacao!LG5</f>
        <v>0.47970479704797048</v>
      </c>
      <c r="CF10" s="48"/>
      <c r="CG10" s="48"/>
      <c r="CH10" s="60" t="str">
        <f>Tabulacao!LH5</f>
        <v>Programas de Extensão (PBIEX, PIBEX, IFSTEC, IFS SUSTENTÁVEL, PIBID, CULTURARTE IFS, ESPORTIFS, PROEXT IFS, etc.)</v>
      </c>
      <c r="CI10" s="52">
        <f>Tabulacao!LI5</f>
        <v>93</v>
      </c>
      <c r="CJ10" s="53">
        <f t="shared" ref="CJ10:CJ13" si="2">CI10/$CI$14</f>
        <v>0.65957446808510634</v>
      </c>
      <c r="CK10" s="48"/>
      <c r="CL10" s="48"/>
      <c r="CM10" s="60">
        <f>Tabulacao!LK5</f>
        <v>2</v>
      </c>
      <c r="CN10" s="52">
        <f>Tabulacao!LL5</f>
        <v>8</v>
      </c>
      <c r="CO10" s="53">
        <f>Tabulacao!LM5</f>
        <v>5.6737588652482268E-2</v>
      </c>
      <c r="CP10" s="48"/>
      <c r="CQ10" s="48"/>
      <c r="CR10" s="48"/>
      <c r="CS10" s="48"/>
      <c r="CT10" s="60" t="str">
        <f>Tabulacao!LN5</f>
        <v>Não</v>
      </c>
      <c r="CU10" s="52">
        <f>Tabulacao!LO5</f>
        <v>115</v>
      </c>
      <c r="CV10" s="53">
        <f>Tabulacao!LP5</f>
        <v>0.42435424354243545</v>
      </c>
      <c r="CW10" s="48"/>
      <c r="CX10" s="48"/>
      <c r="CY10" s="60">
        <f>Tabulacao!LQ5</f>
        <v>2</v>
      </c>
      <c r="CZ10" s="52">
        <f>Tabulacao!LR5</f>
        <v>1</v>
      </c>
      <c r="DA10" s="53">
        <f>Tabulacao!LS5</f>
        <v>6.41025641025641E-3</v>
      </c>
      <c r="DB10" s="48"/>
      <c r="DC10" s="48"/>
      <c r="DD10" s="48"/>
      <c r="DE10"/>
      <c r="DF10" s="48"/>
      <c r="DG10" s="60" t="str">
        <f>Tabulacao!OJ5</f>
        <v>Moda</v>
      </c>
      <c r="DH10" s="72">
        <f>Tabulacao!OK5</f>
        <v>7.0823999999999998</v>
      </c>
      <c r="DI10" s="48"/>
    </row>
    <row r="11" spans="1:114" x14ac:dyDescent="0.2">
      <c r="B11" s="48"/>
      <c r="C11" s="323"/>
      <c r="D11" s="48"/>
      <c r="E11" s="48"/>
      <c r="F11" s="60" t="str">
        <f>Tabulacao!IH6</f>
        <v>Processo seletivo via análise de currículo</v>
      </c>
      <c r="G11" s="52">
        <f>Tabulacao!II6</f>
        <v>2</v>
      </c>
      <c r="H11" s="53">
        <f>Tabulacao!IJ6</f>
        <v>7.3800738007380072E-3</v>
      </c>
      <c r="I11" s="48"/>
      <c r="J11" s="48"/>
      <c r="K11" s="93" t="s">
        <v>621</v>
      </c>
      <c r="L11" s="94">
        <f>SUM(L9:L10)</f>
        <v>269</v>
      </c>
      <c r="M11" s="95">
        <f>SUM(M9:M10)</f>
        <v>1</v>
      </c>
      <c r="N11" s="48"/>
      <c r="O11" s="48"/>
      <c r="P11" s="48"/>
      <c r="Q11" s="48"/>
      <c r="R11" s="48"/>
      <c r="S11" s="48"/>
      <c r="T11" s="48"/>
      <c r="U11" s="48"/>
      <c r="V11" s="48"/>
      <c r="W11" s="48"/>
      <c r="X11" s="48"/>
      <c r="Y11" s="48"/>
      <c r="Z11" s="48"/>
      <c r="AA11" s="48"/>
      <c r="AB11" s="93" t="s">
        <v>621</v>
      </c>
      <c r="AC11" s="94">
        <f>SUM(AC9:AC10)</f>
        <v>271</v>
      </c>
      <c r="AD11" s="95">
        <f>SUM(AD9:AD10)</f>
        <v>1</v>
      </c>
      <c r="AE11" s="48"/>
      <c r="AF11" s="82">
        <v>84</v>
      </c>
      <c r="AG11" s="65" t="s">
        <v>71</v>
      </c>
      <c r="AH11" s="213">
        <f>IFERROR(VLOOKUP(AH$8,Tabulacao!$JC$2:$JE$15,2,0),"-")</f>
        <v>37</v>
      </c>
      <c r="AI11" s="213">
        <f>IFERROR(VLOOKUP(AI$8,Tabulacao!$JC$2:$JE$15,2,0),"-")</f>
        <v>54</v>
      </c>
      <c r="AJ11" s="213">
        <f>IFERROR(VLOOKUP(AJ$8,Tabulacao!$JC$2:$JE$15,2,0),"-")</f>
        <v>72</v>
      </c>
      <c r="AK11" s="213">
        <f>IFERROR(VLOOKUP(AK$8,Tabulacao!$JC$2:$JE$15,2,0),"-")</f>
        <v>57</v>
      </c>
      <c r="AL11" s="213">
        <f>IFERROR(VLOOKUP(AL$8,Tabulacao!$JC$2:$JE$15,2,0),"-")</f>
        <v>51</v>
      </c>
      <c r="AM11" s="230">
        <f t="shared" si="0"/>
        <v>271</v>
      </c>
      <c r="AN11" s="78">
        <f>IFERROR(VLOOKUP(AN$22,Tabulacao!$JC$2:$JE$15,2,0),"-")</f>
        <v>3.1143911439114391</v>
      </c>
      <c r="AO11" s="79">
        <f>IFERROR(VLOOKUP(AO$22,Tabulacao!$JC$2:$JE$15,2,0),"-")</f>
        <v>1</v>
      </c>
      <c r="AP11" s="79">
        <f>IFERROR(VLOOKUP(AP$22,Tabulacao!$JC$2:$JE$15,2,0),"-")</f>
        <v>3</v>
      </c>
      <c r="AQ11" s="80">
        <f>IFERROR(VLOOKUP(AQ$22,Tabulacao!$JC$2:$JE$15,2,0),"-")</f>
        <v>0.41885713836186506</v>
      </c>
      <c r="AR11" s="48"/>
      <c r="AS11" s="82">
        <v>95</v>
      </c>
      <c r="AT11" s="65" t="s">
        <v>82</v>
      </c>
      <c r="AU11" s="129">
        <f>IFERROR(VLOOKUP(AU$8,Tabulacao!$KJ$2:$KL$15,2,0),"-")</f>
        <v>17</v>
      </c>
      <c r="AV11" s="129">
        <f>IFERROR(VLOOKUP(AV$8,Tabulacao!$KJ$2:$KL$15,2,0),"-")</f>
        <v>13</v>
      </c>
      <c r="AW11" s="129">
        <f>IFERROR(VLOOKUP(AW$8,Tabulacao!$KJ$2:$KL$15,2,0),"-")</f>
        <v>56</v>
      </c>
      <c r="AX11" s="129">
        <f>IFERROR(VLOOKUP(AX$8,Tabulacao!$KJ$2:$KL$15,2,0),"-")</f>
        <v>87</v>
      </c>
      <c r="AY11" s="129">
        <f>IFERROR(VLOOKUP(AY$8,Tabulacao!$KJ$2:$KL$15,2,0),"-")</f>
        <v>98</v>
      </c>
      <c r="AZ11" s="230">
        <f t="shared" si="1"/>
        <v>271</v>
      </c>
      <c r="BA11" s="78">
        <f>IFERROR(VLOOKUP(BA$16,Tabulacao!$KJ$2:$KL$15,2,0),"-")</f>
        <v>3.8708487084870851</v>
      </c>
      <c r="BB11" s="79">
        <f>IFERROR(VLOOKUP(BB$16,Tabulacao!$KJ$2:$KL$15,2,0),"-")</f>
        <v>5</v>
      </c>
      <c r="BC11" s="79">
        <f>IFERROR(VLOOKUP(BC$16,Tabulacao!$KJ$2:$KL$15,2,0),"-")</f>
        <v>4</v>
      </c>
      <c r="BD11" s="80">
        <f>IFERROR(VLOOKUP(BD$16,Tabulacao!$KJ$2:$KL$15,2,0),"-")</f>
        <v>0.29601083518921489</v>
      </c>
      <c r="BE11" s="48"/>
      <c r="BF11" s="60" t="str">
        <f>Tabulacao!KS6</f>
        <v>Não, eu faria o MESMO CURSO mas em OUTRA INSTITUIÇÃO</v>
      </c>
      <c r="BG11" s="52">
        <f>Tabulacao!KT6</f>
        <v>8</v>
      </c>
      <c r="BH11" s="53">
        <f>Tabulacao!KU6</f>
        <v>2.9520295202952029E-2</v>
      </c>
      <c r="BI11" s="48"/>
      <c r="BJ11" s="48"/>
      <c r="BK11" s="93" t="s">
        <v>621</v>
      </c>
      <c r="BL11" s="94">
        <f>SUM(BL9:BL10)</f>
        <v>271</v>
      </c>
      <c r="BM11" s="95">
        <f>SUM(BM9:BM10)</f>
        <v>1</v>
      </c>
      <c r="BN11" s="48"/>
      <c r="BO11" s="48"/>
      <c r="BP11" s="60" t="str">
        <f>Tabulacao!KY6</f>
        <v>Publicações científicas</v>
      </c>
      <c r="BQ11" s="52">
        <f>Tabulacao!KZ6</f>
        <v>66</v>
      </c>
      <c r="BR11" s="53">
        <f>Tabulacao!LA6</f>
        <v>0.35483870967741937</v>
      </c>
      <c r="BS11" s="48"/>
      <c r="BT11" s="48"/>
      <c r="BU11" s="48"/>
      <c r="BV11" s="60">
        <f>Tabulacao!LB6</f>
        <v>3</v>
      </c>
      <c r="BW11" s="52">
        <f>Tabulacao!LC6</f>
        <v>24</v>
      </c>
      <c r="BX11" s="53">
        <f>Tabulacao!LD6</f>
        <v>0.12903225806451613</v>
      </c>
      <c r="BY11" s="48"/>
      <c r="BZ11" s="48"/>
      <c r="CA11" s="48"/>
      <c r="CB11" s="48"/>
      <c r="CC11" s="93" t="s">
        <v>621</v>
      </c>
      <c r="CD11" s="94">
        <f>SUM(CD9:CD10)</f>
        <v>271</v>
      </c>
      <c r="CE11" s="95">
        <f>SUM(CE9:CE10)</f>
        <v>1</v>
      </c>
      <c r="CF11" s="48"/>
      <c r="CG11" s="48"/>
      <c r="CH11" s="60" t="str">
        <f>Tabulacao!LH6</f>
        <v>Visitas Técnicas</v>
      </c>
      <c r="CI11" s="52">
        <f>Tabulacao!LI6</f>
        <v>81</v>
      </c>
      <c r="CJ11" s="53">
        <f t="shared" si="2"/>
        <v>0.57446808510638303</v>
      </c>
      <c r="CK11" s="48"/>
      <c r="CL11" s="48"/>
      <c r="CM11" s="60">
        <f>Tabulacao!LK6</f>
        <v>3</v>
      </c>
      <c r="CN11" s="52">
        <f>Tabulacao!LL6</f>
        <v>12</v>
      </c>
      <c r="CO11" s="53">
        <f>Tabulacao!LM6</f>
        <v>8.5106382978723402E-2</v>
      </c>
      <c r="CP11" s="48"/>
      <c r="CQ11" s="48"/>
      <c r="CR11" s="48"/>
      <c r="CS11" s="48"/>
      <c r="CT11" s="93" t="s">
        <v>621</v>
      </c>
      <c r="CU11" s="94">
        <f>SUM(CU9:CU10)</f>
        <v>271</v>
      </c>
      <c r="CV11" s="95">
        <f>SUM(CV9:CV10)</f>
        <v>1</v>
      </c>
      <c r="CW11" s="48"/>
      <c r="CX11" s="48"/>
      <c r="CY11" s="60">
        <f>Tabulacao!LQ6</f>
        <v>3</v>
      </c>
      <c r="CZ11" s="52">
        <f>Tabulacao!LR6</f>
        <v>15</v>
      </c>
      <c r="DA11" s="53">
        <f>Tabulacao!LS6</f>
        <v>9.6153846153846159E-2</v>
      </c>
      <c r="DB11" s="48"/>
      <c r="DC11" s="48"/>
      <c r="DD11" s="48"/>
      <c r="DE11"/>
      <c r="DF11" s="48"/>
      <c r="DG11" s="60" t="str">
        <f>Tabulacao!OJ6</f>
        <v>Maior</v>
      </c>
      <c r="DH11" s="72">
        <f>Tabulacao!OK6</f>
        <v>9.3510000000000009</v>
      </c>
      <c r="DI11" s="48"/>
    </row>
    <row r="12" spans="1:114" x14ac:dyDescent="0.2">
      <c r="B12" s="48"/>
      <c r="C12" s="323"/>
      <c r="D12" s="48"/>
      <c r="E12" s="48"/>
      <c r="F12" s="60" t="str">
        <f>Tabulacao!IH7</f>
        <v>Reintegração</v>
      </c>
      <c r="G12" s="52">
        <f>Tabulacao!II7</f>
        <v>0</v>
      </c>
      <c r="H12" s="53">
        <f>Tabulacao!IJ7</f>
        <v>0</v>
      </c>
      <c r="I12" s="48"/>
      <c r="J12" s="48"/>
      <c r="K12" s="48"/>
      <c r="L12" s="48"/>
      <c r="M12" s="48"/>
      <c r="N12" s="48"/>
      <c r="O12" s="48"/>
      <c r="P12" s="48"/>
      <c r="Q12" s="48"/>
      <c r="R12" s="48"/>
      <c r="S12" s="48"/>
      <c r="T12" s="48"/>
      <c r="U12" s="48"/>
      <c r="V12" s="48"/>
      <c r="W12" s="48"/>
      <c r="X12" s="48"/>
      <c r="Y12" s="48"/>
      <c r="Z12" s="48"/>
      <c r="AA12" s="48"/>
      <c r="AB12" s="48"/>
      <c r="AC12" s="48"/>
      <c r="AD12" s="48"/>
      <c r="AE12" s="48"/>
      <c r="AF12" s="81">
        <v>85</v>
      </c>
      <c r="AG12" s="51" t="s">
        <v>72</v>
      </c>
      <c r="AH12" s="214">
        <f>IFERROR(VLOOKUP(AH$8,Tabulacao!$JF$2:$JH$15,2,0),"-")</f>
        <v>83</v>
      </c>
      <c r="AI12" s="214">
        <f>IFERROR(VLOOKUP(AI$8,Tabulacao!$JF$2:$JH$15,2,0),"-")</f>
        <v>52</v>
      </c>
      <c r="AJ12" s="214">
        <f>IFERROR(VLOOKUP(AJ$8,Tabulacao!$JF$2:$JH$15,2,0),"-")</f>
        <v>59</v>
      </c>
      <c r="AK12" s="214">
        <f>IFERROR(VLOOKUP(AK$8,Tabulacao!$JF$2:$JH$15,2,0),"-")</f>
        <v>41</v>
      </c>
      <c r="AL12" s="214">
        <f>IFERROR(VLOOKUP(AL$8,Tabulacao!$JF$2:$JH$15,2,0),"-")</f>
        <v>36</v>
      </c>
      <c r="AM12" s="229">
        <f t="shared" si="0"/>
        <v>271</v>
      </c>
      <c r="AN12" s="76">
        <f>IFERROR(VLOOKUP(AN$22,Tabulacao!$JF$2:$JH$15,2,0),"-")</f>
        <v>2.6125461254612548</v>
      </c>
      <c r="AO12" s="75">
        <f>IFERROR(VLOOKUP(AO$22,Tabulacao!$JF$2:$JH$15,2,0),"-")</f>
        <v>1</v>
      </c>
      <c r="AP12" s="75">
        <f>IFERROR(VLOOKUP(AP$22,Tabulacao!$JF$2:$JH$15,2,0),"-")</f>
        <v>3</v>
      </c>
      <c r="AQ12" s="77">
        <f>IFERROR(VLOOKUP(AQ$22,Tabulacao!$JF$2:$JH$15,2,0),"-")</f>
        <v>0.53542862406930114</v>
      </c>
      <c r="AR12" s="48"/>
      <c r="AS12" s="81">
        <v>96</v>
      </c>
      <c r="AT12" s="51" t="s">
        <v>83</v>
      </c>
      <c r="AU12" s="130">
        <f>IFERROR(VLOOKUP(AU$8,Tabulacao!$KM$2:$KO$15,2,0),"-")</f>
        <v>9</v>
      </c>
      <c r="AV12" s="130">
        <f>IFERROR(VLOOKUP(AV$8,Tabulacao!$KM$2:$KO$15,2,0),"-")</f>
        <v>12</v>
      </c>
      <c r="AW12" s="130">
        <f>IFERROR(VLOOKUP(AW$8,Tabulacao!$KM$2:$KO$15,2,0),"-")</f>
        <v>40</v>
      </c>
      <c r="AX12" s="130">
        <f>IFERROR(VLOOKUP(AX$8,Tabulacao!$KM$2:$KO$15,2,0),"-")</f>
        <v>89</v>
      </c>
      <c r="AY12" s="130">
        <f>IFERROR(VLOOKUP(AY$8,Tabulacao!$KM$2:$KO$15,2,0),"-")</f>
        <v>121</v>
      </c>
      <c r="AZ12" s="229">
        <f t="shared" si="1"/>
        <v>271</v>
      </c>
      <c r="BA12" s="76">
        <f>IFERROR(VLOOKUP(BA$16,Tabulacao!$KM$2:$KO$15,2,0),"-")</f>
        <v>4.1107011070110699</v>
      </c>
      <c r="BB12" s="75">
        <f>IFERROR(VLOOKUP(BB$16,Tabulacao!$KM$2:$KO$15,2,0),"-")</f>
        <v>5</v>
      </c>
      <c r="BC12" s="75">
        <f>IFERROR(VLOOKUP(BC$16,Tabulacao!$KM$2:$KO$15,2,0),"-")</f>
        <v>4</v>
      </c>
      <c r="BD12" s="77">
        <f>IFERROR(VLOOKUP(BD$16,Tabulacao!$KM$2:$KO$15,2,0),"-")</f>
        <v>0.25066871415196473</v>
      </c>
      <c r="BE12" s="48"/>
      <c r="BF12" s="60" t="str">
        <f>Tabulacao!KS7</f>
        <v>Não, eu faria um CURSO DIFERENTE em OUTRA INSTITUIÇÃO</v>
      </c>
      <c r="BG12" s="52">
        <f>Tabulacao!KT7</f>
        <v>30</v>
      </c>
      <c r="BH12" s="53">
        <f>Tabulacao!KU7</f>
        <v>0.11070110701107011</v>
      </c>
      <c r="BI12" s="48"/>
      <c r="BJ12" s="48"/>
      <c r="BK12" s="48"/>
      <c r="BL12" s="48"/>
      <c r="BM12" s="48"/>
      <c r="BN12" s="48"/>
      <c r="BO12" s="48"/>
      <c r="BP12" s="60" t="str">
        <f>Tabulacao!KY7</f>
        <v>Eventos científicos</v>
      </c>
      <c r="BQ12" s="52">
        <f>Tabulacao!KZ7</f>
        <v>78</v>
      </c>
      <c r="BR12" s="53">
        <f>Tabulacao!LA7</f>
        <v>0.41935483870967744</v>
      </c>
      <c r="BS12" s="48"/>
      <c r="BT12" s="48"/>
      <c r="BU12" s="48"/>
      <c r="BV12" s="60">
        <f>Tabulacao!LB7</f>
        <v>4</v>
      </c>
      <c r="BW12" s="52">
        <f>Tabulacao!LC7</f>
        <v>44</v>
      </c>
      <c r="BX12" s="53">
        <f>Tabulacao!LD7</f>
        <v>0.23655913978494625</v>
      </c>
      <c r="BY12" s="48"/>
      <c r="BZ12" s="48"/>
      <c r="CA12" s="48"/>
      <c r="CB12" s="48"/>
      <c r="CC12" s="48"/>
      <c r="CD12" s="48"/>
      <c r="CE12" s="48"/>
      <c r="CF12" s="48"/>
      <c r="CG12" s="48"/>
      <c r="CH12" s="60" t="str">
        <f>Tabulacao!LH7</f>
        <v>Eventos de extensão (SEMEXT - Semana de Extensão Tecnológica)</v>
      </c>
      <c r="CI12" s="52">
        <f>Tabulacao!LI7</f>
        <v>72</v>
      </c>
      <c r="CJ12" s="53">
        <f t="shared" si="2"/>
        <v>0.51063829787234039</v>
      </c>
      <c r="CK12" s="48"/>
      <c r="CL12" s="48"/>
      <c r="CM12" s="60">
        <f>Tabulacao!LK7</f>
        <v>4</v>
      </c>
      <c r="CN12" s="52">
        <f>Tabulacao!LL7</f>
        <v>39</v>
      </c>
      <c r="CO12" s="53">
        <f>Tabulacao!LM7</f>
        <v>0.27659574468085107</v>
      </c>
      <c r="CP12" s="48"/>
      <c r="CQ12" s="48"/>
      <c r="CR12" s="48"/>
      <c r="CS12" s="48"/>
      <c r="CT12" s="48"/>
      <c r="CU12" s="48"/>
      <c r="CV12" s="48"/>
      <c r="CW12" s="48"/>
      <c r="CX12" s="48"/>
      <c r="CY12" s="60">
        <f>Tabulacao!LQ7</f>
        <v>4</v>
      </c>
      <c r="CZ12" s="52">
        <f>Tabulacao!LR7</f>
        <v>27</v>
      </c>
      <c r="DA12" s="53">
        <f>Tabulacao!LS7</f>
        <v>0.17307692307692307</v>
      </c>
      <c r="DB12" s="48"/>
      <c r="DC12" s="48"/>
      <c r="DD12" s="48"/>
      <c r="DE12"/>
      <c r="DF12" s="48"/>
      <c r="DG12" s="60" t="str">
        <f>Tabulacao!OJ7</f>
        <v>Menor</v>
      </c>
      <c r="DH12" s="72">
        <f>Tabulacao!OK7</f>
        <v>5.2964000000000002</v>
      </c>
      <c r="DI12" s="48"/>
    </row>
    <row r="13" spans="1:114" x14ac:dyDescent="0.2">
      <c r="B13" s="48"/>
      <c r="C13" s="323"/>
      <c r="D13" s="48"/>
      <c r="E13" s="48"/>
      <c r="F13" s="60" t="str">
        <f>Tabulacao!IH8</f>
        <v>Transferência interna</v>
      </c>
      <c r="G13" s="52">
        <f>Tabulacao!II8</f>
        <v>0</v>
      </c>
      <c r="H13" s="53">
        <f>Tabulacao!IJ8</f>
        <v>0</v>
      </c>
      <c r="I13" s="48"/>
      <c r="J13" s="48"/>
      <c r="K13" s="48"/>
      <c r="L13" s="48"/>
      <c r="M13" s="48"/>
      <c r="N13" s="48"/>
      <c r="O13" s="138" t="s">
        <v>998</v>
      </c>
      <c r="P13" s="167" t="s">
        <v>1034</v>
      </c>
      <c r="Q13" s="138">
        <v>1</v>
      </c>
      <c r="R13" s="138">
        <v>2</v>
      </c>
      <c r="S13" s="138">
        <v>3</v>
      </c>
      <c r="T13" s="138">
        <v>4</v>
      </c>
      <c r="U13" s="138">
        <v>5</v>
      </c>
      <c r="V13" s="138" t="s">
        <v>621</v>
      </c>
      <c r="W13" s="138" t="s">
        <v>160</v>
      </c>
      <c r="X13" s="138" t="s">
        <v>161</v>
      </c>
      <c r="Y13" s="138" t="s">
        <v>162</v>
      </c>
      <c r="Z13" s="138" t="s">
        <v>995</v>
      </c>
      <c r="AA13" s="48"/>
      <c r="AB13" s="48"/>
      <c r="AC13" s="48"/>
      <c r="AD13" s="48"/>
      <c r="AE13" s="48"/>
      <c r="AF13" s="82">
        <v>86</v>
      </c>
      <c r="AG13" s="65" t="s">
        <v>73</v>
      </c>
      <c r="AH13" s="213">
        <f>IFERROR(VLOOKUP(AH$8,Tabulacao!$JI$2:$JK$15,2,0),"-")</f>
        <v>17</v>
      </c>
      <c r="AI13" s="213">
        <f>IFERROR(VLOOKUP(AI$8,Tabulacao!$JI$2:$JK$15,2,0),"-")</f>
        <v>40</v>
      </c>
      <c r="AJ13" s="213">
        <f>IFERROR(VLOOKUP(AJ$8,Tabulacao!$JI$2:$JK$15,2,0),"-")</f>
        <v>69</v>
      </c>
      <c r="AK13" s="213">
        <f>IFERROR(VLOOKUP(AK$8,Tabulacao!$JI$2:$JK$15,2,0),"-")</f>
        <v>87</v>
      </c>
      <c r="AL13" s="213">
        <f>IFERROR(VLOOKUP(AL$8,Tabulacao!$JI$2:$JK$15,2,0),"-")</f>
        <v>58</v>
      </c>
      <c r="AM13" s="230">
        <f t="shared" si="0"/>
        <v>271</v>
      </c>
      <c r="AN13" s="78">
        <f>IFERROR(VLOOKUP(AN$22,Tabulacao!$JI$2:$JK$15,2,0),"-")</f>
        <v>3.4760147601476015</v>
      </c>
      <c r="AO13" s="79">
        <f>IFERROR(VLOOKUP(AO$22,Tabulacao!$JI$2:$JK$15,2,0),"-")</f>
        <v>4</v>
      </c>
      <c r="AP13" s="79">
        <f>IFERROR(VLOOKUP(AP$22,Tabulacao!$JI$2:$JK$15,2,0),"-")</f>
        <v>4</v>
      </c>
      <c r="AQ13" s="80">
        <f>IFERROR(VLOOKUP(AQ$22,Tabulacao!$JI$2:$JK$15,2,0),"-")</f>
        <v>0.33476195295115402</v>
      </c>
      <c r="AR13" s="48"/>
      <c r="AS13" s="82">
        <v>97</v>
      </c>
      <c r="AT13" s="65" t="s">
        <v>84</v>
      </c>
      <c r="AU13" s="129">
        <f>IFERROR(VLOOKUP(AU$8,Tabulacao!$KP$2:$KR$15,2,0),"-")</f>
        <v>12</v>
      </c>
      <c r="AV13" s="129">
        <f>IFERROR(VLOOKUP(AV$8,Tabulacao!$KP$2:$KR$15,2,0),"-")</f>
        <v>46</v>
      </c>
      <c r="AW13" s="129">
        <f>IFERROR(VLOOKUP(AW$8,Tabulacao!$KP$2:$KR$15,2,0),"-")</f>
        <v>79</v>
      </c>
      <c r="AX13" s="129">
        <f>IFERROR(VLOOKUP(AX$8,Tabulacao!$KP$2:$KR$15,2,0),"-")</f>
        <v>71</v>
      </c>
      <c r="AY13" s="129">
        <f>IFERROR(VLOOKUP(AY$8,Tabulacao!$KP$2:$KR$15,2,0),"-")</f>
        <v>63</v>
      </c>
      <c r="AZ13" s="230">
        <f t="shared" si="1"/>
        <v>271</v>
      </c>
      <c r="BA13" s="78">
        <f>IFERROR(VLOOKUP(BA$16,Tabulacao!$KP$2:$KR$15,2,0),"-")</f>
        <v>3.4686346863468636</v>
      </c>
      <c r="BB13" s="79">
        <f>IFERROR(VLOOKUP(BB$16,Tabulacao!$KP$2:$KR$15,2,0),"-")</f>
        <v>3</v>
      </c>
      <c r="BC13" s="79">
        <f>IFERROR(VLOOKUP(BC$16,Tabulacao!$KP$2:$KR$15,2,0),"-")</f>
        <v>3</v>
      </c>
      <c r="BD13" s="80">
        <f>IFERROR(VLOOKUP(BD$16,Tabulacao!$KP$2:$KR$15,2,0),"-")</f>
        <v>0.33173209540669207</v>
      </c>
      <c r="BE13" s="48"/>
      <c r="BF13" s="60" t="str">
        <f>Tabulacao!KS8</f>
        <v>Eu decidiria não cursar uma graduação</v>
      </c>
      <c r="BG13" s="52">
        <f>Tabulacao!KT8</f>
        <v>4</v>
      </c>
      <c r="BH13" s="53">
        <f>Tabulacao!KU8</f>
        <v>1.4760147601476014E-2</v>
      </c>
      <c r="BI13" s="48"/>
      <c r="BJ13" s="48"/>
      <c r="BK13" s="48"/>
      <c r="BL13" s="48"/>
      <c r="BM13" s="48"/>
      <c r="BN13" s="48"/>
      <c r="BO13" s="48"/>
      <c r="BP13" s="60" t="str">
        <f>Tabulacao!KY8</f>
        <v>Outros</v>
      </c>
      <c r="BQ13" s="52">
        <f>Tabulacao!KZ8</f>
        <v>9</v>
      </c>
      <c r="BR13" s="53">
        <f>Tabulacao!LA8</f>
        <v>4.8387096774193547E-2</v>
      </c>
      <c r="BS13" s="48"/>
      <c r="BT13" s="48"/>
      <c r="BU13" s="48"/>
      <c r="BV13" s="60">
        <f>Tabulacao!LB8</f>
        <v>5</v>
      </c>
      <c r="BW13" s="52">
        <f>Tabulacao!LC8</f>
        <v>88</v>
      </c>
      <c r="BX13" s="53">
        <f>Tabulacao!LD8</f>
        <v>0.4731182795698925</v>
      </c>
      <c r="BY13" s="48"/>
      <c r="BZ13" s="48"/>
      <c r="CA13" s="48"/>
      <c r="CB13" s="48"/>
      <c r="CC13" s="48"/>
      <c r="CD13" s="48"/>
      <c r="CE13" s="48"/>
      <c r="CF13" s="48"/>
      <c r="CG13" s="48"/>
      <c r="CH13" s="60" t="str">
        <f>Tabulacao!LH8</f>
        <v>Outros</v>
      </c>
      <c r="CI13" s="52">
        <f>Tabulacao!LI8</f>
        <v>9</v>
      </c>
      <c r="CJ13" s="53">
        <f t="shared" si="2"/>
        <v>6.3829787234042548E-2</v>
      </c>
      <c r="CK13" s="48"/>
      <c r="CL13" s="48"/>
      <c r="CM13" s="60">
        <f>Tabulacao!LK8</f>
        <v>5</v>
      </c>
      <c r="CN13" s="52">
        <f>Tabulacao!LL8</f>
        <v>75</v>
      </c>
      <c r="CO13" s="53">
        <f>Tabulacao!LM8</f>
        <v>0.53191489361702127</v>
      </c>
      <c r="CP13" s="48"/>
      <c r="CQ13" s="48"/>
      <c r="CR13" s="48"/>
      <c r="CS13" s="48"/>
      <c r="CT13" s="48"/>
      <c r="CU13" s="48"/>
      <c r="CV13" s="48"/>
      <c r="CW13" s="48"/>
      <c r="CX13" s="48"/>
      <c r="CY13" s="60">
        <f>Tabulacao!LQ8</f>
        <v>5</v>
      </c>
      <c r="CZ13" s="52">
        <f>Tabulacao!LR8</f>
        <v>112</v>
      </c>
      <c r="DA13" s="53">
        <f>Tabulacao!LS8</f>
        <v>0.71794871794871795</v>
      </c>
      <c r="DB13" s="48"/>
      <c r="DC13" s="48"/>
      <c r="DD13" s="48"/>
      <c r="DE13"/>
      <c r="DF13" s="48"/>
      <c r="DG13" s="60" t="str">
        <f>Tabulacao!OJ8</f>
        <v>Desvio Padrão</v>
      </c>
      <c r="DH13" s="96">
        <f>Tabulacao!OK8</f>
        <v>0.81057222281461361</v>
      </c>
      <c r="DI13" s="48"/>
    </row>
    <row r="14" spans="1:114" x14ac:dyDescent="0.2">
      <c r="B14" s="48"/>
      <c r="C14" s="323"/>
      <c r="D14" s="48"/>
      <c r="E14" s="48"/>
      <c r="F14" s="60" t="str">
        <f>Tabulacao!IH9</f>
        <v>Transferência externa</v>
      </c>
      <c r="G14" s="52">
        <f>Tabulacao!II9</f>
        <v>8</v>
      </c>
      <c r="H14" s="53">
        <f>Tabulacao!IJ9</f>
        <v>2.9520295202952029E-2</v>
      </c>
      <c r="I14" s="48"/>
      <c r="J14" s="48"/>
      <c r="K14" s="48"/>
      <c r="L14" s="48"/>
      <c r="M14" s="48"/>
      <c r="N14" s="48"/>
      <c r="O14" s="82">
        <v>82</v>
      </c>
      <c r="P14" s="61" t="str">
        <f>Tabulacao!IN2</f>
        <v>Eu estudava apenas o suficiente para passar nas provas</v>
      </c>
      <c r="Q14" s="83">
        <f>IFERROR(VLOOKUP(Q$13,Tabulacao!$IN$2:$IP$15,3,0),"-")</f>
        <v>0.19926199261992619</v>
      </c>
      <c r="R14" s="83">
        <f>IFERROR(VLOOKUP(R$13,Tabulacao!$IN$2:$IP$15,3,0),"-")</f>
        <v>0.2140221402214022</v>
      </c>
      <c r="S14" s="83">
        <f>IFERROR(VLOOKUP(S$13,Tabulacao!$IN$2:$IP$15,3,0),"-")</f>
        <v>0.25092250922509224</v>
      </c>
      <c r="T14" s="83">
        <f>IFERROR(VLOOKUP(T$13,Tabulacao!$IN$2:$IP$15,3,0),"-")</f>
        <v>0.19557195571955718</v>
      </c>
      <c r="U14" s="83">
        <f>IFERROR(VLOOKUP(U$13,Tabulacao!$IN$2:$IP$15,3,0),"-")</f>
        <v>0.14022140221402213</v>
      </c>
      <c r="V14" s="83">
        <f>SUM(Q14:U14)</f>
        <v>0.99999999999999989</v>
      </c>
      <c r="W14" s="78">
        <f>IFERROR(VLOOKUP(W$13,Tabulacao!$IN$2:$IP$15,2,0),"-")</f>
        <v>2.8634686346863467</v>
      </c>
      <c r="X14" s="79">
        <f>IFERROR(VLOOKUP(X$13,Tabulacao!$IN$2:$IP$15,2,0),"-")</f>
        <v>3</v>
      </c>
      <c r="Y14" s="79">
        <f>IFERROR(VLOOKUP(Y$13,Tabulacao!$IN$2:$IP$15,2,0),"-")</f>
        <v>3</v>
      </c>
      <c r="Z14" s="80">
        <f>IFERROR(VLOOKUP(Z$13,Tabulacao!$IN$2:$IP$15,2,0),"-")</f>
        <v>0.46269114767513059</v>
      </c>
      <c r="AA14" s="48"/>
      <c r="AB14" s="48"/>
      <c r="AC14" s="48"/>
      <c r="AD14" s="48"/>
      <c r="AE14" s="48"/>
      <c r="AF14" s="81">
        <v>87</v>
      </c>
      <c r="AG14" s="51" t="s">
        <v>74</v>
      </c>
      <c r="AH14" s="214">
        <f>IFERROR(VLOOKUP(AH$8,Tabulacao!$JL$2:$JN$15,2,0),"-")</f>
        <v>0</v>
      </c>
      <c r="AI14" s="214">
        <f>IFERROR(VLOOKUP(AI$8,Tabulacao!$JL$2:$JN$15,2,0),"-")</f>
        <v>8</v>
      </c>
      <c r="AJ14" s="214">
        <f>IFERROR(VLOOKUP(AJ$8,Tabulacao!$JL$2:$JN$15,2,0),"-")</f>
        <v>65</v>
      </c>
      <c r="AK14" s="214">
        <f>IFERROR(VLOOKUP(AK$8,Tabulacao!$JL$2:$JN$15,2,0),"-")</f>
        <v>101</v>
      </c>
      <c r="AL14" s="214">
        <f>IFERROR(VLOOKUP(AL$8,Tabulacao!$JL$2:$JN$15,2,0),"-")</f>
        <v>97</v>
      </c>
      <c r="AM14" s="229">
        <f t="shared" si="0"/>
        <v>271</v>
      </c>
      <c r="AN14" s="76">
        <f>IFERROR(VLOOKUP(AN$22,Tabulacao!$JL$2:$JN$15,2,0),"-")</f>
        <v>4.0590405904059041</v>
      </c>
      <c r="AO14" s="75">
        <f>IFERROR(VLOOKUP(AO$22,Tabulacao!$JL$2:$JN$15,2,0),"-")</f>
        <v>4</v>
      </c>
      <c r="AP14" s="75">
        <f>IFERROR(VLOOKUP(AP$22,Tabulacao!$JL$2:$JN$15,2,0),"-")</f>
        <v>4</v>
      </c>
      <c r="AQ14" s="77">
        <f>IFERROR(VLOOKUP(AQ$22,Tabulacao!$JL$2:$JN$15,2,0),"-")</f>
        <v>0.20832224396565185</v>
      </c>
      <c r="AR14" s="48"/>
      <c r="AS14" s="48"/>
      <c r="AT14" s="48"/>
      <c r="AU14" s="1"/>
      <c r="AV14" s="48"/>
      <c r="AW14" s="48"/>
      <c r="AX14" s="48"/>
      <c r="AY14" s="48"/>
      <c r="AZ14" s="48"/>
      <c r="BA14" s="48"/>
      <c r="BB14" s="48"/>
      <c r="BC14" s="48"/>
      <c r="BD14" s="48"/>
      <c r="BE14" s="48"/>
      <c r="BF14" s="93" t="s">
        <v>621</v>
      </c>
      <c r="BG14" s="94">
        <f>SUM(BG9:BG13)</f>
        <v>271</v>
      </c>
      <c r="BH14" s="95">
        <f>SUM(BH9:BH13)</f>
        <v>1</v>
      </c>
      <c r="BI14" s="48"/>
      <c r="BJ14" s="48"/>
      <c r="BK14" s="48"/>
      <c r="BL14" s="48"/>
      <c r="BM14" s="48"/>
      <c r="BN14" s="48"/>
      <c r="BO14" s="48"/>
      <c r="BP14" s="93" t="s">
        <v>621</v>
      </c>
      <c r="BQ14" s="94">
        <f>BL9</f>
        <v>186</v>
      </c>
      <c r="BR14" s="95" t="s">
        <v>933</v>
      </c>
      <c r="BS14" s="48"/>
      <c r="BT14" s="48"/>
      <c r="BU14" s="48"/>
      <c r="BV14" s="93" t="s">
        <v>621</v>
      </c>
      <c r="BW14" s="94">
        <f>SUM(BW9:BW13)</f>
        <v>186</v>
      </c>
      <c r="BX14" s="95">
        <f>SUM(BX9:BX13)</f>
        <v>1</v>
      </c>
      <c r="BY14" s="48"/>
      <c r="BZ14" s="48"/>
      <c r="CA14" s="48"/>
      <c r="CB14" s="48"/>
      <c r="CC14" s="48"/>
      <c r="CD14" s="48"/>
      <c r="CE14" s="48"/>
      <c r="CF14" s="48"/>
      <c r="CG14" s="48"/>
      <c r="CH14" s="93" t="s">
        <v>621</v>
      </c>
      <c r="CI14" s="94">
        <f>$CD$9</f>
        <v>141</v>
      </c>
      <c r="CJ14" s="95" t="s">
        <v>933</v>
      </c>
      <c r="CK14" s="48"/>
      <c r="CL14" s="48"/>
      <c r="CM14" s="93" t="s">
        <v>621</v>
      </c>
      <c r="CN14" s="94">
        <f>SUM(CN9:CN13)</f>
        <v>141</v>
      </c>
      <c r="CO14" s="95">
        <f>SUM(CO9:CO13)</f>
        <v>1</v>
      </c>
      <c r="CP14" s="48"/>
      <c r="CQ14" s="48"/>
      <c r="CR14" s="48"/>
      <c r="CS14" s="48"/>
      <c r="CT14" s="48"/>
      <c r="CU14" s="48"/>
      <c r="CV14" s="48"/>
      <c r="CW14" s="48"/>
      <c r="CX14" s="48"/>
      <c r="CY14" s="93" t="s">
        <v>621</v>
      </c>
      <c r="CZ14" s="94">
        <f>SUM(CZ9:CZ13)</f>
        <v>156</v>
      </c>
      <c r="DA14" s="95">
        <f>SUM(DA9:DA13)</f>
        <v>1</v>
      </c>
      <c r="DB14" s="48"/>
      <c r="DC14" s="48"/>
      <c r="DD14" s="48"/>
      <c r="DE14"/>
      <c r="DF14" s="48"/>
      <c r="DG14" s="60" t="str">
        <f>Tabulacao!OJ9</f>
        <v>Variância</v>
      </c>
      <c r="DH14" s="96">
        <f>Tabulacao!OK9</f>
        <v>0.65702732839862366</v>
      </c>
      <c r="DI14" s="48"/>
    </row>
    <row r="15" spans="1:114" x14ac:dyDescent="0.2">
      <c r="B15" s="48"/>
      <c r="C15" s="323"/>
      <c r="D15" s="48"/>
      <c r="E15" s="48"/>
      <c r="F15" s="60" t="str">
        <f>Tabulacao!IH10</f>
        <v>Portador de Diploma</v>
      </c>
      <c r="G15" s="52">
        <f>Tabulacao!II10</f>
        <v>2</v>
      </c>
      <c r="H15" s="53">
        <f>Tabulacao!IJ10</f>
        <v>7.3800738007380072E-3</v>
      </c>
      <c r="I15" s="48"/>
      <c r="J15" s="48"/>
      <c r="K15" s="48"/>
      <c r="L15" s="48"/>
      <c r="M15" s="48"/>
      <c r="N15" s="48"/>
      <c r="O15" s="81">
        <v>83</v>
      </c>
      <c r="P15" s="60" t="str">
        <f>Tabulacao!IQ2</f>
        <v>Eu me esforcei para obter as notas máximas</v>
      </c>
      <c r="Q15" s="19">
        <f>IFERROR(VLOOKUP(Q$13,Tabulacao!$IQ$2:$IS$15,3,0),"-")</f>
        <v>1.4760147601476014E-2</v>
      </c>
      <c r="R15" s="19">
        <f>IFERROR(VLOOKUP(R$13,Tabulacao!$IQ$2:$IS$15,3,0),"-")</f>
        <v>1.8450184501845018E-2</v>
      </c>
      <c r="S15" s="19">
        <f>IFERROR(VLOOKUP(S$13,Tabulacao!$IQ$2:$IS$15,3,0),"-")</f>
        <v>0.17343173431734318</v>
      </c>
      <c r="T15" s="19">
        <f>IFERROR(VLOOKUP(T$13,Tabulacao!$IQ$2:$IS$15,3,0),"-")</f>
        <v>0.36162361623616235</v>
      </c>
      <c r="U15" s="19">
        <f>IFERROR(VLOOKUP(U$13,Tabulacao!$IQ$2:$IS$15,3,0),"-")</f>
        <v>0.43173431734317341</v>
      </c>
      <c r="V15" s="19">
        <f>SUM(Q15:U15)</f>
        <v>1</v>
      </c>
      <c r="W15" s="76">
        <f>IFERROR(VLOOKUP(W$13,Tabulacao!$IQ$2:$IS$15,2,0),"-")</f>
        <v>4.1771217712177124</v>
      </c>
      <c r="X15" s="75">
        <f>IFERROR(VLOOKUP(X$13,Tabulacao!$IQ$2:$IS$15,2,0),"-")</f>
        <v>5</v>
      </c>
      <c r="Y15" s="75">
        <f>IFERROR(VLOOKUP(Y$13,Tabulacao!$IQ$2:$IS$15,2,0),"-")</f>
        <v>4</v>
      </c>
      <c r="Z15" s="77">
        <f>IFERROR(VLOOKUP(Z$13,Tabulacao!$IQ$2:$IS$15,2,0),"-")</f>
        <v>0.21188210236887992</v>
      </c>
      <c r="AA15" s="48"/>
      <c r="AB15" s="156" t="s">
        <v>1196</v>
      </c>
      <c r="AC15" s="48"/>
      <c r="AD15" s="48"/>
      <c r="AE15" s="48"/>
      <c r="AF15" s="82">
        <v>88</v>
      </c>
      <c r="AG15" s="65" t="s">
        <v>75</v>
      </c>
      <c r="AH15" s="213">
        <f>IFERROR(VLOOKUP(AH$8,Tabulacao!$JO$2:$JQ$15,2,0),"-")</f>
        <v>1</v>
      </c>
      <c r="AI15" s="213">
        <f>IFERROR(VLOOKUP(AI$8,Tabulacao!$JO$2:$JQ$15,2,0),"-")</f>
        <v>9</v>
      </c>
      <c r="AJ15" s="213">
        <f>IFERROR(VLOOKUP(AJ$8,Tabulacao!$JO$2:$JQ$15,2,0),"-")</f>
        <v>68</v>
      </c>
      <c r="AK15" s="213">
        <f>IFERROR(VLOOKUP(AK$8,Tabulacao!$JO$2:$JQ$15,2,0),"-")</f>
        <v>101</v>
      </c>
      <c r="AL15" s="213">
        <f>IFERROR(VLOOKUP(AL$8,Tabulacao!$JO$2:$JQ$15,2,0),"-")</f>
        <v>92</v>
      </c>
      <c r="AM15" s="230">
        <f t="shared" si="0"/>
        <v>271</v>
      </c>
      <c r="AN15" s="78">
        <f>IFERROR(VLOOKUP(AN$22,Tabulacao!$JO$2:$JQ$15,2,0),"-")</f>
        <v>4.0110701107011071</v>
      </c>
      <c r="AO15" s="79">
        <f>IFERROR(VLOOKUP(AO$22,Tabulacao!$JO$2:$JQ$15,2,0),"-")</f>
        <v>4</v>
      </c>
      <c r="AP15" s="79">
        <f>IFERROR(VLOOKUP(AP$22,Tabulacao!$JO$2:$JQ$15,2,0),"-")</f>
        <v>4</v>
      </c>
      <c r="AQ15" s="80">
        <f>IFERROR(VLOOKUP(AQ$22,Tabulacao!$JO$2:$JQ$15,2,0),"-")</f>
        <v>0.21721990237850988</v>
      </c>
      <c r="AR15" s="48"/>
      <c r="AS15" s="48"/>
      <c r="AT15" s="48"/>
      <c r="AU15" s="1"/>
      <c r="AV15" s="48"/>
      <c r="AW15" s="48"/>
      <c r="AX15" s="48"/>
      <c r="AY15" s="48"/>
      <c r="AZ15" s="48"/>
      <c r="BA15" s="48"/>
      <c r="BB15" s="48"/>
      <c r="BC15" s="48"/>
      <c r="BD15" s="48"/>
      <c r="BE15" s="48"/>
      <c r="BF15" s="48"/>
      <c r="BG15" s="48"/>
      <c r="BH15" s="48"/>
      <c r="BI15" s="48"/>
      <c r="BJ15" s="48"/>
      <c r="BK15" s="48"/>
      <c r="BL15" s="48"/>
      <c r="BM15" s="48"/>
      <c r="BN15" s="48"/>
      <c r="BO15" s="48"/>
      <c r="BP15" s="48"/>
      <c r="BQ15" s="48"/>
      <c r="BR15" s="48"/>
      <c r="BS15" s="48"/>
      <c r="BT15" s="48"/>
      <c r="BU15" s="48"/>
      <c r="BV15" s="61" t="str">
        <f>Tabulacao!LB10</f>
        <v>Média</v>
      </c>
      <c r="BW15" s="62">
        <f>Tabulacao!LC10</f>
        <v>3.913978494623656</v>
      </c>
      <c r="BX15" s="63" t="s">
        <v>933</v>
      </c>
      <c r="BY15" s="48"/>
      <c r="BZ15" s="48"/>
      <c r="CA15" s="48"/>
      <c r="CB15" s="48"/>
      <c r="CC15" s="48"/>
      <c r="CD15" s="48"/>
      <c r="CE15" s="48"/>
      <c r="CF15" s="48"/>
      <c r="CG15" s="48"/>
      <c r="CH15" s="48"/>
      <c r="CI15" s="48"/>
      <c r="CJ15" s="48"/>
      <c r="CK15" s="48"/>
      <c r="CL15" s="48"/>
      <c r="CM15" s="61" t="str">
        <f>Tabulacao!LK10</f>
        <v>Média</v>
      </c>
      <c r="CN15" s="62">
        <f>Tabulacao!LL10</f>
        <v>4.1843971631205674</v>
      </c>
      <c r="CO15" s="63" t="s">
        <v>933</v>
      </c>
      <c r="CP15" s="48"/>
      <c r="CQ15" s="48"/>
      <c r="CR15" s="48"/>
      <c r="CS15" s="48"/>
      <c r="CT15" s="48"/>
      <c r="CU15" s="48"/>
      <c r="CV15" s="48"/>
      <c r="CW15" s="48"/>
      <c r="CX15" s="48"/>
      <c r="CY15" s="61" t="str">
        <f>Tabulacao!LQ10</f>
        <v>Média</v>
      </c>
      <c r="CZ15" s="62">
        <f>Tabulacao!LR10</f>
        <v>4.5897435897435894</v>
      </c>
      <c r="DA15" s="63" t="s">
        <v>933</v>
      </c>
      <c r="DB15" s="48"/>
      <c r="DC15" s="48"/>
      <c r="DD15" s="48"/>
      <c r="DE15"/>
      <c r="DF15" s="48"/>
      <c r="DG15" s="60" t="str">
        <f>Tabulacao!OJ10</f>
        <v>CV</v>
      </c>
      <c r="DH15" s="96">
        <f>Tabulacao!OK10</f>
        <v>0.10785404458335845</v>
      </c>
      <c r="DI15" s="48"/>
    </row>
    <row r="16" spans="1:114" x14ac:dyDescent="0.2">
      <c r="B16" s="48"/>
      <c r="C16" s="323"/>
      <c r="D16" s="48"/>
      <c r="E16" s="48"/>
      <c r="F16" s="93" t="s">
        <v>621</v>
      </c>
      <c r="G16" s="94">
        <f>SUM(G9:G15)</f>
        <v>271</v>
      </c>
      <c r="H16" s="95">
        <f>SUM(H9:H15)</f>
        <v>1</v>
      </c>
      <c r="I16" s="48"/>
      <c r="J16" s="48"/>
      <c r="K16" s="156" t="s">
        <v>1195</v>
      </c>
      <c r="L16" s="48"/>
      <c r="M16" s="48"/>
      <c r="N16" s="48"/>
      <c r="O16" s="48"/>
      <c r="P16" s="48"/>
      <c r="Q16" s="48"/>
      <c r="R16" s="48"/>
      <c r="S16" s="48"/>
      <c r="T16" s="48"/>
      <c r="U16" s="48"/>
      <c r="V16" s="48"/>
      <c r="W16" s="48"/>
      <c r="X16" s="48"/>
      <c r="Y16" s="48"/>
      <c r="Z16" s="48"/>
      <c r="AA16" s="48"/>
      <c r="AB16" s="48"/>
      <c r="AC16" s="48"/>
      <c r="AD16" s="48"/>
      <c r="AE16" s="48"/>
      <c r="AF16" s="81">
        <v>89</v>
      </c>
      <c r="AG16" s="51" t="s">
        <v>76</v>
      </c>
      <c r="AH16" s="214">
        <f>IFERROR(VLOOKUP(AH$8,Tabulacao!$JR$2:$JT$15,2,0),"-")</f>
        <v>2</v>
      </c>
      <c r="AI16" s="214">
        <f>IFERROR(VLOOKUP(AI$8,Tabulacao!$JR$2:$JT$15,2,0),"-")</f>
        <v>14</v>
      </c>
      <c r="AJ16" s="214">
        <f>IFERROR(VLOOKUP(AJ$8,Tabulacao!$JR$2:$JT$15,2,0),"-")</f>
        <v>59</v>
      </c>
      <c r="AK16" s="214">
        <f>IFERROR(VLOOKUP(AK$8,Tabulacao!$JR$2:$JT$15,2,0),"-")</f>
        <v>100</v>
      </c>
      <c r="AL16" s="214">
        <f>IFERROR(VLOOKUP(AL$8,Tabulacao!$JR$2:$JT$15,2,0),"-")</f>
        <v>96</v>
      </c>
      <c r="AM16" s="229">
        <f t="shared" si="0"/>
        <v>271</v>
      </c>
      <c r="AN16" s="76">
        <f>IFERROR(VLOOKUP(AN$22,Tabulacao!$JR$2:$JT$15,2,0),"-")</f>
        <v>4.0110701107011071</v>
      </c>
      <c r="AO16" s="75">
        <f>IFERROR(VLOOKUP(AO$22,Tabulacao!$JR$2:$JT$15,2,0),"-")</f>
        <v>4</v>
      </c>
      <c r="AP16" s="75">
        <f>IFERROR(VLOOKUP(AP$22,Tabulacao!$JR$2:$JT$15,2,0),"-")</f>
        <v>4</v>
      </c>
      <c r="AQ16" s="77">
        <f>IFERROR(VLOOKUP(AQ$22,Tabulacao!$JR$2:$JT$15,2,0),"-")</f>
        <v>0.22958531839264124</v>
      </c>
      <c r="AR16" s="48"/>
      <c r="AS16" s="138" t="s">
        <v>998</v>
      </c>
      <c r="AT16" s="167" t="s">
        <v>1085</v>
      </c>
      <c r="AU16" s="138">
        <v>1</v>
      </c>
      <c r="AV16" s="138">
        <v>2</v>
      </c>
      <c r="AW16" s="138">
        <v>3</v>
      </c>
      <c r="AX16" s="138">
        <v>4</v>
      </c>
      <c r="AY16" s="138">
        <v>5</v>
      </c>
      <c r="AZ16" s="138" t="s">
        <v>621</v>
      </c>
      <c r="BA16" s="138" t="s">
        <v>160</v>
      </c>
      <c r="BB16" s="138" t="s">
        <v>161</v>
      </c>
      <c r="BC16" s="138" t="s">
        <v>162</v>
      </c>
      <c r="BD16" s="138" t="s">
        <v>995</v>
      </c>
      <c r="BE16" s="48"/>
      <c r="BF16" s="48"/>
      <c r="BG16" s="48"/>
      <c r="BH16" s="48"/>
      <c r="BI16" s="48"/>
      <c r="BJ16" s="48"/>
      <c r="BK16" s="48"/>
      <c r="BL16" s="48"/>
      <c r="BM16" s="48"/>
      <c r="BN16" s="48"/>
      <c r="BO16" s="48"/>
      <c r="BP16" s="48"/>
      <c r="BQ16" s="48"/>
      <c r="BR16" s="48"/>
      <c r="BS16" s="48"/>
      <c r="BT16" s="48"/>
      <c r="BU16" s="48"/>
      <c r="BV16" s="61" t="str">
        <f>Tabulacao!LB11</f>
        <v>Moda</v>
      </c>
      <c r="BW16" s="64">
        <f>Tabulacao!LC11</f>
        <v>5</v>
      </c>
      <c r="BX16" s="63" t="s">
        <v>933</v>
      </c>
      <c r="BY16" s="48"/>
      <c r="BZ16" s="48"/>
      <c r="CA16" s="48"/>
      <c r="CB16" s="48"/>
      <c r="CC16" s="48"/>
      <c r="CD16" s="48"/>
      <c r="CE16" s="48"/>
      <c r="CF16" s="48"/>
      <c r="CG16" s="48"/>
      <c r="CH16" s="48"/>
      <c r="CI16" s="48"/>
      <c r="CJ16" s="48"/>
      <c r="CK16" s="48"/>
      <c r="CL16" s="48"/>
      <c r="CM16" s="61" t="str">
        <f>Tabulacao!LK11</f>
        <v>Moda</v>
      </c>
      <c r="CN16" s="64">
        <f>Tabulacao!LL11</f>
        <v>5</v>
      </c>
      <c r="CO16" s="63" t="s">
        <v>933</v>
      </c>
      <c r="CP16" s="48"/>
      <c r="CQ16" s="48"/>
      <c r="CR16" s="48"/>
      <c r="CS16" s="48"/>
      <c r="CT16" s="48"/>
      <c r="CU16" s="48"/>
      <c r="CV16" s="48"/>
      <c r="CW16" s="48"/>
      <c r="CX16" s="48"/>
      <c r="CY16" s="61" t="str">
        <f>Tabulacao!LQ11</f>
        <v>Moda</v>
      </c>
      <c r="CZ16" s="64">
        <f>Tabulacao!LR11</f>
        <v>5</v>
      </c>
      <c r="DA16" s="63" t="s">
        <v>933</v>
      </c>
      <c r="DB16" s="48"/>
      <c r="DC16" s="48"/>
      <c r="DD16" s="48"/>
      <c r="DE16"/>
      <c r="DF16" s="48"/>
      <c r="DG16" s="48"/>
      <c r="DH16" s="48"/>
      <c r="DI16" s="48"/>
    </row>
    <row r="17" spans="2:113" x14ac:dyDescent="0.2">
      <c r="B17" s="48"/>
      <c r="C17" s="323"/>
      <c r="D17" s="48"/>
      <c r="E17" s="48"/>
      <c r="F17" s="48"/>
      <c r="G17" s="128"/>
      <c r="H17" s="48"/>
      <c r="I17" s="48"/>
      <c r="J17" s="48"/>
      <c r="K17" s="48"/>
      <c r="L17" s="48"/>
      <c r="M17" s="48"/>
      <c r="N17" s="48"/>
      <c r="O17" s="48"/>
      <c r="P17" s="48"/>
      <c r="Q17" s="48"/>
      <c r="R17" s="48"/>
      <c r="S17" s="48"/>
      <c r="T17" s="48"/>
      <c r="U17" s="48"/>
      <c r="V17" s="48"/>
      <c r="W17" s="48"/>
      <c r="X17" s="48"/>
      <c r="Y17" s="48"/>
      <c r="Z17" s="48"/>
      <c r="AA17" s="341" t="s">
        <v>1159</v>
      </c>
      <c r="AB17" s="261" t="s">
        <v>120</v>
      </c>
      <c r="AC17" s="48"/>
      <c r="AD17" s="48"/>
      <c r="AE17" s="48"/>
      <c r="AF17" s="82">
        <v>90</v>
      </c>
      <c r="AG17" s="65" t="s">
        <v>77</v>
      </c>
      <c r="AH17" s="213">
        <f>IFERROR(VLOOKUP(AH$8,Tabulacao!$JU$2:$JW$15,2,0),"-")</f>
        <v>35</v>
      </c>
      <c r="AI17" s="213">
        <f>IFERROR(VLOOKUP(AI$8,Tabulacao!$JU$2:$JW$15,2,0),"-")</f>
        <v>67</v>
      </c>
      <c r="AJ17" s="213">
        <f>IFERROR(VLOOKUP(AJ$8,Tabulacao!$JU$2:$JW$15,2,0),"-")</f>
        <v>77</v>
      </c>
      <c r="AK17" s="213">
        <f>IFERROR(VLOOKUP(AK$8,Tabulacao!$JU$2:$JW$15,2,0),"-")</f>
        <v>66</v>
      </c>
      <c r="AL17" s="213">
        <f>IFERROR(VLOOKUP(AL$8,Tabulacao!$JU$2:$JW$15,2,0),"-")</f>
        <v>26</v>
      </c>
      <c r="AM17" s="230">
        <f t="shared" si="0"/>
        <v>271</v>
      </c>
      <c r="AN17" s="78">
        <f>IFERROR(VLOOKUP(AN$22,Tabulacao!$JU$2:$JW$15,2,0),"-")</f>
        <v>2.9298892988929888</v>
      </c>
      <c r="AO17" s="79">
        <f>IFERROR(VLOOKUP(AO$22,Tabulacao!$JU$2:$JW$15,2,0),"-")</f>
        <v>3</v>
      </c>
      <c r="AP17" s="79">
        <f>IFERROR(VLOOKUP(AP$22,Tabulacao!$JU$2:$JW$15,2,0),"-")</f>
        <v>3</v>
      </c>
      <c r="AQ17" s="80">
        <f>IFERROR(VLOOKUP(AQ$22,Tabulacao!$JU$2:$JW$15,2,0),"-")</f>
        <v>0.40259552943322519</v>
      </c>
      <c r="AR17" s="48"/>
      <c r="AS17" s="82">
        <v>93</v>
      </c>
      <c r="AT17" s="65" t="str">
        <f>Tabulacao!KD2</f>
        <v>Iniciar no mundo do trabalho?</v>
      </c>
      <c r="AU17" s="83">
        <f>IFERROR(VLOOKUP(AU$16,Tabulacao!$KD$2:$KF$15,3,0),"-")</f>
        <v>7.0110701107011064E-2</v>
      </c>
      <c r="AV17" s="83">
        <f>IFERROR(VLOOKUP(AV$16,Tabulacao!$KD$2:$KF$15,3,0),"-")</f>
        <v>6.273062730627306E-2</v>
      </c>
      <c r="AW17" s="83">
        <f>IFERROR(VLOOKUP(AW$16,Tabulacao!$KD$2:$KF$15,3,0),"-")</f>
        <v>0.2140221402214022</v>
      </c>
      <c r="AX17" s="83">
        <f>IFERROR(VLOOKUP(AX$16,Tabulacao!$KD$2:$KF$15,3,0),"-")</f>
        <v>0.32472324723247231</v>
      </c>
      <c r="AY17" s="83">
        <f>IFERROR(VLOOKUP(AY$16,Tabulacao!$KD$2:$KF$15,3,0),"-")</f>
        <v>0.32841328413284132</v>
      </c>
      <c r="AZ17" s="231">
        <f>SUM(AU17:AY17)</f>
        <v>1</v>
      </c>
      <c r="BA17" s="78">
        <f>IFERROR(VLOOKUP(BA$16,Tabulacao!$KD$2:$KF$15,2,0),"-")</f>
        <v>3.7785977859778597</v>
      </c>
      <c r="BB17" s="79">
        <f>IFERROR(VLOOKUP(BB$16,Tabulacao!$KD$2:$KF$15,2,0),"-")</f>
        <v>5</v>
      </c>
      <c r="BC17" s="79">
        <f>IFERROR(VLOOKUP(BC$16,Tabulacao!$KD$2:$KF$15,2,0),"-")</f>
        <v>4</v>
      </c>
      <c r="BD17" s="80">
        <f>IFERROR(VLOOKUP(BD$16,Tabulacao!$KD$2:$KF$15,2,0),"-")</f>
        <v>0.31093985597309681</v>
      </c>
      <c r="BE17" s="233"/>
      <c r="BF17" s="48"/>
      <c r="BG17" s="48"/>
      <c r="BH17" s="48"/>
      <c r="BI17" s="48"/>
      <c r="BJ17" s="48"/>
      <c r="BK17" s="48"/>
      <c r="BL17" s="48"/>
      <c r="BM17" s="48"/>
      <c r="BN17" s="48"/>
      <c r="BO17" s="48"/>
      <c r="BP17" s="137" t="s">
        <v>1038</v>
      </c>
      <c r="BQ17" s="138" t="s">
        <v>131</v>
      </c>
      <c r="BR17" s="138" t="s">
        <v>132</v>
      </c>
      <c r="BS17" s="48"/>
      <c r="BT17" s="48"/>
      <c r="BU17" s="48"/>
      <c r="BV17" s="61" t="str">
        <f>Tabulacao!LB13</f>
        <v>Desvio Padrão</v>
      </c>
      <c r="BW17" s="62">
        <f>Tabulacao!LC13</f>
        <v>1.3368451282150509</v>
      </c>
      <c r="BX17" s="63" t="s">
        <v>933</v>
      </c>
      <c r="BY17" s="48"/>
      <c r="BZ17" s="48"/>
      <c r="CA17" s="48"/>
      <c r="CB17" s="48"/>
      <c r="CC17" s="48"/>
      <c r="CD17" s="48"/>
      <c r="CE17" s="48"/>
      <c r="CF17" s="48"/>
      <c r="CG17" s="48"/>
      <c r="CH17" s="167" t="s">
        <v>1045</v>
      </c>
      <c r="CI17" s="138" t="s">
        <v>131</v>
      </c>
      <c r="CJ17" s="138" t="s">
        <v>132</v>
      </c>
      <c r="CK17" s="48"/>
      <c r="CL17" s="48"/>
      <c r="CM17" s="61" t="str">
        <f>Tabulacao!LK13</f>
        <v>Desvio Padrão</v>
      </c>
      <c r="CN17" s="62">
        <f>Tabulacao!LL13</f>
        <v>1.1250576929932623</v>
      </c>
      <c r="CO17" s="63" t="s">
        <v>933</v>
      </c>
      <c r="CP17" s="48"/>
      <c r="CQ17" s="48"/>
      <c r="CR17" s="48"/>
      <c r="CS17" s="48"/>
      <c r="CT17" s="48"/>
      <c r="CU17" s="48"/>
      <c r="CV17" s="48"/>
      <c r="CW17" s="48"/>
      <c r="CX17" s="48"/>
      <c r="CY17" s="61" t="str">
        <f>Tabulacao!LQ13</f>
        <v>Desvio Padrão</v>
      </c>
      <c r="CZ17" s="62">
        <f>Tabulacao!LR13</f>
        <v>0.743763705728267</v>
      </c>
      <c r="DA17" s="63" t="s">
        <v>933</v>
      </c>
      <c r="DB17" s="48"/>
      <c r="DC17" s="48"/>
      <c r="DD17" s="48"/>
      <c r="DE17"/>
      <c r="DF17" s="48"/>
      <c r="DG17" s="48"/>
      <c r="DH17" s="48"/>
      <c r="DI17" s="48"/>
    </row>
    <row r="18" spans="2:113" x14ac:dyDescent="0.2">
      <c r="B18" s="48"/>
      <c r="C18" s="323"/>
      <c r="D18" s="48"/>
      <c r="E18" s="48"/>
      <c r="F18" s="48"/>
      <c r="G18" s="48"/>
      <c r="H18" s="48"/>
      <c r="I18" s="48"/>
      <c r="J18" s="341" t="s">
        <v>1159</v>
      </c>
      <c r="K18" s="261" t="s">
        <v>124</v>
      </c>
      <c r="L18" s="48"/>
      <c r="M18" s="48"/>
      <c r="N18" s="48"/>
      <c r="O18" s="48"/>
      <c r="P18" s="48"/>
      <c r="Q18" s="48"/>
      <c r="R18" s="48"/>
      <c r="S18" s="48"/>
      <c r="T18" s="48"/>
      <c r="U18" s="48"/>
      <c r="V18" s="48"/>
      <c r="W18" s="48"/>
      <c r="X18" s="48"/>
      <c r="Y18" s="48"/>
      <c r="Z18" s="48"/>
      <c r="AA18" s="48"/>
      <c r="AB18" s="197" t="s">
        <v>1035</v>
      </c>
      <c r="AC18" s="187" t="s">
        <v>131</v>
      </c>
      <c r="AD18" s="187" t="s">
        <v>132</v>
      </c>
      <c r="AE18" s="48"/>
      <c r="AF18" s="81">
        <v>91</v>
      </c>
      <c r="AG18" s="51" t="s">
        <v>78</v>
      </c>
      <c r="AH18" s="214">
        <f>IFERROR(VLOOKUP(AH$8,Tabulacao!$JX$2:$JZ$15,2,0),"-")</f>
        <v>20</v>
      </c>
      <c r="AI18" s="214">
        <f>IFERROR(VLOOKUP(AI$8,Tabulacao!$JX$2:$JZ$15,2,0),"-")</f>
        <v>66</v>
      </c>
      <c r="AJ18" s="214">
        <f>IFERROR(VLOOKUP(AJ$8,Tabulacao!$JX$2:$JZ$15,2,0),"-")</f>
        <v>80</v>
      </c>
      <c r="AK18" s="214">
        <f>IFERROR(VLOOKUP(AK$8,Tabulacao!$JX$2:$JZ$15,2,0),"-")</f>
        <v>65</v>
      </c>
      <c r="AL18" s="214">
        <f>IFERROR(VLOOKUP(AL$8,Tabulacao!$JX$2:$JZ$15,2,0),"-")</f>
        <v>40</v>
      </c>
      <c r="AM18" s="229">
        <f t="shared" si="0"/>
        <v>271</v>
      </c>
      <c r="AN18" s="76">
        <f>IFERROR(VLOOKUP(AN$22,Tabulacao!$JX$2:$JZ$15,2,0),"-")</f>
        <v>3.1439114391143912</v>
      </c>
      <c r="AO18" s="75">
        <f>IFERROR(VLOOKUP(AO$22,Tabulacao!$JX$2:$JZ$15,2,0),"-")</f>
        <v>3</v>
      </c>
      <c r="AP18" s="75">
        <f>IFERROR(VLOOKUP(AP$22,Tabulacao!$JX$2:$JZ$15,2,0),"-")</f>
        <v>3</v>
      </c>
      <c r="AQ18" s="77">
        <f>IFERROR(VLOOKUP(AQ$22,Tabulacao!$JX$2:$JZ$15,2,0),"-")</f>
        <v>0.37001951502240604</v>
      </c>
      <c r="AR18" s="48"/>
      <c r="AS18" s="81">
        <v>94</v>
      </c>
      <c r="AT18" s="51" t="str">
        <f>Tabulacao!KG2</f>
        <v xml:space="preserve">Desenvolver suas atividades atuais? </v>
      </c>
      <c r="AU18" s="19">
        <f>IFERROR(VLOOKUP(AU$16,Tabulacao!$KG$2:$KI$15,3,0),"-")</f>
        <v>9.5940959409594101E-2</v>
      </c>
      <c r="AV18" s="19">
        <f>IFERROR(VLOOKUP(AV$16,Tabulacao!$KG$2:$KI$15,3,0),"-")</f>
        <v>8.1180811808118078E-2</v>
      </c>
      <c r="AW18" s="19">
        <f>IFERROR(VLOOKUP(AW$16,Tabulacao!$KG$2:$KI$15,3,0),"-")</f>
        <v>0.18450184501845018</v>
      </c>
      <c r="AX18" s="19">
        <f>IFERROR(VLOOKUP(AX$16,Tabulacao!$KG$2:$KI$15,3,0),"-")</f>
        <v>0.35055350553505538</v>
      </c>
      <c r="AY18" s="19">
        <f>IFERROR(VLOOKUP(AY$16,Tabulacao!$KG$2:$KI$15,3,0),"-")</f>
        <v>0.28782287822878228</v>
      </c>
      <c r="AZ18" s="232">
        <f t="shared" ref="AZ18:AZ21" si="3">SUM(AU18:AY18)</f>
        <v>1</v>
      </c>
      <c r="BA18" s="76">
        <f>IFERROR(VLOOKUP(BA$16,Tabulacao!$KG$2:$KI$15,2,0),"-")</f>
        <v>3.6531365313653135</v>
      </c>
      <c r="BB18" s="75">
        <f>IFERROR(VLOOKUP(BB$16,Tabulacao!$KG$2:$KI$15,2,0),"-")</f>
        <v>4</v>
      </c>
      <c r="BC18" s="75">
        <f>IFERROR(VLOOKUP(BC$16,Tabulacao!$KG$2:$KI$15,2,0),"-")</f>
        <v>4</v>
      </c>
      <c r="BD18" s="77">
        <f>IFERROR(VLOOKUP(BD$16,Tabulacao!$KG$2:$KI$15,2,0),"-")</f>
        <v>0.34034999532115684</v>
      </c>
      <c r="BE18" s="233"/>
      <c r="BF18" s="48"/>
      <c r="BG18" s="48"/>
      <c r="BH18" s="48"/>
      <c r="BI18" s="48"/>
      <c r="BJ18" s="48"/>
      <c r="BK18" s="48"/>
      <c r="BL18" s="48"/>
      <c r="BM18" s="48"/>
      <c r="BN18" s="48"/>
      <c r="BO18" s="48"/>
      <c r="BP18" s="60" t="s">
        <v>254</v>
      </c>
      <c r="BQ18" s="52">
        <f t="shared" ref="BQ18:BR22" si="4">BQ9</f>
        <v>79</v>
      </c>
      <c r="BR18" s="53">
        <f t="shared" si="4"/>
        <v>0.42473118279569894</v>
      </c>
      <c r="BS18" s="48"/>
      <c r="BT18" s="48"/>
      <c r="BU18" s="48"/>
      <c r="BV18" s="61" t="str">
        <f>Tabulacao!LB14</f>
        <v>Variância</v>
      </c>
      <c r="BW18" s="62">
        <f>Tabulacao!LC14</f>
        <v>1.7871548968323159</v>
      </c>
      <c r="BX18" s="63" t="s">
        <v>933</v>
      </c>
      <c r="BY18" s="48"/>
      <c r="BZ18" s="48"/>
      <c r="CA18" s="48"/>
      <c r="CB18" s="48"/>
      <c r="CC18" s="48"/>
      <c r="CD18" s="48"/>
      <c r="CE18" s="48"/>
      <c r="CF18" s="48"/>
      <c r="CG18" s="48"/>
      <c r="CH18" s="60" t="s">
        <v>258</v>
      </c>
      <c r="CI18" s="52">
        <f>CI9</f>
        <v>47</v>
      </c>
      <c r="CJ18" s="53">
        <f>CJ9</f>
        <v>0.33333333333333331</v>
      </c>
      <c r="CK18" s="48"/>
      <c r="CL18" s="48"/>
      <c r="CM18" s="61" t="str">
        <f>Tabulacao!LK14</f>
        <v>Variância</v>
      </c>
      <c r="CN18" s="62">
        <f>Tabulacao!LL14</f>
        <v>1.2657548125633216</v>
      </c>
      <c r="CO18" s="63" t="s">
        <v>933</v>
      </c>
      <c r="CP18" s="48"/>
      <c r="CQ18" s="48"/>
      <c r="CR18" s="48"/>
      <c r="CS18" s="48"/>
      <c r="CT18" s="48"/>
      <c r="CU18" s="48"/>
      <c r="CV18" s="48"/>
      <c r="CW18" s="48"/>
      <c r="CX18" s="48"/>
      <c r="CY18" s="61" t="str">
        <f>Tabulacao!LQ14</f>
        <v>Variância</v>
      </c>
      <c r="CZ18" s="62">
        <f>Tabulacao!LR14</f>
        <v>0.55318444995864413</v>
      </c>
      <c r="DA18" s="63" t="s">
        <v>933</v>
      </c>
      <c r="DB18" s="48"/>
      <c r="DC18" s="48"/>
      <c r="DD18" s="48"/>
      <c r="DE18"/>
      <c r="DF18" s="48"/>
      <c r="DG18" s="156" t="s">
        <v>1204</v>
      </c>
      <c r="DH18" s="48"/>
      <c r="DI18" s="48"/>
    </row>
    <row r="19" spans="2:113" x14ac:dyDescent="0.2">
      <c r="B19" s="48"/>
      <c r="C19" s="323"/>
      <c r="D19" s="48"/>
      <c r="E19" s="48"/>
      <c r="F19" s="48"/>
      <c r="G19" s="48"/>
      <c r="H19" s="48"/>
      <c r="I19" s="48"/>
      <c r="J19" s="48"/>
      <c r="K19" s="197" t="str">
        <f>K8</f>
        <v>Cotista?</v>
      </c>
      <c r="L19" s="187" t="str">
        <f>L8</f>
        <v>f</v>
      </c>
      <c r="M19" s="187" t="str">
        <f>M8</f>
        <v>%</v>
      </c>
      <c r="N19" s="48"/>
      <c r="O19" s="48"/>
      <c r="P19" s="156" t="s">
        <v>1196</v>
      </c>
      <c r="Q19" s="315" t="s">
        <v>1214</v>
      </c>
      <c r="R19" s="333"/>
      <c r="S19" s="316"/>
      <c r="T19" s="48"/>
      <c r="U19" s="48"/>
      <c r="V19" s="48"/>
      <c r="W19" s="48"/>
      <c r="X19" s="48"/>
      <c r="Y19" s="48"/>
      <c r="Z19" s="48"/>
      <c r="AA19" s="48"/>
      <c r="AB19" s="60" t="str">
        <f>AB9</f>
        <v>Estudar era minha principal atividade</v>
      </c>
      <c r="AC19" s="52">
        <f>COUNTIFS(Respostas_Formatadas!$C:$C,AvalInst!$AB$17,Respostas_Formatadas!$CR:$CR,AvalInst!AB19)</f>
        <v>4</v>
      </c>
      <c r="AD19" s="53">
        <f>IFERROR(AC19/$AC$21,"-")</f>
        <v>0.21052631578947367</v>
      </c>
      <c r="AE19" s="48"/>
      <c r="AF19" s="82">
        <v>92</v>
      </c>
      <c r="AG19" s="65" t="s">
        <v>79</v>
      </c>
      <c r="AH19" s="213">
        <f>IFERROR(VLOOKUP(AH$8,Tabulacao!$KA$2:$KC$15,2,0),"-")</f>
        <v>24</v>
      </c>
      <c r="AI19" s="213">
        <f>IFERROR(VLOOKUP(AI$8,Tabulacao!$KA$2:$KC$15,2,0),"-")</f>
        <v>52</v>
      </c>
      <c r="AJ19" s="213">
        <f>IFERROR(VLOOKUP(AJ$8,Tabulacao!$KA$2:$KC$15,2,0),"-")</f>
        <v>98</v>
      </c>
      <c r="AK19" s="213">
        <f>IFERROR(VLOOKUP(AK$8,Tabulacao!$KA$2:$KC$15,2,0),"-")</f>
        <v>58</v>
      </c>
      <c r="AL19" s="213">
        <f>IFERROR(VLOOKUP(AL$8,Tabulacao!$KA$2:$KC$15,2,0),"-")</f>
        <v>39</v>
      </c>
      <c r="AM19" s="230">
        <f t="shared" si="0"/>
        <v>271</v>
      </c>
      <c r="AN19" s="78">
        <f>IFERROR(VLOOKUP(AN$22,Tabulacao!$KA$2:$KC$15,2,0),"-")</f>
        <v>3.1328413284132841</v>
      </c>
      <c r="AO19" s="79">
        <f>IFERROR(VLOOKUP(AO$22,Tabulacao!$KA$2:$KC$15,2,0),"-")</f>
        <v>3</v>
      </c>
      <c r="AP19" s="79">
        <f>IFERROR(VLOOKUP(AP$22,Tabulacao!$KA$2:$KC$15,2,0),"-")</f>
        <v>3</v>
      </c>
      <c r="AQ19" s="80">
        <f>IFERROR(VLOOKUP(AQ$22,Tabulacao!$KA$2:$KC$15,2,0),"-")</f>
        <v>0.36715226426555153</v>
      </c>
      <c r="AR19" s="48"/>
      <c r="AS19" s="82">
        <v>95</v>
      </c>
      <c r="AT19" s="65" t="str">
        <f>Tabulacao!KJ2</f>
        <v xml:space="preserve">Obter um futuro melhor na carreira? </v>
      </c>
      <c r="AU19" s="83">
        <f>IFERROR(VLOOKUP(AU$16,Tabulacao!$KJ$2:$KL$15,3,0),"-")</f>
        <v>6.273062730627306E-2</v>
      </c>
      <c r="AV19" s="83">
        <f>IFERROR(VLOOKUP(AV$16,Tabulacao!$KJ$2:$KL$15,3,0),"-")</f>
        <v>4.797047970479705E-2</v>
      </c>
      <c r="AW19" s="83">
        <f>IFERROR(VLOOKUP(AW$16,Tabulacao!$KJ$2:$KL$15,3,0),"-")</f>
        <v>0.20664206642066421</v>
      </c>
      <c r="AX19" s="83">
        <f>IFERROR(VLOOKUP(AX$16,Tabulacao!$KJ$2:$KL$15,3,0),"-")</f>
        <v>0.3210332103321033</v>
      </c>
      <c r="AY19" s="83">
        <f>IFERROR(VLOOKUP(AY$16,Tabulacao!$KJ$2:$KL$15,3,0),"-")</f>
        <v>0.36162361623616235</v>
      </c>
      <c r="AZ19" s="231">
        <f t="shared" si="3"/>
        <v>1</v>
      </c>
      <c r="BA19" s="78">
        <f>IFERROR(VLOOKUP(BA$16,Tabulacao!$KJ$2:$KL$15,2,0),"-")</f>
        <v>3.8708487084870851</v>
      </c>
      <c r="BB19" s="79">
        <f>IFERROR(VLOOKUP(BB$16,Tabulacao!$KJ$2:$KL$15,2,0),"-")</f>
        <v>5</v>
      </c>
      <c r="BC19" s="79">
        <f>IFERROR(VLOOKUP(BC$16,Tabulacao!$KJ$2:$KL$15,2,0),"-")</f>
        <v>4</v>
      </c>
      <c r="BD19" s="80">
        <f>IFERROR(VLOOKUP(BD$16,Tabulacao!$KJ$2:$KL$15,2,0),"-")</f>
        <v>0.29601083518921489</v>
      </c>
      <c r="BE19" s="233"/>
      <c r="BF19" s="48"/>
      <c r="BG19" s="48"/>
      <c r="BH19" s="48"/>
      <c r="BI19" s="48"/>
      <c r="BJ19" s="48"/>
      <c r="BK19" s="48"/>
      <c r="BL19" s="48"/>
      <c r="BM19" s="48"/>
      <c r="BN19" s="48"/>
      <c r="BO19" s="48"/>
      <c r="BP19" s="60" t="s">
        <v>1069</v>
      </c>
      <c r="BQ19" s="52">
        <f t="shared" si="4"/>
        <v>138</v>
      </c>
      <c r="BR19" s="53">
        <f t="shared" si="4"/>
        <v>0.74193548387096775</v>
      </c>
      <c r="BS19" s="48"/>
      <c r="BT19" s="48"/>
      <c r="BU19" s="48"/>
      <c r="BV19" s="61" t="str">
        <f>Tabulacao!LB15</f>
        <v>CV</v>
      </c>
      <c r="BW19" s="92">
        <f>Tabulacao!LC15</f>
        <v>0.34155658495604319</v>
      </c>
      <c r="BX19" s="63" t="s">
        <v>933</v>
      </c>
      <c r="BY19" s="48"/>
      <c r="BZ19" s="48"/>
      <c r="CA19" s="48"/>
      <c r="CB19" s="48"/>
      <c r="CC19" s="48"/>
      <c r="CD19" s="48"/>
      <c r="CE19" s="48"/>
      <c r="CF19" s="48"/>
      <c r="CG19" s="48"/>
      <c r="CH19" s="60" t="s">
        <v>1067</v>
      </c>
      <c r="CI19" s="52">
        <f t="shared" ref="CI19:CJ19" si="5">CI10</f>
        <v>93</v>
      </c>
      <c r="CJ19" s="53">
        <f t="shared" si="5"/>
        <v>0.65957446808510634</v>
      </c>
      <c r="CK19" s="48"/>
      <c r="CL19" s="48"/>
      <c r="CM19" s="61" t="str">
        <f>Tabulacao!LK15</f>
        <v>CV</v>
      </c>
      <c r="CN19" s="92">
        <f>Tabulacao!LL15</f>
        <v>0.26886971985093217</v>
      </c>
      <c r="CO19" s="63" t="s">
        <v>933</v>
      </c>
      <c r="CP19" s="48"/>
      <c r="CQ19" s="48"/>
      <c r="CR19" s="48"/>
      <c r="CS19" s="48"/>
      <c r="CT19" s="48"/>
      <c r="CU19" s="48"/>
      <c r="CV19" s="48"/>
      <c r="CW19" s="48"/>
      <c r="CX19" s="48"/>
      <c r="CY19" s="61" t="str">
        <f>Tabulacao!LQ15</f>
        <v>CV</v>
      </c>
      <c r="CZ19" s="92">
        <f>Tabulacao!LR15</f>
        <v>0.16204907554973416</v>
      </c>
      <c r="DA19" s="63" t="s">
        <v>933</v>
      </c>
      <c r="DB19" s="48"/>
      <c r="DC19" s="48"/>
      <c r="DD19" s="48"/>
      <c r="DE19"/>
      <c r="DF19" s="48"/>
      <c r="DG19" s="48"/>
      <c r="DH19" s="48"/>
      <c r="DI19" s="48"/>
    </row>
    <row r="20" spans="2:113" x14ac:dyDescent="0.2">
      <c r="B20" s="48"/>
      <c r="C20" s="323"/>
      <c r="D20" s="48"/>
      <c r="E20" s="48"/>
      <c r="F20" s="48"/>
      <c r="G20" s="48"/>
      <c r="H20" s="48"/>
      <c r="I20" s="48"/>
      <c r="J20" s="48"/>
      <c r="K20" s="60" t="str">
        <f>K9</f>
        <v>Não</v>
      </c>
      <c r="L20" s="52">
        <f>COUNTIFS(Respostas_Formatadas!$C:$C,AvalInst!$K$18,Respostas_Formatadas!$CO:$CO,AvalInst!$K20)</f>
        <v>39</v>
      </c>
      <c r="M20" s="53">
        <f>L20/$L$22</f>
        <v>0.8666666666666667</v>
      </c>
      <c r="N20" s="48"/>
      <c r="O20" s="48"/>
      <c r="P20" s="48"/>
      <c r="Q20" s="48"/>
      <c r="R20" s="48"/>
      <c r="S20" s="48"/>
      <c r="T20" s="48"/>
      <c r="U20" s="48"/>
      <c r="V20" s="48"/>
      <c r="W20" s="48"/>
      <c r="X20" s="48"/>
      <c r="Y20" s="48"/>
      <c r="Z20" s="48"/>
      <c r="AA20" s="48"/>
      <c r="AB20" s="60" t="str">
        <f>AB10</f>
        <v>Estudar não era minha principal atividade</v>
      </c>
      <c r="AC20" s="52">
        <f>COUNTIFS(Respostas_Formatadas!$C:$C,AvalInst!$AB$17,Respostas_Formatadas!$CR:$CR,AvalInst!AB20)</f>
        <v>15</v>
      </c>
      <c r="AD20" s="53">
        <f>IFERROR(AC20/$AC$21,"-")</f>
        <v>0.78947368421052633</v>
      </c>
      <c r="AE20" s="48"/>
      <c r="AF20" s="48"/>
      <c r="AG20" s="48"/>
      <c r="AH20" s="1"/>
      <c r="AI20" s="48"/>
      <c r="AJ20" s="48"/>
      <c r="AK20" s="48"/>
      <c r="AL20" s="48"/>
      <c r="AM20" s="48"/>
      <c r="AN20" s="48"/>
      <c r="AO20" s="48"/>
      <c r="AP20" s="48"/>
      <c r="AQ20" s="48"/>
      <c r="AR20" s="48"/>
      <c r="AS20" s="81">
        <v>96</v>
      </c>
      <c r="AT20" s="51" t="str">
        <f>Tabulacao!KM2</f>
        <v>Obter desenvolvimento pessoal?</v>
      </c>
      <c r="AU20" s="19">
        <f>IFERROR(VLOOKUP(AU$16,Tabulacao!$KM$2:$KO$15,3,0),"-")</f>
        <v>3.3210332103321034E-2</v>
      </c>
      <c r="AV20" s="19">
        <f>IFERROR(VLOOKUP(AV$16,Tabulacao!$KM$2:$KO$15,3,0),"-")</f>
        <v>4.4280442804428041E-2</v>
      </c>
      <c r="AW20" s="19">
        <f>IFERROR(VLOOKUP(AW$16,Tabulacao!$KM$2:$KO$15,3,0),"-")</f>
        <v>0.14760147601476015</v>
      </c>
      <c r="AX20" s="19">
        <f>IFERROR(VLOOKUP(AX$16,Tabulacao!$KM$2:$KO$15,3,0),"-")</f>
        <v>0.32841328413284132</v>
      </c>
      <c r="AY20" s="19">
        <f>IFERROR(VLOOKUP(AY$16,Tabulacao!$KM$2:$KO$15,3,0),"-")</f>
        <v>0.44649446494464945</v>
      </c>
      <c r="AZ20" s="232">
        <f t="shared" si="3"/>
        <v>1</v>
      </c>
      <c r="BA20" s="76">
        <f>IFERROR(VLOOKUP(BA$16,Tabulacao!$KM$2:$KO$15,2,0),"-")</f>
        <v>4.1107011070110699</v>
      </c>
      <c r="BB20" s="75">
        <f>IFERROR(VLOOKUP(BB$16,Tabulacao!$KM$2:$KO$15,2,0),"-")</f>
        <v>5</v>
      </c>
      <c r="BC20" s="75">
        <f>IFERROR(VLOOKUP(BC$16,Tabulacao!$KM$2:$KO$15,2,0),"-")</f>
        <v>4</v>
      </c>
      <c r="BD20" s="77">
        <f>IFERROR(VLOOKUP(BD$16,Tabulacao!$KM$2:$KO$15,2,0),"-")</f>
        <v>0.25066871415196473</v>
      </c>
      <c r="BE20" s="233"/>
      <c r="BF20" s="48"/>
      <c r="BG20" s="48"/>
      <c r="BH20" s="48"/>
      <c r="BI20" s="48"/>
      <c r="BJ20" s="48"/>
      <c r="BK20" s="48"/>
      <c r="BL20" s="48"/>
      <c r="BM20" s="48"/>
      <c r="BN20" s="48"/>
      <c r="BO20" s="48"/>
      <c r="BP20" s="60" t="s">
        <v>256</v>
      </c>
      <c r="BQ20" s="52">
        <f t="shared" si="4"/>
        <v>66</v>
      </c>
      <c r="BR20" s="53">
        <f t="shared" si="4"/>
        <v>0.35483870967741937</v>
      </c>
      <c r="BS20" s="48"/>
      <c r="BT20" s="48"/>
      <c r="BU20" s="48"/>
      <c r="BV20" s="48"/>
      <c r="BW20" s="48"/>
      <c r="BX20" s="48"/>
      <c r="BY20" s="48"/>
      <c r="BZ20" s="48"/>
      <c r="CA20" s="48"/>
      <c r="CB20" s="48"/>
      <c r="CC20" s="48"/>
      <c r="CD20" s="48"/>
      <c r="CE20" s="48"/>
      <c r="CF20" s="48"/>
      <c r="CG20" s="48"/>
      <c r="CH20" s="60" t="s">
        <v>260</v>
      </c>
      <c r="CI20" s="52">
        <f t="shared" ref="CI20:CJ20" si="6">CI11</f>
        <v>81</v>
      </c>
      <c r="CJ20" s="53">
        <f t="shared" si="6"/>
        <v>0.57446808510638303</v>
      </c>
      <c r="CK20" s="48"/>
      <c r="CL20" s="48"/>
      <c r="CM20" s="48"/>
      <c r="CN20" s="48"/>
      <c r="CO20" s="48"/>
      <c r="CP20" s="48"/>
      <c r="CQ20" s="48"/>
      <c r="CR20" s="48"/>
      <c r="CS20" s="48"/>
      <c r="CT20" s="48"/>
      <c r="CU20" s="48"/>
      <c r="CV20" s="48"/>
      <c r="CW20" s="48"/>
      <c r="CX20" s="48"/>
      <c r="CY20" s="48"/>
      <c r="CZ20" s="48"/>
      <c r="DA20" s="48"/>
      <c r="DB20" s="48"/>
      <c r="DC20" s="48"/>
      <c r="DD20" s="48"/>
      <c r="DE20"/>
      <c r="DF20" s="341" t="s">
        <v>1159</v>
      </c>
      <c r="DG20" s="261" t="s">
        <v>127</v>
      </c>
      <c r="DH20" s="48"/>
      <c r="DI20" s="48"/>
    </row>
    <row r="21" spans="2:113" x14ac:dyDescent="0.2">
      <c r="B21" s="48"/>
      <c r="C21" s="323"/>
      <c r="D21" s="48"/>
      <c r="E21" s="48"/>
      <c r="F21" s="48"/>
      <c r="G21" s="48"/>
      <c r="H21" s="48"/>
      <c r="I21" s="48"/>
      <c r="J21" s="48"/>
      <c r="K21" s="60" t="str">
        <f>K10</f>
        <v>Sim</v>
      </c>
      <c r="L21" s="52">
        <f>COUNTIFS(Respostas_Formatadas!$C:$C,AvalInst!$K$18,Respostas_Formatadas!$CO:$CO,AvalInst!$K21)</f>
        <v>6</v>
      </c>
      <c r="M21" s="53">
        <f>L21/$L$22</f>
        <v>0.13333333333333333</v>
      </c>
      <c r="N21" s="48"/>
      <c r="O21" s="341" t="s">
        <v>1159</v>
      </c>
      <c r="P21" s="261" t="s">
        <v>124</v>
      </c>
      <c r="Q21" s="48"/>
      <c r="R21" s="48"/>
      <c r="S21" s="48"/>
      <c r="T21" s="48"/>
      <c r="U21" s="48"/>
      <c r="V21" s="48"/>
      <c r="W21" s="48"/>
      <c r="X21" s="48"/>
      <c r="Y21" s="48"/>
      <c r="Z21" s="48"/>
      <c r="AA21" s="48"/>
      <c r="AB21" s="191" t="s">
        <v>621</v>
      </c>
      <c r="AC21" s="192">
        <f>SUM(AC19:AC20)</f>
        <v>19</v>
      </c>
      <c r="AD21" s="193">
        <f>SUM(AD19:AD20)</f>
        <v>1</v>
      </c>
      <c r="AE21" s="48"/>
      <c r="AF21" s="48"/>
      <c r="AG21" s="48"/>
      <c r="AH21" s="337" t="s">
        <v>1270</v>
      </c>
      <c r="AI21" s="337"/>
      <c r="AJ21" s="337"/>
      <c r="AK21" s="337"/>
      <c r="AL21" s="337"/>
      <c r="AM21" s="48"/>
      <c r="AN21" s="48"/>
      <c r="AO21" s="48"/>
      <c r="AP21" s="48"/>
      <c r="AQ21" s="48"/>
      <c r="AR21" s="48"/>
      <c r="AS21" s="82">
        <v>97</v>
      </c>
      <c r="AT21" s="65" t="str">
        <f>Tabulacao!KP2</f>
        <v>Desenvolver habilidades empreendedoras?</v>
      </c>
      <c r="AU21" s="83">
        <f>IFERROR(VLOOKUP(AU$16,Tabulacao!$KP$2:$KR$15,3,0),"-")</f>
        <v>4.4280442804428041E-2</v>
      </c>
      <c r="AV21" s="83">
        <f>IFERROR(VLOOKUP(AV$16,Tabulacao!$KP$2:$KR$15,3,0),"-")</f>
        <v>0.16974169741697417</v>
      </c>
      <c r="AW21" s="83">
        <f>IFERROR(VLOOKUP(AW$16,Tabulacao!$KP$2:$KR$15,3,0),"-")</f>
        <v>0.29151291512915128</v>
      </c>
      <c r="AX21" s="83">
        <f>IFERROR(VLOOKUP(AX$16,Tabulacao!$KP$2:$KR$15,3,0),"-")</f>
        <v>0.26199261992619927</v>
      </c>
      <c r="AY21" s="83">
        <f>IFERROR(VLOOKUP(AY$16,Tabulacao!$KP$2:$KR$15,3,0),"-")</f>
        <v>0.23247232472324722</v>
      </c>
      <c r="AZ21" s="231">
        <f t="shared" si="3"/>
        <v>1</v>
      </c>
      <c r="BA21" s="78">
        <f>IFERROR(VLOOKUP(BA$16,Tabulacao!$KP$2:$KR$15,2,0),"-")</f>
        <v>3.4686346863468636</v>
      </c>
      <c r="BB21" s="79">
        <f>IFERROR(VLOOKUP(BB$16,Tabulacao!$KP$2:$KR$15,2,0),"-")</f>
        <v>3</v>
      </c>
      <c r="BC21" s="79">
        <f>IFERROR(VLOOKUP(BC$16,Tabulacao!$KP$2:$KR$15,2,0),"-")</f>
        <v>3</v>
      </c>
      <c r="BD21" s="80">
        <f>IFERROR(VLOOKUP(BD$16,Tabulacao!$KP$2:$KR$15,2,0),"-")</f>
        <v>0.33173209540669207</v>
      </c>
      <c r="BE21" s="233"/>
      <c r="BF21" s="48"/>
      <c r="BG21" s="48"/>
      <c r="BH21" s="48"/>
      <c r="BI21" s="48"/>
      <c r="BJ21" s="48"/>
      <c r="BK21" s="48"/>
      <c r="BL21" s="48"/>
      <c r="BM21" s="48"/>
      <c r="BN21" s="48"/>
      <c r="BO21" s="48"/>
      <c r="BP21" s="60" t="s">
        <v>257</v>
      </c>
      <c r="BQ21" s="52">
        <f t="shared" si="4"/>
        <v>78</v>
      </c>
      <c r="BR21" s="53">
        <f t="shared" si="4"/>
        <v>0.41935483870967744</v>
      </c>
      <c r="BS21" s="48"/>
      <c r="BT21" s="48"/>
      <c r="BU21" s="48"/>
      <c r="BV21" s="48"/>
      <c r="BW21" s="48"/>
      <c r="BX21" s="48"/>
      <c r="BY21" s="48"/>
      <c r="BZ21" s="48"/>
      <c r="CA21" s="48"/>
      <c r="CB21" s="48"/>
      <c r="CC21" s="48"/>
      <c r="CD21" s="48"/>
      <c r="CE21" s="48"/>
      <c r="CF21" s="48"/>
      <c r="CG21" s="48"/>
      <c r="CH21" s="60" t="s">
        <v>1068</v>
      </c>
      <c r="CI21" s="52">
        <f t="shared" ref="CI21:CJ21" si="7">CI12</f>
        <v>72</v>
      </c>
      <c r="CJ21" s="53">
        <f t="shared" si="7"/>
        <v>0.51063829787234039</v>
      </c>
      <c r="CK21" s="48"/>
      <c r="CL21" s="48"/>
      <c r="CM21" s="48"/>
      <c r="CN21" s="48"/>
      <c r="CO21" s="48"/>
      <c r="CP21" s="48"/>
      <c r="CQ21" s="48"/>
      <c r="CR21" s="48"/>
      <c r="CS21" s="48"/>
      <c r="CT21" s="48"/>
      <c r="CU21" s="48"/>
      <c r="CV21" s="48"/>
      <c r="CW21" s="48"/>
      <c r="CX21" s="48"/>
      <c r="CY21" s="48"/>
      <c r="CZ21" s="48"/>
      <c r="DA21" s="48"/>
      <c r="DB21" s="48"/>
      <c r="DC21" s="48"/>
      <c r="DD21" s="48"/>
      <c r="DE21"/>
      <c r="DF21" s="48"/>
      <c r="DG21" s="197" t="s">
        <v>932</v>
      </c>
      <c r="DH21" s="187" t="s">
        <v>131</v>
      </c>
      <c r="DI21" s="48"/>
    </row>
    <row r="22" spans="2:113" x14ac:dyDescent="0.2">
      <c r="B22" s="48"/>
      <c r="C22" s="323"/>
      <c r="D22" s="48"/>
      <c r="E22" s="48"/>
      <c r="F22" s="48"/>
      <c r="G22" s="48"/>
      <c r="H22" s="48"/>
      <c r="I22" s="48"/>
      <c r="J22" s="48"/>
      <c r="K22" s="191" t="s">
        <v>621</v>
      </c>
      <c r="L22" s="192">
        <f>SUM(L20:L21)</f>
        <v>45</v>
      </c>
      <c r="M22" s="193">
        <f>SUM(M20:M21)</f>
        <v>1</v>
      </c>
      <c r="N22" s="48"/>
      <c r="O22" s="187" t="s">
        <v>998</v>
      </c>
      <c r="P22" s="197" t="s">
        <v>1034</v>
      </c>
      <c r="Q22" s="187">
        <v>1</v>
      </c>
      <c r="R22" s="187">
        <v>2</v>
      </c>
      <c r="S22" s="187">
        <v>3</v>
      </c>
      <c r="T22" s="187">
        <v>4</v>
      </c>
      <c r="U22" s="187">
        <v>5</v>
      </c>
      <c r="V22" s="187" t="s">
        <v>621</v>
      </c>
      <c r="W22" s="187" t="s">
        <v>160</v>
      </c>
      <c r="X22" s="48"/>
      <c r="Y22" s="48"/>
      <c r="Z22" s="48"/>
      <c r="AA22" s="48"/>
      <c r="AB22" s="48"/>
      <c r="AC22" s="48"/>
      <c r="AD22" s="48"/>
      <c r="AE22" s="48"/>
      <c r="AF22" s="138" t="s">
        <v>998</v>
      </c>
      <c r="AG22" s="167" t="s">
        <v>1036</v>
      </c>
      <c r="AH22" s="138">
        <v>1</v>
      </c>
      <c r="AI22" s="138">
        <v>2</v>
      </c>
      <c r="AJ22" s="138">
        <v>3</v>
      </c>
      <c r="AK22" s="138">
        <v>4</v>
      </c>
      <c r="AL22" s="138">
        <v>5</v>
      </c>
      <c r="AM22" s="138" t="s">
        <v>621</v>
      </c>
      <c r="AN22" s="138" t="s">
        <v>160</v>
      </c>
      <c r="AO22" s="138" t="s">
        <v>161</v>
      </c>
      <c r="AP22" s="138" t="s">
        <v>162</v>
      </c>
      <c r="AQ22" s="138" t="s">
        <v>995</v>
      </c>
      <c r="AR22" s="48"/>
      <c r="AS22" s="48"/>
      <c r="AT22" s="48"/>
      <c r="AU22" s="48"/>
      <c r="AV22" s="48"/>
      <c r="AW22" s="48"/>
      <c r="AX22" s="48"/>
      <c r="AY22" s="48"/>
      <c r="AZ22" s="48"/>
      <c r="BA22" s="48"/>
      <c r="BB22" s="48"/>
      <c r="BC22" s="48"/>
      <c r="BD22" s="48"/>
      <c r="BE22" s="48"/>
      <c r="BF22" s="48"/>
      <c r="BG22" s="48"/>
      <c r="BH22" s="48"/>
      <c r="BI22" s="48"/>
      <c r="BJ22" s="48"/>
      <c r="BK22" s="48"/>
      <c r="BL22" s="48"/>
      <c r="BM22" s="48"/>
      <c r="BN22" s="48"/>
      <c r="BO22" s="48"/>
      <c r="BP22" s="60" t="s">
        <v>145</v>
      </c>
      <c r="BQ22" s="52">
        <f t="shared" si="4"/>
        <v>9</v>
      </c>
      <c r="BR22" s="53">
        <f t="shared" si="4"/>
        <v>4.8387096774193547E-2</v>
      </c>
      <c r="BS22" s="48"/>
      <c r="BT22" s="48"/>
      <c r="BU22" s="48"/>
      <c r="BV22" s="48"/>
      <c r="BW22" s="48"/>
      <c r="BX22" s="48"/>
      <c r="BY22" s="48"/>
      <c r="BZ22" s="48"/>
      <c r="CA22" s="48"/>
      <c r="CB22" s="48"/>
      <c r="CC22" s="48"/>
      <c r="CD22" s="48"/>
      <c r="CE22" s="48"/>
      <c r="CF22" s="48"/>
      <c r="CG22" s="48"/>
      <c r="CH22" s="60" t="s">
        <v>145</v>
      </c>
      <c r="CI22" s="52">
        <f t="shared" ref="CI22:CJ22" si="8">CI13</f>
        <v>9</v>
      </c>
      <c r="CJ22" s="53">
        <f t="shared" si="8"/>
        <v>6.3829787234042548E-2</v>
      </c>
      <c r="CK22" s="48"/>
      <c r="CL22" s="48"/>
      <c r="CM22" s="48"/>
      <c r="CN22" s="48"/>
      <c r="CO22" s="48"/>
      <c r="CP22" s="48"/>
      <c r="CQ22" s="48"/>
      <c r="CR22" s="48"/>
      <c r="CS22" s="48"/>
      <c r="CT22" s="48"/>
      <c r="CU22" s="48"/>
      <c r="CV22" s="48"/>
      <c r="CW22" s="48"/>
      <c r="CX22" s="48"/>
      <c r="CY22" s="48"/>
      <c r="CZ22" s="48"/>
      <c r="DA22" s="48"/>
      <c r="DB22" s="48"/>
      <c r="DC22" s="48"/>
      <c r="DD22" s="48"/>
      <c r="DE22"/>
      <c r="DF22" s="48"/>
      <c r="DG22" s="60" t="str">
        <f>DG9</f>
        <v>Média</v>
      </c>
      <c r="DH22" s="72">
        <f>IFERROR(AVERAGEIF(Respostas_Formatadas!$C:$C,AvalInst!$DG$20,Respostas_Formatadas!$FF:$FF),"-")</f>
        <v>7.7100941176470599</v>
      </c>
      <c r="DI22" s="48"/>
    </row>
    <row r="23" spans="2:113" x14ac:dyDescent="0.2">
      <c r="B23" s="48"/>
      <c r="C23" s="323"/>
      <c r="D23" s="48"/>
      <c r="E23" s="48"/>
      <c r="F23" s="48"/>
      <c r="G23" s="48"/>
      <c r="H23" s="48"/>
      <c r="I23" s="48"/>
      <c r="J23" s="48"/>
      <c r="K23" s="48"/>
      <c r="L23" s="48"/>
      <c r="M23" s="48"/>
      <c r="N23" s="48"/>
      <c r="O23" s="198">
        <v>82</v>
      </c>
      <c r="P23" s="206" t="str">
        <f>P14</f>
        <v>Eu estudava apenas o suficiente para passar nas provas</v>
      </c>
      <c r="Q23" s="217">
        <f>COUNTIFS(Respostas_Formatadas!$C:$C,AvalInst!$P$21,Respostas_Formatadas!$CP:$CP,AvalInst!Q$22)</f>
        <v>9</v>
      </c>
      <c r="R23" s="217">
        <f>COUNTIFS(Respostas_Formatadas!$C:$C,AvalInst!$P$21,Respostas_Formatadas!$CP:$CP,AvalInst!R$22)</f>
        <v>12</v>
      </c>
      <c r="S23" s="217">
        <f>COUNTIFS(Respostas_Formatadas!$C:$C,AvalInst!$P$21,Respostas_Formatadas!$CP:$CP,AvalInst!S$22)</f>
        <v>11</v>
      </c>
      <c r="T23" s="217">
        <f>COUNTIFS(Respostas_Formatadas!$C:$C,AvalInst!$P$21,Respostas_Formatadas!$CP:$CP,AvalInst!T$22)</f>
        <v>7</v>
      </c>
      <c r="U23" s="217">
        <f>COUNTIFS(Respostas_Formatadas!$C:$C,AvalInst!$P$21,Respostas_Formatadas!$CP:$CP,AvalInst!U$22)</f>
        <v>6</v>
      </c>
      <c r="V23" s="268">
        <f>SUM(Q23:U23)</f>
        <v>45</v>
      </c>
      <c r="W23" s="216">
        <f>SUMPRODUCT($Q$22:$U$22,Q23:U23)/V23</f>
        <v>2.7555555555555555</v>
      </c>
      <c r="X23" s="48"/>
      <c r="Y23" s="48"/>
      <c r="Z23" s="48"/>
      <c r="AA23" s="48"/>
      <c r="AB23" s="48"/>
      <c r="AC23" s="48"/>
      <c r="AD23" s="48"/>
      <c r="AE23" s="48"/>
      <c r="AF23" s="82">
        <v>82</v>
      </c>
      <c r="AG23" s="65" t="str">
        <f>Tabulacao!IW2</f>
        <v>Palestras</v>
      </c>
      <c r="AH23" s="83">
        <f>IFERROR(VLOOKUP(AH$22,Tabulacao!$IW$2:$IY$15,3,0),"-")</f>
        <v>5.5350553505535055E-2</v>
      </c>
      <c r="AI23" s="83">
        <f>IFERROR(VLOOKUP(AI$22,Tabulacao!$IW$2:$IY$15,3,0),"-")</f>
        <v>0.18450184501845018</v>
      </c>
      <c r="AJ23" s="83">
        <f>IFERROR(VLOOKUP(AJ$22,Tabulacao!$IW$2:$IY$15,3,0),"-")</f>
        <v>0.36531365313653136</v>
      </c>
      <c r="AK23" s="83">
        <f>IFERROR(VLOOKUP(AK$22,Tabulacao!$IW$2:$IY$15,3,0),"-")</f>
        <v>0.24723247232472326</v>
      </c>
      <c r="AL23" s="83">
        <f>IFERROR(VLOOKUP(AL$22,Tabulacao!$IW$2:$IY$15,3,0),"-")</f>
        <v>0.14760147601476015</v>
      </c>
      <c r="AM23" s="231">
        <f>SUM(AH23:AL23)</f>
        <v>1</v>
      </c>
      <c r="AN23" s="78">
        <f>IFERROR(VLOOKUP(AN$22,Tabulacao!$IW$2:$IY$15,2,0),"-")</f>
        <v>3.2472324723247232</v>
      </c>
      <c r="AO23" s="79">
        <f>IFERROR(VLOOKUP(AO$22,Tabulacao!$IW$2:$IY$15,2,0),"-")</f>
        <v>3</v>
      </c>
      <c r="AP23" s="79">
        <f>IFERROR(VLOOKUP(AP$22,Tabulacao!$IW$2:$IY$15,2,0),"-")</f>
        <v>3</v>
      </c>
      <c r="AQ23" s="80">
        <f>IFERROR(VLOOKUP(AQ$22,Tabulacao!$IW$2:$IY$15,2,0),"-")</f>
        <v>0.33548646032245139</v>
      </c>
      <c r="AR23" s="48"/>
      <c r="AS23" s="48"/>
      <c r="AT23" s="48"/>
      <c r="AU23" s="48"/>
      <c r="AV23" s="48"/>
      <c r="AW23" s="48"/>
      <c r="AX23" s="48"/>
      <c r="AY23" s="48"/>
      <c r="AZ23" s="48"/>
      <c r="BA23" s="48"/>
      <c r="BB23" s="48"/>
      <c r="BC23" s="48"/>
      <c r="BD23" s="48"/>
      <c r="BE23" s="48"/>
      <c r="BF23" s="48"/>
      <c r="BG23" s="48"/>
      <c r="BH23" s="48"/>
      <c r="BI23" s="48"/>
      <c r="BJ23" s="48"/>
      <c r="BK23" s="48"/>
      <c r="BL23" s="48"/>
      <c r="BM23" s="48"/>
      <c r="BN23" s="48"/>
      <c r="BO23" s="48"/>
      <c r="BP23" s="93" t="s">
        <v>621</v>
      </c>
      <c r="BQ23" s="94">
        <f>BQ14</f>
        <v>186</v>
      </c>
      <c r="BR23" s="95" t="s">
        <v>933</v>
      </c>
      <c r="BS23" s="48"/>
      <c r="BT23" s="48"/>
      <c r="BU23" s="48"/>
      <c r="BV23" s="48"/>
      <c r="BW23" s="48"/>
      <c r="BX23" s="48"/>
      <c r="BY23" s="48"/>
      <c r="BZ23" s="48"/>
      <c r="CA23" s="48"/>
      <c r="CB23" s="48"/>
      <c r="CC23" s="48"/>
      <c r="CD23" s="48"/>
      <c r="CE23" s="48"/>
      <c r="CF23" s="48"/>
      <c r="CG23" s="48"/>
      <c r="CH23" s="93" t="s">
        <v>621</v>
      </c>
      <c r="CI23" s="94">
        <f>CI14</f>
        <v>141</v>
      </c>
      <c r="CJ23" s="95" t="s">
        <v>933</v>
      </c>
      <c r="CK23" s="48"/>
      <c r="CL23" s="48"/>
      <c r="CM23" s="48"/>
      <c r="CN23" s="48"/>
      <c r="CO23" s="48"/>
      <c r="CP23" s="48"/>
      <c r="CQ23" s="48"/>
      <c r="CR23" s="48"/>
      <c r="CS23" s="48"/>
      <c r="CT23" s="48"/>
      <c r="CU23" s="48"/>
      <c r="CV23" s="48"/>
      <c r="CW23" s="48"/>
      <c r="CX23" s="48"/>
      <c r="CY23" s="48"/>
      <c r="CZ23" s="48"/>
      <c r="DA23" s="48"/>
      <c r="DB23" s="48"/>
      <c r="DC23" s="48"/>
      <c r="DD23" s="48"/>
      <c r="DE23"/>
      <c r="DF23" s="48"/>
      <c r="DG23" s="48"/>
      <c r="DH23" s="48"/>
      <c r="DI23" s="48"/>
    </row>
    <row r="24" spans="2:113" ht="25.5" x14ac:dyDescent="0.2">
      <c r="B24" s="48"/>
      <c r="C24" s="323"/>
      <c r="D24" s="48"/>
      <c r="E24" s="48"/>
      <c r="F24" s="48"/>
      <c r="G24" s="48"/>
      <c r="H24" s="48"/>
      <c r="I24" s="48"/>
      <c r="J24" s="48"/>
      <c r="K24" s="48"/>
      <c r="L24" s="48"/>
      <c r="M24" s="48"/>
      <c r="N24" s="48"/>
      <c r="O24" s="81">
        <v>83</v>
      </c>
      <c r="P24" s="60" t="str">
        <f>P15</f>
        <v>Eu me esforcei para obter as notas máximas</v>
      </c>
      <c r="Q24" s="214">
        <f>COUNTIFS(Respostas_Formatadas!$C:$C,AvalInst!$P$21,Respostas_Formatadas!$CQ:$CQ,AvalInst!Q$22)</f>
        <v>0</v>
      </c>
      <c r="R24" s="214">
        <f>COUNTIFS(Respostas_Formatadas!$C:$C,AvalInst!$P$21,Respostas_Formatadas!$CQ:$CQ,AvalInst!R$22)</f>
        <v>0</v>
      </c>
      <c r="S24" s="214">
        <f>COUNTIFS(Respostas_Formatadas!$C:$C,AvalInst!$P$21,Respostas_Formatadas!$CQ:$CQ,AvalInst!S$22)</f>
        <v>6</v>
      </c>
      <c r="T24" s="214">
        <f>COUNTIFS(Respostas_Formatadas!$C:$C,AvalInst!$P$21,Respostas_Formatadas!$CQ:$CQ,AvalInst!T$22)</f>
        <v>16</v>
      </c>
      <c r="U24" s="214">
        <f>COUNTIFS(Respostas_Formatadas!$C:$C,AvalInst!$P$21,Respostas_Formatadas!$CQ:$CQ,AvalInst!U$22)</f>
        <v>23</v>
      </c>
      <c r="V24" s="269">
        <f>SUM(Q24:U24)</f>
        <v>45</v>
      </c>
      <c r="W24" s="212">
        <f>SUMPRODUCT($Q$22:$U$22,Q24:U24)/V24</f>
        <v>4.3777777777777782</v>
      </c>
      <c r="X24" s="48"/>
      <c r="Y24" s="48"/>
      <c r="Z24" s="48"/>
      <c r="AA24" s="48"/>
      <c r="AB24" s="48"/>
      <c r="AC24" s="48"/>
      <c r="AD24" s="48"/>
      <c r="AE24" s="48"/>
      <c r="AF24" s="81">
        <v>83</v>
      </c>
      <c r="AG24" s="51" t="str">
        <f>Tabulacao!IZ2</f>
        <v>Grupos de estudo</v>
      </c>
      <c r="AH24" s="19">
        <f>IFERROR(VLOOKUP(AH$22,Tabulacao!$IZ$2:$JB$15,3,0),"-")</f>
        <v>0.13653136531365315</v>
      </c>
      <c r="AI24" s="19">
        <f>IFERROR(VLOOKUP(AI$22,Tabulacao!$IZ$2:$JB$15,3,0),"-")</f>
        <v>0.22878228782287824</v>
      </c>
      <c r="AJ24" s="19">
        <f>IFERROR(VLOOKUP(AJ$22,Tabulacao!$IZ$2:$JB$15,3,0),"-")</f>
        <v>0.27306273062730629</v>
      </c>
      <c r="AK24" s="19">
        <f>IFERROR(VLOOKUP(AK$22,Tabulacao!$IZ$2:$JB$15,3,0),"-")</f>
        <v>0.25461254612546125</v>
      </c>
      <c r="AL24" s="19">
        <f>IFERROR(VLOOKUP(AL$22,Tabulacao!$IZ$2:$JB$15,3,0),"-")</f>
        <v>0.1070110701107011</v>
      </c>
      <c r="AM24" s="232">
        <f t="shared" ref="AM24:AM33" si="9">SUM(AH24:AL24)</f>
        <v>1</v>
      </c>
      <c r="AN24" s="76">
        <f>IFERROR(VLOOKUP(AN$22,Tabulacao!$IZ$2:$JB$15,2,0),"-")</f>
        <v>2.9667896678966788</v>
      </c>
      <c r="AO24" s="75">
        <f>IFERROR(VLOOKUP(AO$22,Tabulacao!$IZ$2:$JB$15,2,0),"-")</f>
        <v>3</v>
      </c>
      <c r="AP24" s="75">
        <f>IFERROR(VLOOKUP(AP$22,Tabulacao!$IZ$2:$JB$15,2,0),"-")</f>
        <v>3</v>
      </c>
      <c r="AQ24" s="77">
        <f>IFERROR(VLOOKUP(AQ$22,Tabulacao!$IZ$2:$JB$15,2,0),"-")</f>
        <v>0.40753558126671074</v>
      </c>
      <c r="AR24" s="48"/>
      <c r="AS24" s="48"/>
      <c r="AT24" s="156" t="s">
        <v>1197</v>
      </c>
      <c r="AU24" s="315" t="s">
        <v>1271</v>
      </c>
      <c r="AV24" s="333"/>
      <c r="AW24" s="333"/>
      <c r="AX24" s="333"/>
      <c r="AY24" s="316"/>
      <c r="AZ24" s="48"/>
      <c r="BA24" s="48"/>
      <c r="BB24" s="48"/>
      <c r="BC24" s="48"/>
      <c r="BD24" s="48"/>
      <c r="BE24" s="48"/>
      <c r="BF24" s="225"/>
      <c r="BG24" s="48"/>
      <c r="BH24" s="48"/>
      <c r="BI24" s="48"/>
      <c r="BJ24" s="48"/>
      <c r="BK24" s="156" t="s">
        <v>1198</v>
      </c>
      <c r="BL24" s="48"/>
      <c r="BM24" s="48"/>
      <c r="BN24" s="48"/>
      <c r="BO24" s="48"/>
      <c r="BP24" s="48"/>
      <c r="BQ24" s="48"/>
      <c r="BR24" s="48"/>
      <c r="BS24" s="48"/>
      <c r="BT24" s="48"/>
      <c r="BU24" s="48"/>
      <c r="BV24" s="48"/>
      <c r="BW24" s="48" t="s">
        <v>1019</v>
      </c>
      <c r="BX24" s="48"/>
      <c r="BY24" s="48"/>
      <c r="BZ24" s="48"/>
      <c r="CA24" s="48"/>
      <c r="CB24" s="48"/>
      <c r="CC24" s="156" t="s">
        <v>1200</v>
      </c>
      <c r="CD24" s="48"/>
      <c r="CE24" s="48"/>
      <c r="CF24" s="48"/>
      <c r="CG24" s="48"/>
      <c r="CH24" s="48"/>
      <c r="CI24" s="48"/>
      <c r="CJ24" s="48"/>
      <c r="CK24" s="48"/>
      <c r="CL24" s="48"/>
      <c r="CM24" s="48"/>
      <c r="CN24" s="48"/>
      <c r="CO24" s="48"/>
      <c r="CP24" s="48"/>
      <c r="CQ24" s="48"/>
      <c r="CR24" s="48"/>
      <c r="CS24" s="48"/>
      <c r="CT24" s="156" t="s">
        <v>1202</v>
      </c>
      <c r="CU24" s="48"/>
      <c r="CV24" s="48"/>
      <c r="CW24" s="48"/>
      <c r="CX24" s="48"/>
      <c r="CY24" s="48"/>
      <c r="CZ24" s="48"/>
      <c r="DA24" s="48"/>
      <c r="DB24" s="48"/>
      <c r="DC24" s="48"/>
      <c r="DD24" s="48"/>
      <c r="DE24"/>
      <c r="DF24" s="48"/>
      <c r="DG24" s="156" t="s">
        <v>1205</v>
      </c>
      <c r="DH24" s="48"/>
      <c r="DI24" s="48"/>
    </row>
    <row r="25" spans="2:113" x14ac:dyDescent="0.2">
      <c r="B25" s="48"/>
      <c r="C25" s="323"/>
      <c r="D25" s="48"/>
      <c r="E25" s="48"/>
      <c r="F25" s="48"/>
      <c r="G25" s="48"/>
      <c r="H25" s="48"/>
      <c r="I25" s="48"/>
      <c r="J25" s="48"/>
      <c r="K25" s="48"/>
      <c r="L25" s="48"/>
      <c r="M25" s="48"/>
      <c r="N25" s="48"/>
      <c r="O25" s="48"/>
      <c r="P25" s="48"/>
      <c r="Q25" s="48"/>
      <c r="R25" s="48"/>
      <c r="S25" s="48"/>
      <c r="T25" s="48"/>
      <c r="U25" s="48"/>
      <c r="V25" s="48"/>
      <c r="W25" s="48"/>
      <c r="X25" s="48"/>
      <c r="Y25" s="48"/>
      <c r="Z25" s="48"/>
      <c r="AA25" s="48"/>
      <c r="AB25" s="48"/>
      <c r="AC25" s="48"/>
      <c r="AD25" s="48"/>
      <c r="AE25" s="48"/>
      <c r="AF25" s="82">
        <v>84</v>
      </c>
      <c r="AG25" s="65" t="str">
        <f>Tabulacao!JC2</f>
        <v>Participação em grupos de pesquisa</v>
      </c>
      <c r="AH25" s="83">
        <f>IFERROR(VLOOKUP(AH$22,Tabulacao!$JC$2:$JE$15,3,0),"-")</f>
        <v>0.13653136531365315</v>
      </c>
      <c r="AI25" s="83">
        <f>IFERROR(VLOOKUP(AI$22,Tabulacao!$JC$2:$JE$15,3,0),"-")</f>
        <v>0.19926199261992619</v>
      </c>
      <c r="AJ25" s="83">
        <f>IFERROR(VLOOKUP(AJ$22,Tabulacao!$JC$2:$JE$15,3,0),"-")</f>
        <v>0.26568265682656828</v>
      </c>
      <c r="AK25" s="83">
        <f>IFERROR(VLOOKUP(AK$22,Tabulacao!$JC$2:$JE$15,3,0),"-")</f>
        <v>0.21033210332103322</v>
      </c>
      <c r="AL25" s="83">
        <f>IFERROR(VLOOKUP(AL$22,Tabulacao!$JC$2:$JE$15,3,0),"-")</f>
        <v>0.18819188191881919</v>
      </c>
      <c r="AM25" s="231">
        <f t="shared" si="9"/>
        <v>1</v>
      </c>
      <c r="AN25" s="78">
        <f>IFERROR(VLOOKUP(AN$22,Tabulacao!$JC$2:$JE$15,2,0),"-")</f>
        <v>3.1143911439114391</v>
      </c>
      <c r="AO25" s="79">
        <f>IFERROR(VLOOKUP(AO$22,Tabulacao!$JC$2:$JE$15,2,0),"-")</f>
        <v>1</v>
      </c>
      <c r="AP25" s="79">
        <f>IFERROR(VLOOKUP(AP$22,Tabulacao!$JC$2:$JE$15,2,0),"-")</f>
        <v>3</v>
      </c>
      <c r="AQ25" s="80">
        <f>IFERROR(VLOOKUP(AQ$22,Tabulacao!$JC$2:$JE$15,2,0),"-")</f>
        <v>0.41885713836186506</v>
      </c>
      <c r="AR25" s="48"/>
      <c r="AS25" s="48"/>
      <c r="AT25" s="48"/>
      <c r="AU25" s="48"/>
      <c r="AV25" s="48"/>
      <c r="AW25" s="48"/>
      <c r="AX25" s="48"/>
      <c r="AY25" s="48"/>
      <c r="AZ25" s="48"/>
      <c r="BA25" s="48"/>
      <c r="BB25" s="48"/>
      <c r="BC25" s="48"/>
      <c r="BD25" s="48"/>
      <c r="BE25" s="48"/>
      <c r="BF25" s="48"/>
      <c r="BG25" s="48"/>
      <c r="BH25" s="48"/>
      <c r="BI25" s="48"/>
      <c r="BJ25" s="48"/>
      <c r="BK25" s="48"/>
      <c r="BL25" s="48"/>
      <c r="BM25" s="48"/>
      <c r="BN25" s="48"/>
      <c r="BO25" s="48"/>
      <c r="BP25" s="48"/>
      <c r="BQ25" s="48"/>
      <c r="BR25" s="48"/>
      <c r="BS25" s="48"/>
      <c r="BT25" s="48"/>
      <c r="BU25" s="48"/>
      <c r="BV25" s="48"/>
      <c r="BW25" s="48"/>
      <c r="BX25" s="48"/>
      <c r="BY25" s="48"/>
      <c r="BZ25" s="48"/>
      <c r="CA25" s="48"/>
      <c r="CB25" s="48"/>
      <c r="CC25" s="48"/>
      <c r="CD25" s="48"/>
      <c r="CE25" s="48"/>
      <c r="CF25" s="48"/>
      <c r="CG25" s="48"/>
      <c r="CH25" s="48"/>
      <c r="CI25" s="48"/>
      <c r="CJ25" s="48"/>
      <c r="CK25" s="48"/>
      <c r="CL25" s="48"/>
      <c r="CM25" s="48"/>
      <c r="CN25" s="48"/>
      <c r="CO25" s="48"/>
      <c r="CP25" s="48"/>
      <c r="CQ25" s="48"/>
      <c r="CR25" s="48"/>
      <c r="CS25" s="48"/>
      <c r="CT25" s="48"/>
      <c r="CU25" s="48"/>
      <c r="CV25" s="48"/>
      <c r="CW25" s="48"/>
      <c r="CX25" s="48"/>
      <c r="CY25" s="48"/>
      <c r="CZ25" s="48"/>
      <c r="DA25" s="48"/>
      <c r="DB25" s="48"/>
      <c r="DC25" s="48"/>
      <c r="DD25" s="48"/>
      <c r="DE25"/>
      <c r="DF25" s="48"/>
      <c r="DG25" s="48"/>
      <c r="DH25" s="48"/>
      <c r="DI25" s="48"/>
    </row>
    <row r="26" spans="2:113" x14ac:dyDescent="0.2">
      <c r="B26" s="48"/>
      <c r="C26" s="323"/>
      <c r="D26" s="48"/>
      <c r="E26" s="48"/>
      <c r="F26" s="48"/>
      <c r="G26" s="48"/>
      <c r="H26" s="48"/>
      <c r="I26" s="48"/>
      <c r="J26" s="48"/>
      <c r="K26" s="48"/>
      <c r="L26" s="48"/>
      <c r="M26" s="48"/>
      <c r="N26" s="48"/>
      <c r="O26" s="48"/>
      <c r="P26" s="48"/>
      <c r="Q26" s="48"/>
      <c r="R26" s="48"/>
      <c r="S26" s="48"/>
      <c r="T26" s="48"/>
      <c r="U26" s="48"/>
      <c r="V26" s="48"/>
      <c r="W26" s="48"/>
      <c r="X26" s="48"/>
      <c r="Y26" s="48"/>
      <c r="Z26" s="48"/>
      <c r="AA26" s="48"/>
      <c r="AB26" s="48"/>
      <c r="AC26" s="48"/>
      <c r="AD26" s="48"/>
      <c r="AE26" s="48"/>
      <c r="AF26" s="81">
        <v>85</v>
      </c>
      <c r="AG26" s="51" t="str">
        <f>Tabulacao!JF2</f>
        <v>Estágios</v>
      </c>
      <c r="AH26" s="19">
        <f>IFERROR(VLOOKUP(AH$22,Tabulacao!$JF$2:$JH$15,3,0),"-")</f>
        <v>0.30627306273062732</v>
      </c>
      <c r="AI26" s="19">
        <f>IFERROR(VLOOKUP(AI$22,Tabulacao!$JF$2:$JH$15,3,0),"-")</f>
        <v>0.1918819188191882</v>
      </c>
      <c r="AJ26" s="19">
        <f>IFERROR(VLOOKUP(AJ$22,Tabulacao!$JF$2:$JH$15,3,0),"-")</f>
        <v>0.21771217712177121</v>
      </c>
      <c r="AK26" s="19">
        <f>IFERROR(VLOOKUP(AK$22,Tabulacao!$JF$2:$JH$15,3,0),"-")</f>
        <v>0.15129151291512916</v>
      </c>
      <c r="AL26" s="19">
        <f>IFERROR(VLOOKUP(AL$22,Tabulacao!$JF$2:$JH$15,3,0),"-")</f>
        <v>0.13284132841328414</v>
      </c>
      <c r="AM26" s="232">
        <f t="shared" si="9"/>
        <v>1</v>
      </c>
      <c r="AN26" s="76">
        <f>IFERROR(VLOOKUP(AN$22,Tabulacao!$JF$2:$JH$15,2,0),"-")</f>
        <v>2.6125461254612548</v>
      </c>
      <c r="AO26" s="75">
        <f>IFERROR(VLOOKUP(AO$22,Tabulacao!$JF$2:$JH$15,2,0),"-")</f>
        <v>1</v>
      </c>
      <c r="AP26" s="75">
        <f>IFERROR(VLOOKUP(AP$22,Tabulacao!$JF$2:$JH$15,2,0),"-")</f>
        <v>3</v>
      </c>
      <c r="AQ26" s="77">
        <f>IFERROR(VLOOKUP(AQ$22,Tabulacao!$JF$2:$JH$15,2,0),"-")</f>
        <v>0.53542862406930114</v>
      </c>
      <c r="AR26" s="48"/>
      <c r="AS26" s="341" t="s">
        <v>1159</v>
      </c>
      <c r="AT26" s="261" t="s">
        <v>120</v>
      </c>
      <c r="AU26" s="1"/>
      <c r="AV26" s="48"/>
      <c r="AW26" s="48"/>
      <c r="AX26" s="48"/>
      <c r="AY26" s="48"/>
      <c r="AZ26" s="48"/>
      <c r="BA26" s="48"/>
      <c r="BB26" s="48"/>
      <c r="BC26" s="48"/>
      <c r="BD26" s="48"/>
      <c r="BE26" s="48"/>
      <c r="BF26" s="48"/>
      <c r="BG26" s="48"/>
      <c r="BH26" s="48"/>
      <c r="BI26" s="48"/>
      <c r="BJ26" s="341" t="s">
        <v>1159</v>
      </c>
      <c r="BK26" s="261" t="s">
        <v>120</v>
      </c>
      <c r="BL26" s="48"/>
      <c r="BM26" s="48"/>
      <c r="BN26" s="48"/>
      <c r="BO26" s="48"/>
      <c r="BP26" s="48"/>
      <c r="BQ26" s="48"/>
      <c r="BR26" s="48"/>
      <c r="BS26" s="48"/>
      <c r="BT26" s="48"/>
      <c r="BU26" s="48"/>
      <c r="BV26" s="48"/>
      <c r="BW26" s="48"/>
      <c r="BX26" s="48"/>
      <c r="BY26" s="48"/>
      <c r="BZ26" s="48"/>
      <c r="CA26" s="272"/>
      <c r="CB26" s="341" t="s">
        <v>1159</v>
      </c>
      <c r="CC26" s="261" t="s">
        <v>120</v>
      </c>
      <c r="CD26" s="48"/>
      <c r="CE26" s="48"/>
      <c r="CF26" s="48"/>
      <c r="CG26" s="48"/>
      <c r="CH26" s="48"/>
      <c r="CI26" s="48"/>
      <c r="CJ26" s="48"/>
      <c r="CK26" s="48"/>
      <c r="CL26" s="48"/>
      <c r="CM26" s="48"/>
      <c r="CN26" s="48"/>
      <c r="CO26" s="48"/>
      <c r="CP26" s="48"/>
      <c r="CQ26" s="48"/>
      <c r="CR26" s="48"/>
      <c r="CS26" s="341" t="s">
        <v>1159</v>
      </c>
      <c r="CT26" s="261" t="s">
        <v>130</v>
      </c>
      <c r="CU26" s="48"/>
      <c r="CV26" s="48"/>
      <c r="CW26" s="48"/>
      <c r="CX26" s="48"/>
      <c r="CY26" s="48"/>
      <c r="CZ26" s="48"/>
      <c r="DA26" s="48"/>
      <c r="DB26" s="48"/>
      <c r="DC26" s="48"/>
      <c r="DD26" s="48"/>
      <c r="DE26"/>
      <c r="DF26" s="341" t="s">
        <v>1159</v>
      </c>
      <c r="DG26" s="282">
        <v>2018</v>
      </c>
      <c r="DH26" s="48"/>
      <c r="DI26" s="48"/>
    </row>
    <row r="27" spans="2:113" ht="25.5" customHeight="1" x14ac:dyDescent="0.2">
      <c r="B27" s="48"/>
      <c r="C27" s="323"/>
      <c r="D27" s="48"/>
      <c r="E27" s="48"/>
      <c r="F27" s="48"/>
      <c r="G27" s="48"/>
      <c r="H27" s="48"/>
      <c r="I27" s="48"/>
      <c r="J27" s="48"/>
      <c r="K27" s="48"/>
      <c r="L27" s="48"/>
      <c r="M27" s="48"/>
      <c r="N27" s="48"/>
      <c r="O27" s="187" t="s">
        <v>998</v>
      </c>
      <c r="P27" s="197" t="s">
        <v>1034</v>
      </c>
      <c r="Q27" s="187">
        <v>1</v>
      </c>
      <c r="R27" s="187">
        <v>2</v>
      </c>
      <c r="S27" s="187">
        <v>3</v>
      </c>
      <c r="T27" s="187">
        <v>4</v>
      </c>
      <c r="U27" s="187">
        <v>5</v>
      </c>
      <c r="V27" s="187" t="s">
        <v>621</v>
      </c>
      <c r="W27" s="187" t="s">
        <v>160</v>
      </c>
      <c r="X27" s="48"/>
      <c r="Y27" s="48"/>
      <c r="Z27" s="48"/>
      <c r="AA27" s="48"/>
      <c r="AB27" s="48"/>
      <c r="AC27" s="48"/>
      <c r="AD27" s="48"/>
      <c r="AE27" s="48"/>
      <c r="AF27" s="82">
        <v>86</v>
      </c>
      <c r="AG27" s="65" t="str">
        <f>Tabulacao!JI2</f>
        <v>Trabalhos práticos</v>
      </c>
      <c r="AH27" s="83">
        <f>IFERROR(VLOOKUP(AH$22,Tabulacao!$JI$2:$JK$15,3,0),"-")</f>
        <v>6.273062730627306E-2</v>
      </c>
      <c r="AI27" s="83">
        <f>IFERROR(VLOOKUP(AI$22,Tabulacao!$JI$2:$JK$15,3,0),"-")</f>
        <v>0.14760147601476015</v>
      </c>
      <c r="AJ27" s="83">
        <f>IFERROR(VLOOKUP(AJ$22,Tabulacao!$JI$2:$JK$15,3,0),"-")</f>
        <v>0.25461254612546125</v>
      </c>
      <c r="AK27" s="83">
        <f>IFERROR(VLOOKUP(AK$22,Tabulacao!$JI$2:$JK$15,3,0),"-")</f>
        <v>0.3210332103321033</v>
      </c>
      <c r="AL27" s="83">
        <f>IFERROR(VLOOKUP(AL$22,Tabulacao!$JI$2:$JK$15,3,0),"-")</f>
        <v>0.2140221402214022</v>
      </c>
      <c r="AM27" s="231">
        <f t="shared" si="9"/>
        <v>1</v>
      </c>
      <c r="AN27" s="78">
        <f>IFERROR(VLOOKUP(AN$22,Tabulacao!$JI$2:$JK$15,2,0),"-")</f>
        <v>3.4760147601476015</v>
      </c>
      <c r="AO27" s="79">
        <f>IFERROR(VLOOKUP(AO$22,Tabulacao!$JI$2:$JK$15,2,0),"-")</f>
        <v>4</v>
      </c>
      <c r="AP27" s="79">
        <f>IFERROR(VLOOKUP(AP$22,Tabulacao!$JI$2:$JK$15,2,0),"-")</f>
        <v>4</v>
      </c>
      <c r="AQ27" s="80">
        <f>IFERROR(VLOOKUP(AQ$22,Tabulacao!$JI$2:$JK$15,2,0),"-")</f>
        <v>0.33476195295115402</v>
      </c>
      <c r="AR27" s="48"/>
      <c r="AS27" s="187" t="str">
        <f t="shared" ref="AS27:BA27" si="10">AS16</f>
        <v>Q</v>
      </c>
      <c r="AT27" s="197" t="str">
        <f t="shared" si="10"/>
        <v>Aspectos da vida profissional</v>
      </c>
      <c r="AU27" s="187">
        <f t="shared" si="10"/>
        <v>1</v>
      </c>
      <c r="AV27" s="187">
        <f t="shared" si="10"/>
        <v>2</v>
      </c>
      <c r="AW27" s="187">
        <f t="shared" si="10"/>
        <v>3</v>
      </c>
      <c r="AX27" s="187">
        <f t="shared" si="10"/>
        <v>4</v>
      </c>
      <c r="AY27" s="187">
        <f t="shared" si="10"/>
        <v>5</v>
      </c>
      <c r="AZ27" s="187" t="str">
        <f t="shared" si="10"/>
        <v>Total</v>
      </c>
      <c r="BA27" s="187" t="str">
        <f t="shared" si="10"/>
        <v>Média</v>
      </c>
      <c r="BB27" s="48"/>
      <c r="BC27" s="48"/>
      <c r="BD27" s="48"/>
      <c r="BE27" s="48"/>
      <c r="BF27" s="48"/>
      <c r="BG27" s="48"/>
      <c r="BH27" s="48"/>
      <c r="BI27" s="48"/>
      <c r="BJ27" s="48"/>
      <c r="BK27" s="197" t="str">
        <f>BK8</f>
        <v>Participação em atividades de Pesquisa</v>
      </c>
      <c r="BL27" s="187" t="str">
        <f>BL8</f>
        <v>f</v>
      </c>
      <c r="BM27" s="187" t="str">
        <f>BM8</f>
        <v>%</v>
      </c>
      <c r="BN27" s="48"/>
      <c r="BO27" s="48"/>
      <c r="BP27" s="156" t="s">
        <v>1198</v>
      </c>
      <c r="BQ27" s="48"/>
      <c r="BR27" s="48"/>
      <c r="BS27" s="48"/>
      <c r="BT27" s="48"/>
      <c r="BU27" s="48"/>
      <c r="BV27" s="156" t="s">
        <v>1199</v>
      </c>
      <c r="BW27" s="329" t="s">
        <v>1272</v>
      </c>
      <c r="BX27" s="330"/>
      <c r="BY27" s="331"/>
      <c r="BZ27" s="48"/>
      <c r="CA27" s="48"/>
      <c r="CB27" s="48"/>
      <c r="CC27" s="197" t="s">
        <v>1045</v>
      </c>
      <c r="CD27" s="187" t="s">
        <v>131</v>
      </c>
      <c r="CE27" s="187" t="s">
        <v>132</v>
      </c>
      <c r="CF27" s="48"/>
      <c r="CG27" s="48"/>
      <c r="CH27" s="156" t="s">
        <v>1201</v>
      </c>
      <c r="CI27" s="48"/>
      <c r="CJ27" s="48"/>
      <c r="CK27" s="48"/>
      <c r="CL27" s="48"/>
      <c r="CM27" s="156" t="s">
        <v>1206</v>
      </c>
      <c r="CN27" s="329" t="s">
        <v>1272</v>
      </c>
      <c r="CO27" s="330"/>
      <c r="CP27" s="331"/>
      <c r="CQ27" s="48"/>
      <c r="CR27" s="48"/>
      <c r="CS27" s="48"/>
      <c r="CT27" s="197" t="s">
        <v>1053</v>
      </c>
      <c r="CU27" s="187" t="s">
        <v>131</v>
      </c>
      <c r="CV27" s="187" t="s">
        <v>132</v>
      </c>
      <c r="CW27" s="48"/>
      <c r="CX27" s="48"/>
      <c r="CY27" s="156" t="s">
        <v>1203</v>
      </c>
      <c r="CZ27" s="329" t="s">
        <v>1358</v>
      </c>
      <c r="DA27" s="330"/>
      <c r="DB27" s="331"/>
      <c r="DC27" s="48"/>
      <c r="DD27" s="48"/>
      <c r="DE27"/>
      <c r="DF27" s="48"/>
      <c r="DG27" s="218" t="s">
        <v>932</v>
      </c>
      <c r="DH27" s="219" t="s">
        <v>131</v>
      </c>
      <c r="DI27" s="48"/>
    </row>
    <row r="28" spans="2:113" x14ac:dyDescent="0.2">
      <c r="B28" s="48"/>
      <c r="C28" s="323"/>
      <c r="D28" s="48"/>
      <c r="E28" s="48"/>
      <c r="F28" s="156" t="s">
        <v>1194</v>
      </c>
      <c r="G28" s="48"/>
      <c r="H28" s="48"/>
      <c r="I28" s="48"/>
      <c r="J28" s="48"/>
      <c r="K28" s="48"/>
      <c r="L28" s="48"/>
      <c r="M28" s="48"/>
      <c r="N28" s="48"/>
      <c r="O28" s="198">
        <v>82</v>
      </c>
      <c r="P28" s="206" t="str">
        <f>P23</f>
        <v>Eu estudava apenas o suficiente para passar nas provas</v>
      </c>
      <c r="Q28" s="210">
        <f>Q23/$V$23</f>
        <v>0.2</v>
      </c>
      <c r="R28" s="210">
        <f t="shared" ref="R28:U28" si="11">R23/$V$23</f>
        <v>0.26666666666666666</v>
      </c>
      <c r="S28" s="210">
        <f t="shared" si="11"/>
        <v>0.24444444444444444</v>
      </c>
      <c r="T28" s="210">
        <f t="shared" si="11"/>
        <v>0.15555555555555556</v>
      </c>
      <c r="U28" s="210">
        <f t="shared" si="11"/>
        <v>0.13333333333333333</v>
      </c>
      <c r="V28" s="270">
        <f>SUM(Q28:U28)</f>
        <v>1</v>
      </c>
      <c r="W28" s="216">
        <f>W23</f>
        <v>2.7555555555555555</v>
      </c>
      <c r="X28" s="48"/>
      <c r="Y28" s="48"/>
      <c r="Z28" s="48"/>
      <c r="AA28" s="48"/>
      <c r="AB28" s="48"/>
      <c r="AC28" s="48"/>
      <c r="AD28" s="48"/>
      <c r="AE28" s="48"/>
      <c r="AF28" s="81">
        <v>87</v>
      </c>
      <c r="AG28" s="51" t="str">
        <f>Tabulacao!JL2</f>
        <v>Trabalhos teóricos</v>
      </c>
      <c r="AH28" s="19">
        <f>IFERROR(VLOOKUP(AH$22,Tabulacao!$JL$2:$JN$15,3,0),"-")</f>
        <v>0</v>
      </c>
      <c r="AI28" s="19">
        <f>IFERROR(VLOOKUP(AI$22,Tabulacao!$JL$2:$JN$15,3,0),"-")</f>
        <v>2.9520295202952029E-2</v>
      </c>
      <c r="AJ28" s="19">
        <f>IFERROR(VLOOKUP(AJ$22,Tabulacao!$JL$2:$JN$15,3,0),"-")</f>
        <v>0.23985239852398524</v>
      </c>
      <c r="AK28" s="19">
        <f>IFERROR(VLOOKUP(AK$22,Tabulacao!$JL$2:$JN$15,3,0),"-")</f>
        <v>0.37269372693726938</v>
      </c>
      <c r="AL28" s="19">
        <f>IFERROR(VLOOKUP(AL$22,Tabulacao!$JL$2:$JN$15,3,0),"-")</f>
        <v>0.35793357933579334</v>
      </c>
      <c r="AM28" s="232">
        <f t="shared" si="9"/>
        <v>1</v>
      </c>
      <c r="AN28" s="76">
        <f>IFERROR(VLOOKUP(AN$22,Tabulacao!$JL$2:$JN$15,2,0),"-")</f>
        <v>4.0590405904059041</v>
      </c>
      <c r="AO28" s="75">
        <f>IFERROR(VLOOKUP(AO$22,Tabulacao!$JL$2:$JN$15,2,0),"-")</f>
        <v>4</v>
      </c>
      <c r="AP28" s="75">
        <f>IFERROR(VLOOKUP(AP$22,Tabulacao!$JL$2:$JN$15,2,0),"-")</f>
        <v>4</v>
      </c>
      <c r="AQ28" s="77">
        <f>IFERROR(VLOOKUP(AQ$22,Tabulacao!$JL$2:$JN$15,2,0),"-")</f>
        <v>0.20832224396565185</v>
      </c>
      <c r="AR28" s="48"/>
      <c r="AS28" s="198">
        <f t="shared" ref="AS28:AT32" si="12">AS17</f>
        <v>93</v>
      </c>
      <c r="AT28" s="199" t="str">
        <f t="shared" si="12"/>
        <v>Iniciar no mundo do trabalho?</v>
      </c>
      <c r="AU28" s="215">
        <f>COUNTIFS(Respostas_Formatadas!$C:$C,AvalInst!$AT$26,Respostas_Formatadas!$DD:$DD,AvalInst!AU$27)</f>
        <v>0</v>
      </c>
      <c r="AV28" s="215">
        <f>COUNTIFS(Respostas_Formatadas!$C:$C,AvalInst!$AT$26,Respostas_Formatadas!$DD:$DD,AvalInst!AV$27)</f>
        <v>0</v>
      </c>
      <c r="AW28" s="215">
        <f>COUNTIFS(Respostas_Formatadas!$C:$C,AvalInst!$AT$26,Respostas_Formatadas!$DD:$DD,AvalInst!AW$27)</f>
        <v>5</v>
      </c>
      <c r="AX28" s="215">
        <f>COUNTIFS(Respostas_Formatadas!$C:$C,AvalInst!$AT$26,Respostas_Formatadas!$DD:$DD,AvalInst!AX$27)</f>
        <v>6</v>
      </c>
      <c r="AY28" s="215">
        <f>COUNTIFS(Respostas_Formatadas!$C:$C,AvalInst!$AT$26,Respostas_Formatadas!$DD:$DD,AvalInst!AY$27)</f>
        <v>8</v>
      </c>
      <c r="AZ28" s="266">
        <f>SUM(AU28:AY28)</f>
        <v>19</v>
      </c>
      <c r="BA28" s="211">
        <f>SUMPRODUCT($AU$27:$AY$27,AU28:AY28)/SUM(AU28:AY28)</f>
        <v>4.1578947368421053</v>
      </c>
      <c r="BB28" s="48"/>
      <c r="BC28" s="48"/>
      <c r="BD28" s="48"/>
      <c r="BE28" s="48"/>
      <c r="BF28" s="48"/>
      <c r="BG28" s="48"/>
      <c r="BH28" s="48"/>
      <c r="BI28" s="48"/>
      <c r="BJ28" s="48"/>
      <c r="BK28" s="60" t="str">
        <f>BK9</f>
        <v>Sim</v>
      </c>
      <c r="BL28" s="52">
        <f>COUNTIFS(Respostas_Formatadas!$C:$C,AvalInst!$BK$26,Respostas_Formatadas!$DJ:$DJ,AvalInst!$BK28)</f>
        <v>12</v>
      </c>
      <c r="BM28" s="53">
        <f>BL28/$BL$30</f>
        <v>0.63157894736842102</v>
      </c>
      <c r="BN28" s="48"/>
      <c r="BO28" s="48"/>
      <c r="BP28" s="48"/>
      <c r="BQ28" s="48"/>
      <c r="BR28" s="48"/>
      <c r="BS28" s="48"/>
      <c r="BT28" s="48"/>
      <c r="BU28" s="48"/>
      <c r="BV28" s="48"/>
      <c r="BW28" s="48"/>
      <c r="BX28" s="48"/>
      <c r="BY28" s="48"/>
      <c r="BZ28" s="48"/>
      <c r="CA28" s="48"/>
      <c r="CB28" s="48"/>
      <c r="CC28" s="60" t="s">
        <v>133</v>
      </c>
      <c r="CD28" s="52">
        <f>COUNTIFS(Respostas_Formatadas!$C:$C,AvalInst!$CC$26,Respostas_Formatadas!$DR:$DR,AvalInst!CC28)</f>
        <v>8</v>
      </c>
      <c r="CE28" s="53">
        <f>CD28/$CD$30</f>
        <v>0.42105263157894735</v>
      </c>
      <c r="CF28" s="48"/>
      <c r="CG28" s="48"/>
      <c r="CH28" s="48"/>
      <c r="CI28" s="48"/>
      <c r="CJ28" s="48"/>
      <c r="CK28" s="48"/>
      <c r="CL28" s="48"/>
      <c r="CM28" s="48"/>
      <c r="CN28" s="48"/>
      <c r="CO28" s="48"/>
      <c r="CP28" s="48"/>
      <c r="CQ28" s="48"/>
      <c r="CR28" s="48"/>
      <c r="CS28" s="48"/>
      <c r="CT28" s="60" t="s">
        <v>133</v>
      </c>
      <c r="CU28" s="52">
        <f>COUNTIFS(Respostas_Formatadas!$C:$C,AvalInst!$CT$26,Respostas_Formatadas!$DZ:$DZ,AvalInst!CT28)</f>
        <v>15</v>
      </c>
      <c r="CV28" s="53">
        <f>CU28/$CU$30</f>
        <v>0.9375</v>
      </c>
      <c r="CW28" s="48"/>
      <c r="CX28" s="48"/>
      <c r="CY28" s="48"/>
      <c r="CZ28" s="48"/>
      <c r="DA28" s="48"/>
      <c r="DB28" s="48"/>
      <c r="DC28" s="48"/>
      <c r="DD28" s="48"/>
      <c r="DE28"/>
      <c r="DF28" s="48"/>
      <c r="DG28" s="60" t="str">
        <f>DG22</f>
        <v>Média</v>
      </c>
      <c r="DH28" s="72">
        <f>IFERROR(AVERAGEIF(Respostas_Formatadas!$FE:$FE,AvalInst!$DG$26,Respostas_Formatadas!$FF:$FF),"-")</f>
        <v>7.4214862745098058</v>
      </c>
      <c r="DI28" s="48"/>
    </row>
    <row r="29" spans="2:113" x14ac:dyDescent="0.2">
      <c r="B29" s="48"/>
      <c r="C29" s="323"/>
      <c r="D29" s="48"/>
      <c r="E29" s="48"/>
      <c r="F29" s="48"/>
      <c r="G29" s="48"/>
      <c r="H29" s="48"/>
      <c r="I29" s="48"/>
      <c r="J29" s="48"/>
      <c r="K29" s="48"/>
      <c r="L29" s="48"/>
      <c r="M29" s="48"/>
      <c r="N29" s="48"/>
      <c r="O29" s="81">
        <v>83</v>
      </c>
      <c r="P29" s="60" t="str">
        <f>P24</f>
        <v>Eu me esforcei para obter as notas máximas</v>
      </c>
      <c r="Q29" s="19">
        <f>Q24/$V$24</f>
        <v>0</v>
      </c>
      <c r="R29" s="19">
        <f t="shared" ref="R29:U29" si="13">R24/$V$24</f>
        <v>0</v>
      </c>
      <c r="S29" s="19">
        <f t="shared" si="13"/>
        <v>0.13333333333333333</v>
      </c>
      <c r="T29" s="19">
        <f t="shared" si="13"/>
        <v>0.35555555555555557</v>
      </c>
      <c r="U29" s="19">
        <f t="shared" si="13"/>
        <v>0.51111111111111107</v>
      </c>
      <c r="V29" s="271">
        <f>SUM(Q29:U29)</f>
        <v>1</v>
      </c>
      <c r="W29" s="76">
        <f>W24</f>
        <v>4.3777777777777782</v>
      </c>
      <c r="X29" s="48"/>
      <c r="Y29" s="48"/>
      <c r="Z29" s="48"/>
      <c r="AA29" s="48"/>
      <c r="AB29" s="48"/>
      <c r="AC29" s="48"/>
      <c r="AD29" s="48"/>
      <c r="AE29" s="48"/>
      <c r="AF29" s="82">
        <v>88</v>
      </c>
      <c r="AG29" s="65" t="str">
        <f>Tabulacao!JO2</f>
        <v>Apresentações orais</v>
      </c>
      <c r="AH29" s="83">
        <f>IFERROR(VLOOKUP(AH$22,Tabulacao!$JO$2:$JQ$15,3,0),"-")</f>
        <v>3.6900369003690036E-3</v>
      </c>
      <c r="AI29" s="83">
        <f>IFERROR(VLOOKUP(AI$22,Tabulacao!$JO$2:$JQ$15,3,0),"-")</f>
        <v>3.3210332103321034E-2</v>
      </c>
      <c r="AJ29" s="83">
        <f>IFERROR(VLOOKUP(AJ$22,Tabulacao!$JO$2:$JQ$15,3,0),"-")</f>
        <v>0.25092250922509224</v>
      </c>
      <c r="AK29" s="83">
        <f>IFERROR(VLOOKUP(AK$22,Tabulacao!$JO$2:$JQ$15,3,0),"-")</f>
        <v>0.37269372693726938</v>
      </c>
      <c r="AL29" s="83">
        <f>IFERROR(VLOOKUP(AL$22,Tabulacao!$JO$2:$JQ$15,3,0),"-")</f>
        <v>0.33948339483394835</v>
      </c>
      <c r="AM29" s="231">
        <f t="shared" si="9"/>
        <v>1</v>
      </c>
      <c r="AN29" s="78">
        <f>IFERROR(VLOOKUP(AN$22,Tabulacao!$JO$2:$JQ$15,2,0),"-")</f>
        <v>4.0110701107011071</v>
      </c>
      <c r="AO29" s="79">
        <f>IFERROR(VLOOKUP(AO$22,Tabulacao!$JO$2:$JQ$15,2,0),"-")</f>
        <v>4</v>
      </c>
      <c r="AP29" s="79">
        <f>IFERROR(VLOOKUP(AP$22,Tabulacao!$JO$2:$JQ$15,2,0),"-")</f>
        <v>4</v>
      </c>
      <c r="AQ29" s="80">
        <f>IFERROR(VLOOKUP(AQ$22,Tabulacao!$JO$2:$JQ$15,2,0),"-")</f>
        <v>0.21721990237850988</v>
      </c>
      <c r="AR29" s="48"/>
      <c r="AS29" s="81">
        <f t="shared" si="12"/>
        <v>94</v>
      </c>
      <c r="AT29" s="51" t="str">
        <f t="shared" si="12"/>
        <v xml:space="preserve">Desenvolver suas atividades atuais? </v>
      </c>
      <c r="AU29" s="130">
        <f>COUNTIFS(Respostas_Formatadas!$C:$C,AvalInst!$AT$26,Respostas_Formatadas!$DE:$DE,AvalInst!AU$27)</f>
        <v>0</v>
      </c>
      <c r="AV29" s="130">
        <f>COUNTIFS(Respostas_Formatadas!$C:$C,AvalInst!$AT$26,Respostas_Formatadas!$DE:$DE,AvalInst!AV$27)</f>
        <v>0</v>
      </c>
      <c r="AW29" s="130">
        <f>COUNTIFS(Respostas_Formatadas!$C:$C,AvalInst!$AT$26,Respostas_Formatadas!$DE:$DE,AvalInst!AW$27)</f>
        <v>3</v>
      </c>
      <c r="AX29" s="130">
        <f>COUNTIFS(Respostas_Formatadas!$C:$C,AvalInst!$AT$26,Respostas_Formatadas!$DE:$DE,AvalInst!AX$27)</f>
        <v>6</v>
      </c>
      <c r="AY29" s="130">
        <f>COUNTIFS(Respostas_Formatadas!$C:$C,AvalInst!$AT$26,Respostas_Formatadas!$DE:$DE,AvalInst!AY$27)</f>
        <v>10</v>
      </c>
      <c r="AZ29" s="229">
        <f t="shared" ref="AZ29:AZ32" si="14">SUM(AU29:AY29)</f>
        <v>19</v>
      </c>
      <c r="BA29" s="76">
        <f>SUMPRODUCT($AU$27:$AY$27,AU29:AY29)/SUM(AU29:AY29)</f>
        <v>4.3684210526315788</v>
      </c>
      <c r="BB29" s="48"/>
      <c r="BC29" s="48"/>
      <c r="BD29" s="48"/>
      <c r="BE29" s="48"/>
      <c r="BF29" s="48"/>
      <c r="BG29" s="48"/>
      <c r="BH29" s="48"/>
      <c r="BI29" s="48"/>
      <c r="BJ29" s="48"/>
      <c r="BK29" s="60" t="str">
        <f>BK10</f>
        <v>Não</v>
      </c>
      <c r="BL29" s="52">
        <f>COUNTIFS(Respostas_Formatadas!$C:$C,AvalInst!$BK$26,Respostas_Formatadas!$DJ:$DJ,AvalInst!$BK29)</f>
        <v>7</v>
      </c>
      <c r="BM29" s="53">
        <f>BL29/$BL$30</f>
        <v>0.36842105263157893</v>
      </c>
      <c r="BN29" s="48"/>
      <c r="BO29" s="48"/>
      <c r="BP29" s="48"/>
      <c r="BQ29" s="48"/>
      <c r="BR29" s="48"/>
      <c r="BS29" s="48"/>
      <c r="BT29" s="48"/>
      <c r="BU29" s="48"/>
      <c r="BV29" s="48"/>
      <c r="BW29" s="48"/>
      <c r="BX29" s="48"/>
      <c r="BY29" s="48"/>
      <c r="BZ29" s="48"/>
      <c r="CA29" s="48"/>
      <c r="CB29" s="48"/>
      <c r="CC29" s="60" t="s">
        <v>134</v>
      </c>
      <c r="CD29" s="52">
        <f>COUNTIFS(Respostas_Formatadas!$C:$C,AvalInst!$CC$26,Respostas_Formatadas!$DR:$DR,AvalInst!CC29)</f>
        <v>11</v>
      </c>
      <c r="CE29" s="53">
        <f>CD29/$CD$30</f>
        <v>0.57894736842105265</v>
      </c>
      <c r="CF29" s="272"/>
      <c r="CG29" s="341" t="s">
        <v>1159</v>
      </c>
      <c r="CH29" s="261" t="s">
        <v>120</v>
      </c>
      <c r="CI29" s="48"/>
      <c r="CJ29" s="48"/>
      <c r="CK29" s="48"/>
      <c r="CL29" s="48"/>
      <c r="CM29" s="48"/>
      <c r="CN29" s="48"/>
      <c r="CO29" s="48"/>
      <c r="CP29" s="48"/>
      <c r="CQ29" s="48"/>
      <c r="CR29" s="48"/>
      <c r="CS29" s="48"/>
      <c r="CT29" s="60" t="s">
        <v>134</v>
      </c>
      <c r="CU29" s="52">
        <f>COUNTIFS(Respostas_Formatadas!$C:$C,AvalInst!$CT$26,Respostas_Formatadas!$DZ:$DZ,AvalInst!CT29)</f>
        <v>1</v>
      </c>
      <c r="CV29" s="53">
        <f>CU29/$CU$30</f>
        <v>6.25E-2</v>
      </c>
      <c r="CW29" s="272"/>
      <c r="CX29" s="341" t="s">
        <v>1159</v>
      </c>
      <c r="CY29" s="261" t="s">
        <v>130</v>
      </c>
      <c r="CZ29" s="48"/>
      <c r="DA29" s="48"/>
      <c r="DB29" s="48"/>
      <c r="DC29" s="48"/>
      <c r="DD29" s="48"/>
      <c r="DE29"/>
      <c r="DF29" s="48"/>
      <c r="DG29" s="48"/>
      <c r="DH29" s="48"/>
      <c r="DI29" s="48"/>
    </row>
    <row r="30" spans="2:113" ht="25.5" x14ac:dyDescent="0.2">
      <c r="B30" s="48"/>
      <c r="C30" s="323"/>
      <c r="D30" s="48"/>
      <c r="E30" s="341" t="s">
        <v>1159</v>
      </c>
      <c r="F30" s="261" t="s">
        <v>119</v>
      </c>
      <c r="G30" s="48"/>
      <c r="H30" s="48"/>
      <c r="I30" s="48"/>
      <c r="J30" s="48"/>
      <c r="K30" s="48"/>
      <c r="L30" s="48"/>
      <c r="M30" s="48"/>
      <c r="N30" s="48"/>
      <c r="O30" s="48"/>
      <c r="P30" s="48"/>
      <c r="Q30" s="48"/>
      <c r="R30" s="48"/>
      <c r="S30" s="48"/>
      <c r="T30" s="48"/>
      <c r="U30" s="48"/>
      <c r="V30" s="48"/>
      <c r="W30" s="48"/>
      <c r="X30" s="48"/>
      <c r="Y30" s="48"/>
      <c r="Z30" s="48"/>
      <c r="AA30" s="48"/>
      <c r="AB30" s="48"/>
      <c r="AC30" s="48"/>
      <c r="AD30" s="48"/>
      <c r="AE30" s="48"/>
      <c r="AF30" s="81">
        <v>89</v>
      </c>
      <c r="AG30" s="51" t="str">
        <f>Tabulacao!JR2</f>
        <v>Professor como principal fonte de informação</v>
      </c>
      <c r="AH30" s="19">
        <f>IFERROR(VLOOKUP(AH$22,Tabulacao!$JR$2:$JT$15,3,0),"-")</f>
        <v>7.3800738007380072E-3</v>
      </c>
      <c r="AI30" s="19">
        <f>IFERROR(VLOOKUP(AI$22,Tabulacao!$JR$2:$JT$15,3,0),"-")</f>
        <v>5.1660516605166053E-2</v>
      </c>
      <c r="AJ30" s="19">
        <f>IFERROR(VLOOKUP(AJ$22,Tabulacao!$JR$2:$JT$15,3,0),"-")</f>
        <v>0.21771217712177121</v>
      </c>
      <c r="AK30" s="19">
        <f>IFERROR(VLOOKUP(AK$22,Tabulacao!$JR$2:$JT$15,3,0),"-")</f>
        <v>0.36900369003690037</v>
      </c>
      <c r="AL30" s="19">
        <f>IFERROR(VLOOKUP(AL$22,Tabulacao!$JR$2:$JT$15,3,0),"-")</f>
        <v>0.35424354243542433</v>
      </c>
      <c r="AM30" s="232">
        <f t="shared" si="9"/>
        <v>0.99999999999999989</v>
      </c>
      <c r="AN30" s="76">
        <f>IFERROR(VLOOKUP(AN$22,Tabulacao!$JR$2:$JT$15,2,0),"-")</f>
        <v>4.0110701107011071</v>
      </c>
      <c r="AO30" s="75">
        <f>IFERROR(VLOOKUP(AO$22,Tabulacao!$JR$2:$JT$15,2,0),"-")</f>
        <v>4</v>
      </c>
      <c r="AP30" s="75">
        <f>IFERROR(VLOOKUP(AP$22,Tabulacao!$JR$2:$JT$15,2,0),"-")</f>
        <v>4</v>
      </c>
      <c r="AQ30" s="77">
        <f>IFERROR(VLOOKUP(AQ$22,Tabulacao!$JR$2:$JT$15,2,0),"-")</f>
        <v>0.22958531839264124</v>
      </c>
      <c r="AR30" s="48"/>
      <c r="AS30" s="198">
        <f t="shared" si="12"/>
        <v>95</v>
      </c>
      <c r="AT30" s="199" t="str">
        <f t="shared" si="12"/>
        <v xml:space="preserve">Obter um futuro melhor na carreira? </v>
      </c>
      <c r="AU30" s="215">
        <f>COUNTIFS(Respostas_Formatadas!$C:$C,AvalInst!$AT$26,Respostas_Formatadas!$DF:$DF,AvalInst!AU$27)</f>
        <v>0</v>
      </c>
      <c r="AV30" s="215">
        <f>COUNTIFS(Respostas_Formatadas!$C:$C,AvalInst!$AT$26,Respostas_Formatadas!$DF:$DF,AvalInst!AV$27)</f>
        <v>0</v>
      </c>
      <c r="AW30" s="215">
        <f>COUNTIFS(Respostas_Formatadas!$C:$C,AvalInst!$AT$26,Respostas_Formatadas!$DF:$DF,AvalInst!AW$27)</f>
        <v>1</v>
      </c>
      <c r="AX30" s="215">
        <f>COUNTIFS(Respostas_Formatadas!$C:$C,AvalInst!$AT$26,Respostas_Formatadas!$DF:$DF,AvalInst!AX$27)</f>
        <v>9</v>
      </c>
      <c r="AY30" s="215">
        <f>COUNTIFS(Respostas_Formatadas!$C:$C,AvalInst!$AT$26,Respostas_Formatadas!$DF:$DF,AvalInst!AY$27)</f>
        <v>9</v>
      </c>
      <c r="AZ30" s="266">
        <f t="shared" si="14"/>
        <v>19</v>
      </c>
      <c r="BA30" s="211">
        <f>SUMPRODUCT($AU$27:$AY$27,AU30:AY30)/SUM(AU30:AY30)</f>
        <v>4.4210526315789478</v>
      </c>
      <c r="BB30" s="48"/>
      <c r="BC30" s="48"/>
      <c r="BD30" s="48"/>
      <c r="BE30" s="48"/>
      <c r="BF30" s="48"/>
      <c r="BG30" s="48"/>
      <c r="BH30" s="48"/>
      <c r="BI30" s="48"/>
      <c r="BJ30" s="48"/>
      <c r="BK30" s="191" t="str">
        <f>BK11</f>
        <v>Total</v>
      </c>
      <c r="BL30" s="192">
        <f>SUM(BL28:BL29)</f>
        <v>19</v>
      </c>
      <c r="BM30" s="193">
        <f>SUM(BM28:BM29)</f>
        <v>1</v>
      </c>
      <c r="BN30" s="272"/>
      <c r="BO30" s="341" t="s">
        <v>1159</v>
      </c>
      <c r="BP30" s="261" t="s">
        <v>122</v>
      </c>
      <c r="BQ30" s="48"/>
      <c r="BR30" s="48"/>
      <c r="BS30" s="48"/>
      <c r="BT30" s="272"/>
      <c r="BU30" s="341" t="s">
        <v>1159</v>
      </c>
      <c r="BV30" s="261" t="s">
        <v>121</v>
      </c>
      <c r="BW30" s="48"/>
      <c r="BX30" s="48"/>
      <c r="BY30" s="48"/>
      <c r="BZ30" s="48"/>
      <c r="CA30" s="48"/>
      <c r="CB30" s="48"/>
      <c r="CC30" s="191" t="s">
        <v>621</v>
      </c>
      <c r="CD30" s="192">
        <f>SUM(CD28:CD29)</f>
        <v>19</v>
      </c>
      <c r="CE30" s="193">
        <f>SUM(CE28:CE29)</f>
        <v>1</v>
      </c>
      <c r="CF30" s="48"/>
      <c r="CG30" s="48"/>
      <c r="CH30" s="220" t="s">
        <v>1045</v>
      </c>
      <c r="CI30" s="219" t="s">
        <v>131</v>
      </c>
      <c r="CJ30" s="219" t="s">
        <v>132</v>
      </c>
      <c r="CK30" s="272"/>
      <c r="CL30" s="341" t="s">
        <v>1159</v>
      </c>
      <c r="CM30" s="261" t="s">
        <v>130</v>
      </c>
      <c r="CN30" s="48"/>
      <c r="CO30" s="48"/>
      <c r="CP30" s="48"/>
      <c r="CQ30" s="48"/>
      <c r="CR30" s="48"/>
      <c r="CS30" s="48"/>
      <c r="CT30" s="191" t="s">
        <v>621</v>
      </c>
      <c r="CU30" s="192">
        <f>SUM(CU28:CU29)</f>
        <v>16</v>
      </c>
      <c r="CV30" s="193">
        <f>SUM(CV28:CV29)</f>
        <v>1</v>
      </c>
      <c r="CW30" s="48"/>
      <c r="CX30" s="48"/>
      <c r="CY30" s="197" t="str">
        <f t="shared" ref="CY30:CY35" si="15">CY8</f>
        <v>Relevância do recursos assistenciais</v>
      </c>
      <c r="CZ30" s="187" t="str">
        <f>CY29</f>
        <v>Tecnologia em Agroecologia</v>
      </c>
      <c r="DA30" s="187" t="str">
        <f>CZ30</f>
        <v>Tecnologia em Agroecologia</v>
      </c>
      <c r="DB30" s="187" t="s">
        <v>156</v>
      </c>
      <c r="DC30" s="187" t="s">
        <v>156</v>
      </c>
      <c r="DD30" s="48"/>
      <c r="DE30"/>
      <c r="DF30" s="48"/>
      <c r="DG30" s="156" t="s">
        <v>1207</v>
      </c>
      <c r="DH30" s="48"/>
      <c r="DI30" s="48"/>
    </row>
    <row r="31" spans="2:113" ht="25.5" x14ac:dyDescent="0.2">
      <c r="B31" s="48"/>
      <c r="C31" s="323"/>
      <c r="D31" s="48"/>
      <c r="E31" s="48"/>
      <c r="F31" s="197" t="str">
        <f>F8</f>
        <v>Formas de ingresso no IFS</v>
      </c>
      <c r="G31" s="187" t="str">
        <f>G8</f>
        <v>f</v>
      </c>
      <c r="H31" s="187" t="str">
        <f>H8</f>
        <v>%</v>
      </c>
      <c r="I31" s="48"/>
      <c r="J31" s="48"/>
      <c r="K31" s="48"/>
      <c r="L31" s="48"/>
      <c r="M31" s="48"/>
      <c r="N31" s="48"/>
      <c r="O31" s="48"/>
      <c r="P31" s="48"/>
      <c r="Q31" s="48"/>
      <c r="R31" s="48"/>
      <c r="S31" s="48"/>
      <c r="T31" s="48"/>
      <c r="U31" s="48"/>
      <c r="V31" s="48"/>
      <c r="W31" s="48"/>
      <c r="X31" s="48"/>
      <c r="Y31" s="48"/>
      <c r="Z31" s="48"/>
      <c r="AA31" s="48"/>
      <c r="AB31" s="48"/>
      <c r="AC31" s="48"/>
      <c r="AD31" s="48"/>
      <c r="AE31" s="48"/>
      <c r="AF31" s="82">
        <v>90</v>
      </c>
      <c r="AG31" s="65" t="str">
        <f>Tabulacao!JU2</f>
        <v>Aplicativos ou informações da internet durante as aulas</v>
      </c>
      <c r="AH31" s="83">
        <f>IFERROR(VLOOKUP(AH$22,Tabulacao!$JU$2:$JW$15,3,0),"-")</f>
        <v>0.12915129151291513</v>
      </c>
      <c r="AI31" s="83">
        <f>IFERROR(VLOOKUP(AI$22,Tabulacao!$JU$2:$JW$15,3,0),"-")</f>
        <v>0.24723247232472326</v>
      </c>
      <c r="AJ31" s="83">
        <f>IFERROR(VLOOKUP(AJ$22,Tabulacao!$JU$2:$JW$15,3,0),"-")</f>
        <v>0.28413284132841327</v>
      </c>
      <c r="AK31" s="83">
        <f>IFERROR(VLOOKUP(AK$22,Tabulacao!$JU$2:$JW$15,3,0),"-")</f>
        <v>0.24354243542435425</v>
      </c>
      <c r="AL31" s="83">
        <f>IFERROR(VLOOKUP(AL$22,Tabulacao!$JU$2:$JW$15,3,0),"-")</f>
        <v>9.5940959409594101E-2</v>
      </c>
      <c r="AM31" s="231">
        <f t="shared" si="9"/>
        <v>1</v>
      </c>
      <c r="AN31" s="78">
        <f>IFERROR(VLOOKUP(AN$22,Tabulacao!$JU$2:$JW$15,2,0),"-")</f>
        <v>2.9298892988929888</v>
      </c>
      <c r="AO31" s="79">
        <f>IFERROR(VLOOKUP(AO$22,Tabulacao!$JU$2:$JW$15,2,0),"-")</f>
        <v>3</v>
      </c>
      <c r="AP31" s="79">
        <f>IFERROR(VLOOKUP(AP$22,Tabulacao!$JU$2:$JW$15,2,0),"-")</f>
        <v>3</v>
      </c>
      <c r="AQ31" s="80">
        <f>IFERROR(VLOOKUP(AQ$22,Tabulacao!$JU$2:$JW$15,2,0),"-")</f>
        <v>0.40259552943322519</v>
      </c>
      <c r="AR31" s="48"/>
      <c r="AS31" s="81">
        <f t="shared" si="12"/>
        <v>96</v>
      </c>
      <c r="AT31" s="51" t="str">
        <f t="shared" si="12"/>
        <v>Obter desenvolvimento pessoal?</v>
      </c>
      <c r="AU31" s="130">
        <f>COUNTIFS(Respostas_Formatadas!$C:$C,AvalInst!$AT$26,Respostas_Formatadas!$DG:$DG,AvalInst!AU$27)</f>
        <v>0</v>
      </c>
      <c r="AV31" s="130">
        <f>COUNTIFS(Respostas_Formatadas!$C:$C,AvalInst!$AT$26,Respostas_Formatadas!$DG:$DG,AvalInst!AV$27)</f>
        <v>0</v>
      </c>
      <c r="AW31" s="130">
        <f>COUNTIFS(Respostas_Formatadas!$C:$C,AvalInst!$AT$26,Respostas_Formatadas!$DG:$DG,AvalInst!AW$27)</f>
        <v>2</v>
      </c>
      <c r="AX31" s="130">
        <f>COUNTIFS(Respostas_Formatadas!$C:$C,AvalInst!$AT$26,Respostas_Formatadas!$DG:$DG,AvalInst!AX$27)</f>
        <v>7</v>
      </c>
      <c r="AY31" s="130">
        <f>COUNTIFS(Respostas_Formatadas!$C:$C,AvalInst!$AT$26,Respostas_Formatadas!$DG:$DG,AvalInst!AY$27)</f>
        <v>10</v>
      </c>
      <c r="AZ31" s="229">
        <f t="shared" si="14"/>
        <v>19</v>
      </c>
      <c r="BA31" s="76">
        <f>SUMPRODUCT($AU$27:$AY$27,AU31:AY31)/SUM(AU31:AY31)</f>
        <v>4.4210526315789478</v>
      </c>
      <c r="BB31" s="48"/>
      <c r="BC31" s="48"/>
      <c r="BD31" s="48"/>
      <c r="BE31" s="48"/>
      <c r="BF31" s="48"/>
      <c r="BG31" s="48"/>
      <c r="BH31" s="48"/>
      <c r="BI31" s="48"/>
      <c r="BJ31" s="48"/>
      <c r="BK31" s="48"/>
      <c r="BL31" s="48"/>
      <c r="BM31" s="48"/>
      <c r="BN31" s="48"/>
      <c r="BO31" s="48"/>
      <c r="BP31" s="220" t="s">
        <v>1038</v>
      </c>
      <c r="BQ31" s="219" t="s">
        <v>131</v>
      </c>
      <c r="BR31" s="219" t="s">
        <v>132</v>
      </c>
      <c r="BS31" s="48"/>
      <c r="BT31" s="48"/>
      <c r="BU31" s="48"/>
      <c r="BV31" s="220" t="str">
        <f t="shared" ref="BV31:BV36" si="16">BV8</f>
        <v>Relevância das atividades de PESQUISA para a atuação profissional atualmente</v>
      </c>
      <c r="BW31" s="219" t="str">
        <f>BV30</f>
        <v>Licenciatura em Química</v>
      </c>
      <c r="BX31" s="219" t="str">
        <f>BW31</f>
        <v>Licenciatura em Química</v>
      </c>
      <c r="BY31" s="219" t="s">
        <v>156</v>
      </c>
      <c r="BZ31" s="219" t="s">
        <v>156</v>
      </c>
      <c r="CA31" s="48"/>
      <c r="CB31" s="48"/>
      <c r="CC31" s="48"/>
      <c r="CD31" s="48"/>
      <c r="CE31" s="48"/>
      <c r="CF31" s="48"/>
      <c r="CG31" s="48"/>
      <c r="CH31" s="60" t="s">
        <v>258</v>
      </c>
      <c r="CI31" s="52">
        <f>COUNTIFS(Respostas_Formatadas!$C:$C,AvalInst!$CH$29,Respostas_Formatadas!$DS:$DS,AvalInst!$CH31)+COUNTIFS(Respostas_Formatadas!$C:$C,AvalInst!$CH$29,Respostas_Formatadas!$DT:$DT,AvalInst!$CH31)+COUNTIFS(Respostas_Formatadas!$C:$C,AvalInst!$CH$29,Respostas_Formatadas!$DU:$DU,AvalInst!$CH31)+COUNTIFS(Respostas_Formatadas!$C:$C,AvalInst!$CH$29,Respostas_Formatadas!$DV:$DV,AvalInst!$CH31)+COUNTIFS(Respostas_Formatadas!$C:$C,AvalInst!$CH$29,Respostas_Formatadas!$DW:$DW,AvalInst!$CH31)+COUNTIFS(Respostas_Formatadas!$C:$C,AvalInst!$CH$29,Respostas_Formatadas!$DX:$DX,AvalInst!$CH31)</f>
        <v>0</v>
      </c>
      <c r="CJ31" s="53">
        <f>CI31/$CI$36</f>
        <v>0</v>
      </c>
      <c r="CK31" s="48"/>
      <c r="CL31" s="48"/>
      <c r="CM31" s="220" t="str">
        <f t="shared" ref="CM31:CM36" si="17">CM8</f>
        <v>Relevância das atividades de EXTENSÃO para a atuação profissional atualmente</v>
      </c>
      <c r="CN31" s="219" t="str">
        <f>CM30</f>
        <v>Tecnologia em Agroecologia</v>
      </c>
      <c r="CO31" s="219" t="str">
        <f>CN31</f>
        <v>Tecnologia em Agroecologia</v>
      </c>
      <c r="CP31" s="219" t="s">
        <v>156</v>
      </c>
      <c r="CQ31" s="219" t="s">
        <v>156</v>
      </c>
      <c r="CR31" s="48"/>
      <c r="CS31" s="48"/>
      <c r="CT31" s="48"/>
      <c r="CU31" s="48"/>
      <c r="CV31" s="48"/>
      <c r="CW31" s="48"/>
      <c r="CX31" s="48"/>
      <c r="CY31" s="60">
        <f t="shared" si="15"/>
        <v>1</v>
      </c>
      <c r="CZ31" s="52">
        <f>IFERROR(COUNTIFS(Respostas_Formatadas!$C:$C,$CY$29,Respostas_Formatadas!$EA:$EA,AvalInst!$CY31),"-")</f>
        <v>0</v>
      </c>
      <c r="DA31" s="53">
        <f>IFERROR(CZ31/SUM($CZ$31:$CZ$35),"-")</f>
        <v>0</v>
      </c>
      <c r="DB31" s="52">
        <f t="shared" ref="DB31:DC35" si="18">CZ9</f>
        <v>1</v>
      </c>
      <c r="DC31" s="53">
        <f t="shared" si="18"/>
        <v>6.41025641025641E-3</v>
      </c>
      <c r="DD31" s="48"/>
      <c r="DE31"/>
      <c r="DF31" s="48"/>
      <c r="DG31" s="48"/>
      <c r="DH31" s="48"/>
      <c r="DI31" s="48"/>
    </row>
    <row r="32" spans="2:113" x14ac:dyDescent="0.2">
      <c r="B32" s="48"/>
      <c r="C32" s="323"/>
      <c r="D32" s="48"/>
      <c r="E32" s="48"/>
      <c r="F32" s="60" t="str">
        <f t="shared" ref="F32:F38" si="19">F9</f>
        <v>SISU</v>
      </c>
      <c r="G32" s="52">
        <f>COUNTIFS(Respostas_Formatadas!$C:$C,AvalInst!$F$30,Respostas_Formatadas!$CN:$CN,AvalInst!$F32)</f>
        <v>19</v>
      </c>
      <c r="H32" s="53">
        <f t="shared" ref="H32:H38" si="20">G32/$G$39</f>
        <v>0.39583333333333331</v>
      </c>
      <c r="I32" s="48"/>
      <c r="J32" s="48"/>
      <c r="K32" s="48"/>
      <c r="L32" s="48"/>
      <c r="M32" s="48"/>
      <c r="N32" s="48"/>
      <c r="O32" s="48"/>
      <c r="P32" s="48"/>
      <c r="Q32" s="48"/>
      <c r="R32" s="48"/>
      <c r="S32" s="48"/>
      <c r="T32" s="48"/>
      <c r="U32" s="48"/>
      <c r="V32" s="48"/>
      <c r="W32" s="48"/>
      <c r="X32" s="48"/>
      <c r="Y32" s="48"/>
      <c r="Z32" s="48"/>
      <c r="AA32" s="48"/>
      <c r="AB32" s="48"/>
      <c r="AC32" s="48"/>
      <c r="AD32" s="48"/>
      <c r="AE32" s="48"/>
      <c r="AF32" s="81">
        <v>91</v>
      </c>
      <c r="AG32" s="51" t="str">
        <f>Tabulacao!JX2</f>
        <v>Confecção de artigos científicos</v>
      </c>
      <c r="AH32" s="19">
        <f>IFERROR(VLOOKUP(AH$22,Tabulacao!$JX$2:$JZ$15,3,0),"-")</f>
        <v>7.3800738007380073E-2</v>
      </c>
      <c r="AI32" s="19">
        <f>IFERROR(VLOOKUP(AI$22,Tabulacao!$JX$2:$JZ$15,3,0),"-")</f>
        <v>0.24354243542435425</v>
      </c>
      <c r="AJ32" s="19">
        <f>IFERROR(VLOOKUP(AJ$22,Tabulacao!$JX$2:$JZ$15,3,0),"-")</f>
        <v>0.29520295202952029</v>
      </c>
      <c r="AK32" s="19">
        <f>IFERROR(VLOOKUP(AK$22,Tabulacao!$JX$2:$JZ$15,3,0),"-")</f>
        <v>0.23985239852398524</v>
      </c>
      <c r="AL32" s="19">
        <f>IFERROR(VLOOKUP(AL$22,Tabulacao!$JX$2:$JZ$15,3,0),"-")</f>
        <v>0.14760147601476015</v>
      </c>
      <c r="AM32" s="232">
        <f t="shared" si="9"/>
        <v>1</v>
      </c>
      <c r="AN32" s="76">
        <f>IFERROR(VLOOKUP(AN$22,Tabulacao!$JX$2:$JZ$15,2,0),"-")</f>
        <v>3.1439114391143912</v>
      </c>
      <c r="AO32" s="75">
        <f>IFERROR(VLOOKUP(AO$22,Tabulacao!$JX$2:$JZ$15,2,0),"-")</f>
        <v>3</v>
      </c>
      <c r="AP32" s="75">
        <f>IFERROR(VLOOKUP(AP$22,Tabulacao!$JX$2:$JZ$15,2,0),"-")</f>
        <v>3</v>
      </c>
      <c r="AQ32" s="77">
        <f>IFERROR(VLOOKUP(AQ$22,Tabulacao!$JX$2:$JZ$15,2,0),"-")</f>
        <v>0.37001951502240604</v>
      </c>
      <c r="AR32" s="48"/>
      <c r="AS32" s="198">
        <f t="shared" si="12"/>
        <v>97</v>
      </c>
      <c r="AT32" s="199" t="str">
        <f t="shared" si="12"/>
        <v>Desenvolver habilidades empreendedoras?</v>
      </c>
      <c r="AU32" s="215">
        <f>COUNTIFS(Respostas_Formatadas!$C:$C,AvalInst!$AT$26,Respostas_Formatadas!$DH:$DH,AvalInst!AU$27)</f>
        <v>0</v>
      </c>
      <c r="AV32" s="215">
        <f>COUNTIFS(Respostas_Formatadas!$C:$C,AvalInst!$AT$26,Respostas_Formatadas!$DH:$DH,AvalInst!AV$27)</f>
        <v>6</v>
      </c>
      <c r="AW32" s="215">
        <f>COUNTIFS(Respostas_Formatadas!$C:$C,AvalInst!$AT$26,Respostas_Formatadas!$DH:$DH,AvalInst!AW$27)</f>
        <v>5</v>
      </c>
      <c r="AX32" s="215">
        <f>COUNTIFS(Respostas_Formatadas!$C:$C,AvalInst!$AT$26,Respostas_Formatadas!$DH:$DH,AvalInst!AX$27)</f>
        <v>4</v>
      </c>
      <c r="AY32" s="215">
        <f>COUNTIFS(Respostas_Formatadas!$C:$C,AvalInst!$AT$26,Respostas_Formatadas!$DH:$DH,AvalInst!AY$27)</f>
        <v>4</v>
      </c>
      <c r="AZ32" s="266">
        <f t="shared" si="14"/>
        <v>19</v>
      </c>
      <c r="BA32" s="211">
        <f>SUMPRODUCT($AU$27:$AY$27,AU32:AY32)/SUM(AU32:AY32)</f>
        <v>3.3157894736842106</v>
      </c>
      <c r="BB32" s="48"/>
      <c r="BC32" s="48"/>
      <c r="BD32" s="48"/>
      <c r="BE32" s="48"/>
      <c r="BF32" s="48"/>
      <c r="BG32" s="48"/>
      <c r="BH32" s="48"/>
      <c r="BI32" s="48"/>
      <c r="BJ32" s="48"/>
      <c r="BK32" s="48"/>
      <c r="BL32" s="48"/>
      <c r="BM32" s="48"/>
      <c r="BN32" s="48"/>
      <c r="BO32" s="48"/>
      <c r="BP32" s="60" t="str">
        <f>BP9</f>
        <v>Grupos de pesquisa</v>
      </c>
      <c r="BQ32" s="52">
        <f>COUNTIFS(Respostas_Formatadas!$C:$C,AvalInst!$BP$30,Respostas_Formatadas!$DK:$DK,AvalInst!BP32)+COUNTIFS(Respostas_Formatadas!$C:$C,AvalInst!$BP$30,Respostas_Formatadas!$DL:$DL,AvalInst!BP32)+COUNTIFS(Respostas_Formatadas!$C:$C,AvalInst!$BP$30,Respostas_Formatadas!$DM:$DM,AvalInst!BP32)+COUNTIFS(Respostas_Formatadas!$C:$C,AvalInst!$BP$30,Respostas_Formatadas!$DN:$DN,AvalInst!BP32)+COUNTIFS(Respostas_Formatadas!$C:$C,AvalInst!$BP$30,Respostas_Formatadas!$DO:$DO,AvalInst!BP32)+COUNTIFS(Respostas_Formatadas!$C:$C,AvalInst!$BP$30,Respostas_Formatadas!$DP:$DP,AvalInst!BP32)</f>
        <v>10</v>
      </c>
      <c r="BR32" s="53">
        <f>IFERROR(BQ32/$BQ$36,"-")</f>
        <v>0.625</v>
      </c>
      <c r="BS32" s="48"/>
      <c r="BT32" s="48"/>
      <c r="BU32" s="48"/>
      <c r="BV32" s="60">
        <f t="shared" si="16"/>
        <v>1</v>
      </c>
      <c r="BW32" s="52">
        <f>IFERROR(COUNTIFS(Respostas_Formatadas!$C:$C,$BV$30,Respostas_Formatadas!$DQ:$DQ,AvalInst!$BV32),"-")</f>
        <v>2</v>
      </c>
      <c r="BX32" s="53">
        <f>IFERROR(BW32/SUM($BW$32:$BW$36),"-")</f>
        <v>9.0909090909090912E-2</v>
      </c>
      <c r="BY32" s="52">
        <f t="shared" ref="BY32:BZ36" si="21">BW9</f>
        <v>20</v>
      </c>
      <c r="BZ32" s="53">
        <f t="shared" si="21"/>
        <v>0.10752688172043011</v>
      </c>
      <c r="CA32" s="48"/>
      <c r="CB32" s="48"/>
      <c r="CC32" s="48"/>
      <c r="CD32" s="48"/>
      <c r="CE32" s="48"/>
      <c r="CF32" s="48"/>
      <c r="CG32" s="48"/>
      <c r="CH32" s="60" t="s">
        <v>259</v>
      </c>
      <c r="CI32" s="52">
        <f>COUNTIFS(Respostas_Formatadas!$C:$C,AvalInst!$CH$29,Respostas_Formatadas!$DS:$DS,AvalInst!$CH32)+COUNTIFS(Respostas_Formatadas!$C:$C,AvalInst!$CH$29,Respostas_Formatadas!$DT:$DT,AvalInst!$CH32)+COUNTIFS(Respostas_Formatadas!$C:$C,AvalInst!$CH$29,Respostas_Formatadas!$DU:$DU,AvalInst!$CH32)+COUNTIFS(Respostas_Formatadas!$C:$C,AvalInst!$CH$29,Respostas_Formatadas!$DV:$DV,AvalInst!$CH32)+COUNTIFS(Respostas_Formatadas!$C:$C,AvalInst!$CH$29,Respostas_Formatadas!$DW:$DW,AvalInst!$CH32)+COUNTIFS(Respostas_Formatadas!$C:$C,AvalInst!$CH$29,Respostas_Formatadas!$DX:$DX,AvalInst!$CH32)</f>
        <v>7</v>
      </c>
      <c r="CJ32" s="53">
        <f t="shared" ref="CJ32:CJ35" si="22">CI32/$CI$36</f>
        <v>0.875</v>
      </c>
      <c r="CK32" s="48"/>
      <c r="CL32" s="48"/>
      <c r="CM32" s="60">
        <f t="shared" si="17"/>
        <v>1</v>
      </c>
      <c r="CN32" s="52">
        <f>IFERROR(COUNTIFS(Respostas_Formatadas!$C:$C,$CM$30,Respostas_Formatadas!$DY:$DY,AvalInst!$CM32),"-")</f>
        <v>2</v>
      </c>
      <c r="CO32" s="53">
        <f>IFERROR(CN32/SUM($CN$32:$CN$36),"-")</f>
        <v>0.14285714285714285</v>
      </c>
      <c r="CP32" s="52">
        <f t="shared" ref="CP32:CQ36" si="23">CN9</f>
        <v>7</v>
      </c>
      <c r="CQ32" s="53">
        <f t="shared" si="23"/>
        <v>4.9645390070921988E-2</v>
      </c>
      <c r="CR32" s="48"/>
      <c r="CS32" s="48"/>
      <c r="CT32" s="48"/>
      <c r="CU32" s="48"/>
      <c r="CV32" s="48"/>
      <c r="CW32" s="48"/>
      <c r="CX32" s="48"/>
      <c r="CY32" s="60">
        <f t="shared" si="15"/>
        <v>2</v>
      </c>
      <c r="CZ32" s="52">
        <f>IFERROR(COUNTIFS(Respostas_Formatadas!$C:$C,$CY$29,Respostas_Formatadas!$EA:$EA,AvalInst!$CY32),"-")</f>
        <v>0</v>
      </c>
      <c r="DA32" s="53">
        <f>IFERROR(CZ32/SUM($CZ$31:$CZ$35),"-")</f>
        <v>0</v>
      </c>
      <c r="DB32" s="52">
        <f t="shared" si="18"/>
        <v>1</v>
      </c>
      <c r="DC32" s="53">
        <f t="shared" si="18"/>
        <v>6.41025641025641E-3</v>
      </c>
      <c r="DD32" s="48"/>
      <c r="DE32"/>
      <c r="DF32" s="341" t="s">
        <v>1159</v>
      </c>
      <c r="DG32" s="261" t="s">
        <v>134</v>
      </c>
      <c r="DH32" s="48"/>
      <c r="DI32" s="48"/>
    </row>
    <row r="33" spans="2:113" x14ac:dyDescent="0.2">
      <c r="B33" s="48"/>
      <c r="C33" s="323"/>
      <c r="D33" s="48"/>
      <c r="E33" s="48"/>
      <c r="F33" s="60" t="str">
        <f t="shared" si="19"/>
        <v>Vestibular do próprio IFS</v>
      </c>
      <c r="G33" s="52">
        <f>COUNTIFS(Respostas_Formatadas!$C:$C,AvalInst!$F$30,Respostas_Formatadas!$CN:$CN,AvalInst!$F33)</f>
        <v>23</v>
      </c>
      <c r="H33" s="53">
        <f t="shared" si="20"/>
        <v>0.47916666666666669</v>
      </c>
      <c r="I33" s="48"/>
      <c r="J33" s="48"/>
      <c r="K33" s="48"/>
      <c r="L33" s="48"/>
      <c r="M33" s="48"/>
      <c r="N33" s="48"/>
      <c r="O33" s="48"/>
      <c r="P33" s="48"/>
      <c r="Q33" s="48"/>
      <c r="R33" s="48"/>
      <c r="S33" s="48"/>
      <c r="T33" s="48"/>
      <c r="U33" s="48"/>
      <c r="V33" s="48"/>
      <c r="W33" s="48"/>
      <c r="X33" s="48"/>
      <c r="Y33" s="48"/>
      <c r="Z33" s="48"/>
      <c r="AA33" s="48"/>
      <c r="AB33" s="48"/>
      <c r="AC33" s="48"/>
      <c r="AD33" s="48"/>
      <c r="AE33" s="48"/>
      <c r="AF33" s="82">
        <v>92</v>
      </c>
      <c r="AG33" s="65" t="str">
        <f>Tabulacao!KA2</f>
        <v>Provas de múltipla escolha</v>
      </c>
      <c r="AH33" s="83">
        <f>IFERROR(VLOOKUP(AH$22,Tabulacao!$KA$2:$KC$15,3,0),"-")</f>
        <v>8.8560885608856083E-2</v>
      </c>
      <c r="AI33" s="83">
        <f>IFERROR(VLOOKUP(AI$22,Tabulacao!$KA$2:$KC$15,3,0),"-")</f>
        <v>0.1918819188191882</v>
      </c>
      <c r="AJ33" s="83">
        <f>IFERROR(VLOOKUP(AJ$22,Tabulacao!$KA$2:$KC$15,3,0),"-")</f>
        <v>0.36162361623616235</v>
      </c>
      <c r="AK33" s="83">
        <f>IFERROR(VLOOKUP(AK$22,Tabulacao!$KA$2:$KC$15,3,0),"-")</f>
        <v>0.2140221402214022</v>
      </c>
      <c r="AL33" s="83">
        <f>IFERROR(VLOOKUP(AL$22,Tabulacao!$KA$2:$KC$15,3,0),"-")</f>
        <v>0.14391143911439114</v>
      </c>
      <c r="AM33" s="231">
        <f t="shared" si="9"/>
        <v>1</v>
      </c>
      <c r="AN33" s="78">
        <f>IFERROR(VLOOKUP(AN$22,Tabulacao!$KA$2:$KC$15,2,0),"-")</f>
        <v>3.1328413284132841</v>
      </c>
      <c r="AO33" s="79">
        <f>IFERROR(VLOOKUP(AO$22,Tabulacao!$KA$2:$KC$15,2,0),"-")</f>
        <v>3</v>
      </c>
      <c r="AP33" s="79">
        <f>IFERROR(VLOOKUP(AP$22,Tabulacao!$KA$2:$KC$15,2,0),"-")</f>
        <v>3</v>
      </c>
      <c r="AQ33" s="80">
        <f>IFERROR(VLOOKUP(AQ$22,Tabulacao!$KA$2:$KC$15,2,0),"-")</f>
        <v>0.36715226426555153</v>
      </c>
      <c r="AR33" s="48"/>
      <c r="AS33" s="48"/>
      <c r="AT33" s="48"/>
      <c r="AU33" s="48"/>
      <c r="AV33" s="48"/>
      <c r="AW33" s="48"/>
      <c r="AX33" s="48"/>
      <c r="AY33" s="48"/>
      <c r="AZ33" s="48"/>
      <c r="BA33" s="48"/>
      <c r="BB33" s="48"/>
      <c r="BC33" s="48"/>
      <c r="BD33" s="48"/>
      <c r="BE33" s="48"/>
      <c r="BF33" s="48"/>
      <c r="BG33" s="48"/>
      <c r="BH33" s="48"/>
      <c r="BI33" s="48"/>
      <c r="BJ33" s="48"/>
      <c r="BK33" s="48"/>
      <c r="BL33" s="48"/>
      <c r="BM33" s="48"/>
      <c r="BN33" s="48"/>
      <c r="BO33" s="48"/>
      <c r="BP33" s="60" t="str">
        <f t="shared" ref="BP33:BP35" si="24">BP10</f>
        <v>Projetos de pesquisa (PIBIC, PIVIT, PIBITI, PPTAE, etc.)</v>
      </c>
      <c r="BQ33" s="52">
        <f>COUNTIFS(Respostas_Formatadas!$C:$C,AvalInst!$BP$30,Respostas_Formatadas!$DK:$DK,AvalInst!BP33)+COUNTIFS(Respostas_Formatadas!$C:$C,AvalInst!$BP$30,Respostas_Formatadas!$DL:$DL,AvalInst!BP33)+COUNTIFS(Respostas_Formatadas!$C:$C,AvalInst!$BP$30,Respostas_Formatadas!$DM:$DM,AvalInst!BP33)+COUNTIFS(Respostas_Formatadas!$C:$C,AvalInst!$BP$30,Respostas_Formatadas!$DN:$DN,AvalInst!BP33)+COUNTIFS(Respostas_Formatadas!$C:$C,AvalInst!$BP$30,Respostas_Formatadas!$DO:$DO,AvalInst!BP33)+COUNTIFS(Respostas_Formatadas!$C:$C,AvalInst!$BP$30,Respostas_Formatadas!$DP:$DP,AvalInst!BP33)</f>
        <v>12</v>
      </c>
      <c r="BR33" s="53">
        <f>IFERROR(BQ33/$BQ$36,"-")</f>
        <v>0.75</v>
      </c>
      <c r="BS33" s="48"/>
      <c r="BT33" s="48"/>
      <c r="BU33" s="48"/>
      <c r="BV33" s="60">
        <f t="shared" si="16"/>
        <v>2</v>
      </c>
      <c r="BW33" s="52">
        <f>IFERROR(COUNTIFS(Respostas_Formatadas!$C:$C,$BV$30,Respostas_Formatadas!$DQ:$DQ,AvalInst!$BV33),"-")</f>
        <v>1</v>
      </c>
      <c r="BX33" s="53">
        <f>IFERROR(BW33/SUM($BW$32:$BW$36),"-")</f>
        <v>4.5454545454545456E-2</v>
      </c>
      <c r="BY33" s="52">
        <f t="shared" si="21"/>
        <v>10</v>
      </c>
      <c r="BZ33" s="53">
        <f t="shared" si="21"/>
        <v>5.3763440860215055E-2</v>
      </c>
      <c r="CA33" s="48"/>
      <c r="CB33" s="48"/>
      <c r="CC33" s="48"/>
      <c r="CD33" s="48"/>
      <c r="CE33" s="48"/>
      <c r="CF33" s="48"/>
      <c r="CG33" s="48"/>
      <c r="CH33" s="60" t="s">
        <v>260</v>
      </c>
      <c r="CI33" s="52">
        <f>COUNTIFS(Respostas_Formatadas!$C:$C,AvalInst!$CH$29,Respostas_Formatadas!$DS:$DS,AvalInst!$CH33)+COUNTIFS(Respostas_Formatadas!$C:$C,AvalInst!$CH$29,Respostas_Formatadas!$DT:$DT,AvalInst!$CH33)+COUNTIFS(Respostas_Formatadas!$C:$C,AvalInst!$CH$29,Respostas_Formatadas!$DU:$DU,AvalInst!$CH33)+COUNTIFS(Respostas_Formatadas!$C:$C,AvalInst!$CH$29,Respostas_Formatadas!$DV:$DV,AvalInst!$CH33)+COUNTIFS(Respostas_Formatadas!$C:$C,AvalInst!$CH$29,Respostas_Formatadas!$DW:$DW,AvalInst!$CH33)+COUNTIFS(Respostas_Formatadas!$C:$C,AvalInst!$CH$29,Respostas_Formatadas!$DX:$DX,AvalInst!$CH33)</f>
        <v>3</v>
      </c>
      <c r="CJ33" s="53">
        <f t="shared" si="22"/>
        <v>0.375</v>
      </c>
      <c r="CK33" s="48"/>
      <c r="CL33" s="48"/>
      <c r="CM33" s="60">
        <f t="shared" si="17"/>
        <v>2</v>
      </c>
      <c r="CN33" s="52">
        <f>IFERROR(COUNTIFS(Respostas_Formatadas!$C:$C,$CM$30,Respostas_Formatadas!$DY:$DY,AvalInst!$CM33),"-")</f>
        <v>0</v>
      </c>
      <c r="CO33" s="53">
        <f>IFERROR(CN33/SUM($CN$32:$CN$36),"-")</f>
        <v>0</v>
      </c>
      <c r="CP33" s="52">
        <f t="shared" si="23"/>
        <v>8</v>
      </c>
      <c r="CQ33" s="53">
        <f t="shared" si="23"/>
        <v>5.6737588652482268E-2</v>
      </c>
      <c r="CR33" s="48"/>
      <c r="CS33" s="48"/>
      <c r="CT33" s="48"/>
      <c r="CU33" s="48"/>
      <c r="CV33" s="48"/>
      <c r="CW33" s="48"/>
      <c r="CX33" s="48"/>
      <c r="CY33" s="60">
        <f t="shared" si="15"/>
        <v>3</v>
      </c>
      <c r="CZ33" s="52">
        <f>IFERROR(COUNTIFS(Respostas_Formatadas!$C:$C,$CY$29,Respostas_Formatadas!$EA:$EA,AvalInst!$CY33),"-")</f>
        <v>0</v>
      </c>
      <c r="DA33" s="53">
        <f>IFERROR(CZ33/SUM($CZ$31:$CZ$35),"-")</f>
        <v>0</v>
      </c>
      <c r="DB33" s="52">
        <f t="shared" si="18"/>
        <v>15</v>
      </c>
      <c r="DC33" s="53">
        <f t="shared" si="18"/>
        <v>9.6153846153846159E-2</v>
      </c>
      <c r="DD33" s="48"/>
      <c r="DE33"/>
      <c r="DF33" s="48"/>
      <c r="DG33" s="218" t="s">
        <v>932</v>
      </c>
      <c r="DH33" s="219" t="s">
        <v>131</v>
      </c>
      <c r="DI33" s="48"/>
    </row>
    <row r="34" spans="2:113" x14ac:dyDescent="0.2">
      <c r="B34" s="48"/>
      <c r="C34" s="323"/>
      <c r="D34" s="48"/>
      <c r="E34" s="48"/>
      <c r="F34" s="60" t="str">
        <f t="shared" si="19"/>
        <v>Processo seletivo via análise de currículo</v>
      </c>
      <c r="G34" s="52">
        <f>COUNTIFS(Respostas_Formatadas!$C:$C,AvalInst!$F$30,Respostas_Formatadas!$CN:$CN,AvalInst!$F34)</f>
        <v>0</v>
      </c>
      <c r="H34" s="53">
        <f t="shared" si="20"/>
        <v>0</v>
      </c>
      <c r="I34" s="48"/>
      <c r="J34" s="48"/>
      <c r="K34" s="48"/>
      <c r="L34" s="48"/>
      <c r="M34" s="48"/>
      <c r="N34" s="48"/>
      <c r="O34" s="48"/>
      <c r="P34" s="48"/>
      <c r="Q34" s="48"/>
      <c r="R34" s="48"/>
      <c r="S34" s="48"/>
      <c r="T34" s="48"/>
      <c r="U34" s="48"/>
      <c r="V34" s="48"/>
      <c r="W34" s="48"/>
      <c r="X34" s="48"/>
      <c r="Y34" s="48"/>
      <c r="Z34" s="48"/>
      <c r="AA34" s="48"/>
      <c r="AB34" s="48"/>
      <c r="AC34" s="48"/>
      <c r="AD34" s="48"/>
      <c r="AE34" s="48"/>
      <c r="AF34" s="48"/>
      <c r="AG34" s="48"/>
      <c r="AH34" s="48"/>
      <c r="AI34" s="48"/>
      <c r="AJ34" s="48"/>
      <c r="AK34" s="48"/>
      <c r="AL34" s="48"/>
      <c r="AM34" s="48"/>
      <c r="AN34" s="48"/>
      <c r="AO34" s="48"/>
      <c r="AP34" s="48"/>
      <c r="AQ34" s="48"/>
      <c r="AR34" s="48"/>
      <c r="AS34" s="48"/>
      <c r="AT34" s="158" t="str">
        <f t="shared" ref="AT34:AT40" si="25">AT26</f>
        <v>Bacharelado em Sistemas de Informação</v>
      </c>
      <c r="AU34" s="48"/>
      <c r="AV34" s="48"/>
      <c r="AW34" s="48"/>
      <c r="AX34" s="48"/>
      <c r="AY34" s="48"/>
      <c r="AZ34" s="48"/>
      <c r="BA34" s="48"/>
      <c r="BB34" s="48"/>
      <c r="BC34" s="48"/>
      <c r="BD34" s="48"/>
      <c r="BE34" s="48"/>
      <c r="BF34" s="48"/>
      <c r="BG34" s="48"/>
      <c r="BH34" s="48"/>
      <c r="BI34" s="48"/>
      <c r="BJ34" s="48"/>
      <c r="BK34" s="48"/>
      <c r="BL34" s="48"/>
      <c r="BM34" s="48"/>
      <c r="BN34" s="48"/>
      <c r="BO34" s="48"/>
      <c r="BP34" s="60" t="str">
        <f t="shared" si="24"/>
        <v>Publicações científicas</v>
      </c>
      <c r="BQ34" s="52">
        <f>COUNTIFS(Respostas_Formatadas!$C:$C,AvalInst!$BP$30,Respostas_Formatadas!$DK:$DK,AvalInst!BP34)+COUNTIFS(Respostas_Formatadas!$C:$C,AvalInst!$BP$30,Respostas_Formatadas!$DL:$DL,AvalInst!BP34)+COUNTIFS(Respostas_Formatadas!$C:$C,AvalInst!$BP$30,Respostas_Formatadas!$DM:$DM,AvalInst!BP34)+COUNTIFS(Respostas_Formatadas!$C:$C,AvalInst!$BP$30,Respostas_Formatadas!$DN:$DN,AvalInst!BP34)+COUNTIFS(Respostas_Formatadas!$C:$C,AvalInst!$BP$30,Respostas_Formatadas!$DO:$DO,AvalInst!BP34)+COUNTIFS(Respostas_Formatadas!$C:$C,AvalInst!$BP$30,Respostas_Formatadas!$DP:$DP,AvalInst!BP34)</f>
        <v>5</v>
      </c>
      <c r="BR34" s="53">
        <f>IFERROR(BQ34/$BQ$36,"-")</f>
        <v>0.3125</v>
      </c>
      <c r="BS34" s="48"/>
      <c r="BT34" s="48"/>
      <c r="BU34" s="48"/>
      <c r="BV34" s="60">
        <f t="shared" si="16"/>
        <v>3</v>
      </c>
      <c r="BW34" s="52">
        <f>IFERROR(COUNTIFS(Respostas_Formatadas!$C:$C,$BV$30,Respostas_Formatadas!$DQ:$DQ,AvalInst!$BV34),"-")</f>
        <v>0</v>
      </c>
      <c r="BX34" s="53">
        <f>IFERROR(BW34/SUM($BW$32:$BW$36),"-")</f>
        <v>0</v>
      </c>
      <c r="BY34" s="52">
        <f t="shared" si="21"/>
        <v>24</v>
      </c>
      <c r="BZ34" s="53">
        <f t="shared" si="21"/>
        <v>0.12903225806451613</v>
      </c>
      <c r="CA34" s="48"/>
      <c r="CB34" s="48"/>
      <c r="CC34" s="48"/>
      <c r="CD34" s="48"/>
      <c r="CE34" s="48"/>
      <c r="CF34" s="48"/>
      <c r="CG34" s="48"/>
      <c r="CH34" s="60" t="s">
        <v>261</v>
      </c>
      <c r="CI34" s="52">
        <f>COUNTIFS(Respostas_Formatadas!$C:$C,AvalInst!$CH$29,Respostas_Formatadas!$DS:$DS,AvalInst!$CH34)+COUNTIFS(Respostas_Formatadas!$C:$C,AvalInst!$CH$29,Respostas_Formatadas!$DT:$DT,AvalInst!$CH34)+COUNTIFS(Respostas_Formatadas!$C:$C,AvalInst!$CH$29,Respostas_Formatadas!$DU:$DU,AvalInst!$CH34)+COUNTIFS(Respostas_Formatadas!$C:$C,AvalInst!$CH$29,Respostas_Formatadas!$DV:$DV,AvalInst!$CH34)+COUNTIFS(Respostas_Formatadas!$C:$C,AvalInst!$CH$29,Respostas_Formatadas!$DW:$DW,AvalInst!$CH34)+COUNTIFS(Respostas_Formatadas!$C:$C,AvalInst!$CH$29,Respostas_Formatadas!$DX:$DX,AvalInst!$CH34)</f>
        <v>2</v>
      </c>
      <c r="CJ34" s="53">
        <f t="shared" si="22"/>
        <v>0.25</v>
      </c>
      <c r="CK34" s="48"/>
      <c r="CL34" s="48"/>
      <c r="CM34" s="60">
        <f t="shared" si="17"/>
        <v>3</v>
      </c>
      <c r="CN34" s="52">
        <f>IFERROR(COUNTIFS(Respostas_Formatadas!$C:$C,$CM$30,Respostas_Formatadas!$DY:$DY,AvalInst!$CM34),"-")</f>
        <v>0</v>
      </c>
      <c r="CO34" s="53">
        <f>IFERROR(CN34/SUM($CN$32:$CN$36),"-")</f>
        <v>0</v>
      </c>
      <c r="CP34" s="52">
        <f t="shared" si="23"/>
        <v>12</v>
      </c>
      <c r="CQ34" s="53">
        <f t="shared" si="23"/>
        <v>8.5106382978723402E-2</v>
      </c>
      <c r="CR34" s="48"/>
      <c r="CS34" s="48"/>
      <c r="CT34" s="48"/>
      <c r="CU34" s="48"/>
      <c r="CV34" s="48"/>
      <c r="CW34" s="48"/>
      <c r="CX34" s="48"/>
      <c r="CY34" s="60">
        <f t="shared" si="15"/>
        <v>4</v>
      </c>
      <c r="CZ34" s="52">
        <f>IFERROR(COUNTIFS(Respostas_Formatadas!$C:$C,$CY$29,Respostas_Formatadas!$EA:$EA,AvalInst!$CY34),"-")</f>
        <v>3</v>
      </c>
      <c r="DA34" s="53">
        <f>IFERROR(CZ34/SUM($CZ$31:$CZ$35),"-")</f>
        <v>0.2</v>
      </c>
      <c r="DB34" s="52">
        <f t="shared" si="18"/>
        <v>27</v>
      </c>
      <c r="DC34" s="53">
        <f t="shared" si="18"/>
        <v>0.17307692307692307</v>
      </c>
      <c r="DD34" s="48"/>
      <c r="DE34"/>
      <c r="DF34" s="48"/>
      <c r="DG34" s="60" t="str">
        <f>DG28</f>
        <v>Média</v>
      </c>
      <c r="DH34" s="72">
        <f>IFERROR(AVERAGEIF(Respostas_Formatadas!$DJ:$DJ,AvalInst!$DG$32,Respostas_Formatadas!$FF:$FF),"-")</f>
        <v>7.4398911392405065</v>
      </c>
      <c r="DI34" s="48"/>
    </row>
    <row r="35" spans="2:113" x14ac:dyDescent="0.2">
      <c r="B35" s="48"/>
      <c r="C35" s="324"/>
      <c r="D35" s="48"/>
      <c r="E35" s="48"/>
      <c r="F35" s="60" t="str">
        <f t="shared" si="19"/>
        <v>Reintegração</v>
      </c>
      <c r="G35" s="52">
        <f>COUNTIFS(Respostas_Formatadas!$C:$C,AvalInst!$F$30,Respostas_Formatadas!$CN:$CN,AvalInst!$F35)</f>
        <v>0</v>
      </c>
      <c r="H35" s="53">
        <f t="shared" si="20"/>
        <v>0</v>
      </c>
      <c r="I35" s="48"/>
      <c r="J35" s="48"/>
      <c r="K35" s="48"/>
      <c r="L35" s="48"/>
      <c r="M35" s="48"/>
      <c r="N35" s="48"/>
      <c r="O35" s="48"/>
      <c r="P35" s="48"/>
      <c r="Q35" s="48"/>
      <c r="R35" s="48"/>
      <c r="S35" s="48"/>
      <c r="T35" s="48"/>
      <c r="U35" s="48"/>
      <c r="V35" s="48"/>
      <c r="W35" s="48"/>
      <c r="X35" s="48"/>
      <c r="Y35" s="48"/>
      <c r="Z35" s="48"/>
      <c r="AA35" s="48"/>
      <c r="AB35" s="48"/>
      <c r="AC35" s="48"/>
      <c r="AD35" s="48"/>
      <c r="AE35" s="48"/>
      <c r="AF35" s="48"/>
      <c r="AG35" s="48"/>
      <c r="AH35" s="48"/>
      <c r="AI35" s="48"/>
      <c r="AJ35" s="48"/>
      <c r="AK35" s="48"/>
      <c r="AL35" s="48"/>
      <c r="AM35" s="48"/>
      <c r="AN35" s="48"/>
      <c r="AO35" s="48"/>
      <c r="AP35" s="48"/>
      <c r="AQ35" s="48"/>
      <c r="AR35" s="48"/>
      <c r="AS35" s="187" t="str">
        <f t="shared" ref="AS35:AS40" si="26">AS27</f>
        <v>Q</v>
      </c>
      <c r="AT35" s="197" t="str">
        <f t="shared" si="25"/>
        <v>Aspectos da vida profissional</v>
      </c>
      <c r="AU35" s="187">
        <f t="shared" ref="AU35:BA35" si="27">AU27</f>
        <v>1</v>
      </c>
      <c r="AV35" s="187">
        <f t="shared" si="27"/>
        <v>2</v>
      </c>
      <c r="AW35" s="187">
        <f t="shared" si="27"/>
        <v>3</v>
      </c>
      <c r="AX35" s="187">
        <f t="shared" si="27"/>
        <v>4</v>
      </c>
      <c r="AY35" s="187">
        <f t="shared" si="27"/>
        <v>5</v>
      </c>
      <c r="AZ35" s="187" t="str">
        <f t="shared" si="27"/>
        <v>Total</v>
      </c>
      <c r="BA35" s="187" t="str">
        <f t="shared" si="27"/>
        <v>Média</v>
      </c>
      <c r="BB35" s="87"/>
      <c r="BC35" s="48"/>
      <c r="BD35" s="48"/>
      <c r="BE35" s="48"/>
      <c r="BF35" s="48"/>
      <c r="BG35" s="48"/>
      <c r="BH35" s="48"/>
      <c r="BI35" s="48"/>
      <c r="BJ35" s="48"/>
      <c r="BK35" s="48"/>
      <c r="BL35" s="48"/>
      <c r="BM35" s="48"/>
      <c r="BN35" s="48"/>
      <c r="BO35" s="48"/>
      <c r="BP35" s="60" t="str">
        <f t="shared" si="24"/>
        <v>Eventos científicos</v>
      </c>
      <c r="BQ35" s="52">
        <f>COUNTIFS(Respostas_Formatadas!$C:$C,AvalInst!$BP$30,Respostas_Formatadas!$DK:$DK,AvalInst!BP35)+COUNTIFS(Respostas_Formatadas!$C:$C,AvalInst!$BP$30,Respostas_Formatadas!$DL:$DL,AvalInst!BP35)+COUNTIFS(Respostas_Formatadas!$C:$C,AvalInst!$BP$30,Respostas_Formatadas!$DM:$DM,AvalInst!BP35)+COUNTIFS(Respostas_Formatadas!$C:$C,AvalInst!$BP$30,Respostas_Formatadas!$DN:$DN,AvalInst!BP35)+COUNTIFS(Respostas_Formatadas!$C:$C,AvalInst!$BP$30,Respostas_Formatadas!$DO:$DO,AvalInst!BP35)+COUNTIFS(Respostas_Formatadas!$C:$C,AvalInst!$BP$30,Respostas_Formatadas!$DP:$DP,AvalInst!BP35)</f>
        <v>8</v>
      </c>
      <c r="BR35" s="53">
        <f>IFERROR(BQ35/$BQ$36,"-")</f>
        <v>0.5</v>
      </c>
      <c r="BS35" s="48"/>
      <c r="BT35" s="48"/>
      <c r="BU35" s="48"/>
      <c r="BV35" s="60">
        <f t="shared" si="16"/>
        <v>4</v>
      </c>
      <c r="BW35" s="52">
        <f>IFERROR(COUNTIFS(Respostas_Formatadas!$C:$C,$BV$30,Respostas_Formatadas!$DQ:$DQ,AvalInst!$BV35),"-")</f>
        <v>3</v>
      </c>
      <c r="BX35" s="53">
        <f>IFERROR(BW35/SUM($BW$32:$BW$36),"-")</f>
        <v>0.13636363636363635</v>
      </c>
      <c r="BY35" s="52">
        <f t="shared" si="21"/>
        <v>44</v>
      </c>
      <c r="BZ35" s="53">
        <f t="shared" si="21"/>
        <v>0.23655913978494625</v>
      </c>
      <c r="CA35" s="48"/>
      <c r="CB35" s="48"/>
      <c r="CC35" s="48"/>
      <c r="CD35" s="48"/>
      <c r="CE35" s="48"/>
      <c r="CF35" s="48"/>
      <c r="CG35" s="48"/>
      <c r="CH35" s="60" t="s">
        <v>145</v>
      </c>
      <c r="CI35" s="52">
        <f>COUNTIFS(Respostas_Formatadas!$C:$C,AvalInst!$CH$29,Respostas_Formatadas!$DS:$DS,AvalInst!$CH35)+COUNTIFS(Respostas_Formatadas!$C:$C,AvalInst!$CH$29,Respostas_Formatadas!$DT:$DT,AvalInst!$CH35)+COUNTIFS(Respostas_Formatadas!$C:$C,AvalInst!$CH$29,Respostas_Formatadas!$DU:$DU,AvalInst!$CH35)+COUNTIFS(Respostas_Formatadas!$C:$C,AvalInst!$CH$29,Respostas_Formatadas!$DV:$DV,AvalInst!$CH35)+COUNTIFS(Respostas_Formatadas!$C:$C,AvalInst!$CH$29,Respostas_Formatadas!$DW:$DW,AvalInst!$CH35)+COUNTIFS(Respostas_Formatadas!$C:$C,AvalInst!$CH$29,Respostas_Formatadas!$DX:$DX,AvalInst!$CH35)</f>
        <v>0</v>
      </c>
      <c r="CJ35" s="53">
        <f t="shared" si="22"/>
        <v>0</v>
      </c>
      <c r="CK35" s="48"/>
      <c r="CL35" s="48"/>
      <c r="CM35" s="60">
        <f t="shared" si="17"/>
        <v>4</v>
      </c>
      <c r="CN35" s="52">
        <f>IFERROR(COUNTIFS(Respostas_Formatadas!$C:$C,$CM$30,Respostas_Formatadas!$DY:$DY,AvalInst!$CM35),"-")</f>
        <v>4</v>
      </c>
      <c r="CO35" s="53">
        <f>IFERROR(CN35/SUM($CN$32:$CN$36),"-")</f>
        <v>0.2857142857142857</v>
      </c>
      <c r="CP35" s="52">
        <f t="shared" si="23"/>
        <v>39</v>
      </c>
      <c r="CQ35" s="53">
        <f t="shared" si="23"/>
        <v>0.27659574468085107</v>
      </c>
      <c r="CR35" s="48"/>
      <c r="CS35" s="48"/>
      <c r="CT35" s="48"/>
      <c r="CU35" s="48"/>
      <c r="CV35" s="48"/>
      <c r="CW35" s="48"/>
      <c r="CX35" s="48"/>
      <c r="CY35" s="60">
        <f t="shared" si="15"/>
        <v>5</v>
      </c>
      <c r="CZ35" s="52">
        <f>IFERROR(COUNTIFS(Respostas_Formatadas!$C:$C,$CY$29,Respostas_Formatadas!$EA:$EA,AvalInst!$CY35),"-")</f>
        <v>12</v>
      </c>
      <c r="DA35" s="53">
        <f>IFERROR(CZ35/SUM($CZ$31:$CZ$35),"-")</f>
        <v>0.8</v>
      </c>
      <c r="DB35" s="52">
        <f t="shared" si="18"/>
        <v>112</v>
      </c>
      <c r="DC35" s="53">
        <f t="shared" si="18"/>
        <v>0.71794871794871795</v>
      </c>
      <c r="DD35" s="48"/>
      <c r="DE35"/>
      <c r="DF35" s="48"/>
      <c r="DG35" s="48"/>
      <c r="DH35" s="48"/>
      <c r="DI35" s="48"/>
    </row>
    <row r="36" spans="2:113" ht="25.5" customHeight="1" x14ac:dyDescent="0.2">
      <c r="B36" s="48"/>
      <c r="C36" s="144"/>
      <c r="D36" s="48"/>
      <c r="E36" s="48"/>
      <c r="F36" s="60" t="str">
        <f t="shared" si="19"/>
        <v>Transferência interna</v>
      </c>
      <c r="G36" s="52">
        <f>COUNTIFS(Respostas_Formatadas!$C:$C,AvalInst!$F$30,Respostas_Formatadas!$CN:$CN,AvalInst!$F36)</f>
        <v>0</v>
      </c>
      <c r="H36" s="53">
        <f t="shared" si="20"/>
        <v>0</v>
      </c>
      <c r="I36" s="48"/>
      <c r="J36" s="48"/>
      <c r="K36" s="48"/>
      <c r="L36" s="48"/>
      <c r="M36" s="48"/>
      <c r="N36" s="48"/>
      <c r="O36" s="48"/>
      <c r="P36" s="48"/>
      <c r="Q36" s="48"/>
      <c r="R36" s="48"/>
      <c r="S36" s="48"/>
      <c r="T36" s="48"/>
      <c r="U36" s="48"/>
      <c r="V36" s="48"/>
      <c r="W36" s="48"/>
      <c r="X36" s="48"/>
      <c r="Y36" s="48"/>
      <c r="Z36" s="48"/>
      <c r="AA36" s="48"/>
      <c r="AB36" s="48"/>
      <c r="AC36" s="48"/>
      <c r="AD36" s="48"/>
      <c r="AE36" s="48"/>
      <c r="AF36" s="48"/>
      <c r="AG36" s="156" t="s">
        <v>1197</v>
      </c>
      <c r="AH36" s="48"/>
      <c r="AI36" s="48"/>
      <c r="AJ36" s="48"/>
      <c r="AK36" s="48"/>
      <c r="AL36" s="48"/>
      <c r="AM36" s="48"/>
      <c r="AN36" s="48"/>
      <c r="AO36" s="48"/>
      <c r="AP36" s="48"/>
      <c r="AQ36" s="48"/>
      <c r="AR36" s="48"/>
      <c r="AS36" s="198">
        <f t="shared" si="26"/>
        <v>93</v>
      </c>
      <c r="AT36" s="199" t="str">
        <f t="shared" si="25"/>
        <v>Iniciar no mundo do trabalho?</v>
      </c>
      <c r="AU36" s="210">
        <f t="shared" ref="AU36:AY40" si="28">AU28/SUM($AU28:$AY28)</f>
        <v>0</v>
      </c>
      <c r="AV36" s="210">
        <f t="shared" si="28"/>
        <v>0</v>
      </c>
      <c r="AW36" s="210">
        <f t="shared" si="28"/>
        <v>0.26315789473684209</v>
      </c>
      <c r="AX36" s="210">
        <f t="shared" si="28"/>
        <v>0.31578947368421051</v>
      </c>
      <c r="AY36" s="210">
        <f t="shared" si="28"/>
        <v>0.42105263157894735</v>
      </c>
      <c r="AZ36" s="267">
        <f>SUM(AU36:AY36)</f>
        <v>1</v>
      </c>
      <c r="BA36" s="211">
        <f>BA28</f>
        <v>4.1578947368421053</v>
      </c>
      <c r="BB36" s="48"/>
      <c r="BC36" s="48"/>
      <c r="BD36" s="48"/>
      <c r="BE36" s="48"/>
      <c r="BF36" s="48"/>
      <c r="BG36" s="48"/>
      <c r="BH36" s="48"/>
      <c r="BI36" s="48"/>
      <c r="BJ36" s="48"/>
      <c r="BK36" s="48"/>
      <c r="BL36" s="48"/>
      <c r="BM36" s="48"/>
      <c r="BN36" s="48"/>
      <c r="BO36" s="48"/>
      <c r="BP36" s="191" t="s">
        <v>621</v>
      </c>
      <c r="BQ36" s="192">
        <f>COUNTIFS(Respostas_Formatadas!$C:$C,AvalInst!$BP$30,Respostas_Formatadas!$DJ:$DJ,AvalInst!$BK$9)</f>
        <v>16</v>
      </c>
      <c r="BR36" s="193" t="s">
        <v>933</v>
      </c>
      <c r="BS36" s="48"/>
      <c r="BT36" s="48"/>
      <c r="BU36" s="48"/>
      <c r="BV36" s="60">
        <f t="shared" si="16"/>
        <v>5</v>
      </c>
      <c r="BW36" s="52">
        <f>IFERROR(COUNTIFS(Respostas_Formatadas!$C:$C,$BV$30,Respostas_Formatadas!$DQ:$DQ,AvalInst!$BV36),"-")</f>
        <v>16</v>
      </c>
      <c r="BX36" s="53">
        <f>IFERROR(BW36/SUM($BW$32:$BW$36),"-")</f>
        <v>0.72727272727272729</v>
      </c>
      <c r="BY36" s="52">
        <f t="shared" si="21"/>
        <v>88</v>
      </c>
      <c r="BZ36" s="53">
        <f t="shared" si="21"/>
        <v>0.4731182795698925</v>
      </c>
      <c r="CA36" s="48"/>
      <c r="CB36" s="48"/>
      <c r="CC36" s="48"/>
      <c r="CD36" s="48"/>
      <c r="CE36" s="48"/>
      <c r="CF36" s="48"/>
      <c r="CG36" s="48"/>
      <c r="CH36" s="191" t="s">
        <v>621</v>
      </c>
      <c r="CI36" s="192">
        <f>COUNTIFS(Respostas_Formatadas!$C:$C,AvalInst!$CH$29,Respostas_Formatadas!$DR:$DR,AvalInst!$CC$28)</f>
        <v>8</v>
      </c>
      <c r="CJ36" s="193" t="s">
        <v>933</v>
      </c>
      <c r="CK36" s="48"/>
      <c r="CL36" s="48"/>
      <c r="CM36" s="60">
        <f t="shared" si="17"/>
        <v>5</v>
      </c>
      <c r="CN36" s="52">
        <f>IFERROR(COUNTIFS(Respostas_Formatadas!$C:$C,$CM$30,Respostas_Formatadas!$DY:$DY,AvalInst!$CM36),"-")</f>
        <v>8</v>
      </c>
      <c r="CO36" s="53">
        <f>IFERROR(CN36/SUM($CN$32:$CN$36),"-")</f>
        <v>0.5714285714285714</v>
      </c>
      <c r="CP36" s="52">
        <f t="shared" si="23"/>
        <v>75</v>
      </c>
      <c r="CQ36" s="53">
        <f t="shared" si="23"/>
        <v>0.53191489361702127</v>
      </c>
      <c r="CR36" s="48"/>
      <c r="CS36" s="48"/>
      <c r="CT36" s="48"/>
      <c r="CU36" s="48"/>
      <c r="CV36" s="48"/>
      <c r="CW36" s="48"/>
      <c r="CX36" s="48"/>
      <c r="CY36" s="191" t="s">
        <v>621</v>
      </c>
      <c r="CZ36" s="192">
        <f>SUM(CZ31:CZ35)</f>
        <v>15</v>
      </c>
      <c r="DA36" s="193">
        <f>SUM(DA31:DA35)</f>
        <v>1</v>
      </c>
      <c r="DB36" s="192">
        <f>SUM(DB31:DB35)</f>
        <v>156</v>
      </c>
      <c r="DC36" s="193">
        <f>SUM(DC31:DC35)</f>
        <v>1</v>
      </c>
      <c r="DD36" s="48"/>
      <c r="DE36"/>
      <c r="DF36" s="48"/>
      <c r="DG36" s="156" t="s">
        <v>1208</v>
      </c>
      <c r="DH36" s="48"/>
      <c r="DI36" s="48"/>
    </row>
    <row r="37" spans="2:113" x14ac:dyDescent="0.2">
      <c r="B37" s="48"/>
      <c r="C37" s="144"/>
      <c r="D37" s="48"/>
      <c r="E37" s="48"/>
      <c r="F37" s="60" t="str">
        <f t="shared" si="19"/>
        <v>Transferência externa</v>
      </c>
      <c r="G37" s="52">
        <f>COUNTIFS(Respostas_Formatadas!$C:$C,AvalInst!$F$30,Respostas_Formatadas!$CN:$CN,AvalInst!$F37)</f>
        <v>6</v>
      </c>
      <c r="H37" s="53">
        <f t="shared" si="20"/>
        <v>0.125</v>
      </c>
      <c r="I37" s="48"/>
      <c r="J37" s="48"/>
      <c r="K37" s="48"/>
      <c r="L37" s="48"/>
      <c r="M37" s="48"/>
      <c r="N37" s="48"/>
      <c r="O37" s="48"/>
      <c r="P37" s="48"/>
      <c r="Q37" s="48"/>
      <c r="R37" s="48"/>
      <c r="S37" s="48"/>
      <c r="T37" s="48"/>
      <c r="U37" s="48"/>
      <c r="V37" s="48"/>
      <c r="W37" s="48"/>
      <c r="X37" s="48"/>
      <c r="Y37" s="48"/>
      <c r="Z37" s="48"/>
      <c r="AA37" s="48"/>
      <c r="AB37" s="48"/>
      <c r="AC37" s="48"/>
      <c r="AD37" s="48"/>
      <c r="AE37" s="48"/>
      <c r="AF37" s="48"/>
      <c r="AG37" s="48"/>
      <c r="AH37" s="1"/>
      <c r="AI37" s="48"/>
      <c r="AJ37" s="48"/>
      <c r="AK37" s="48"/>
      <c r="AL37" s="48"/>
      <c r="AM37" s="48"/>
      <c r="AN37" s="48"/>
      <c r="AO37" s="48"/>
      <c r="AP37" s="48"/>
      <c r="AQ37" s="48"/>
      <c r="AR37" s="48"/>
      <c r="AS37" s="81">
        <f t="shared" si="26"/>
        <v>94</v>
      </c>
      <c r="AT37" s="51" t="str">
        <f t="shared" si="25"/>
        <v xml:space="preserve">Desenvolver suas atividades atuais? </v>
      </c>
      <c r="AU37" s="19">
        <f t="shared" si="28"/>
        <v>0</v>
      </c>
      <c r="AV37" s="19">
        <f t="shared" si="28"/>
        <v>0</v>
      </c>
      <c r="AW37" s="19">
        <f t="shared" si="28"/>
        <v>0.15789473684210525</v>
      </c>
      <c r="AX37" s="19">
        <f t="shared" si="28"/>
        <v>0.31578947368421051</v>
      </c>
      <c r="AY37" s="19">
        <f t="shared" si="28"/>
        <v>0.52631578947368418</v>
      </c>
      <c r="AZ37" s="232">
        <f t="shared" ref="AZ37:AZ40" si="29">SUM(AU37:AY37)</f>
        <v>1</v>
      </c>
      <c r="BA37" s="76">
        <f>BA29</f>
        <v>4.3684210526315788</v>
      </c>
      <c r="BB37" s="48"/>
      <c r="BC37" s="48"/>
      <c r="BD37" s="48"/>
      <c r="BE37" s="48"/>
      <c r="BF37" s="48"/>
      <c r="BG37" s="48"/>
      <c r="BH37" s="48"/>
      <c r="BI37" s="48"/>
      <c r="BJ37" s="48"/>
      <c r="BK37" s="48"/>
      <c r="BL37" s="48"/>
      <c r="BM37" s="48"/>
      <c r="BN37" s="48"/>
      <c r="BO37" s="48"/>
      <c r="BP37" s="48"/>
      <c r="BQ37" s="48"/>
      <c r="BR37" s="48"/>
      <c r="BS37" s="48"/>
      <c r="BT37" s="48"/>
      <c r="BU37" s="48"/>
      <c r="BV37" s="191" t="s">
        <v>621</v>
      </c>
      <c r="BW37" s="192">
        <f>SUM(BW32:BW36)</f>
        <v>22</v>
      </c>
      <c r="BX37" s="193">
        <f>SUM(BX32:BX36)</f>
        <v>1</v>
      </c>
      <c r="BY37" s="192">
        <f>SUM(BY32:BY36)</f>
        <v>186</v>
      </c>
      <c r="BZ37" s="193">
        <f>SUM(BZ32:BZ36)</f>
        <v>1</v>
      </c>
      <c r="CA37" s="48"/>
      <c r="CB37" s="48"/>
      <c r="CC37" s="48"/>
      <c r="CD37" s="48"/>
      <c r="CE37" s="48"/>
      <c r="CF37" s="48"/>
      <c r="CG37" s="48"/>
      <c r="CH37" s="48"/>
      <c r="CI37" s="48"/>
      <c r="CJ37" s="48"/>
      <c r="CK37" s="48"/>
      <c r="CL37" s="48"/>
      <c r="CM37" s="191" t="s">
        <v>621</v>
      </c>
      <c r="CN37" s="192">
        <f>SUM(CN32:CN36)</f>
        <v>14</v>
      </c>
      <c r="CO37" s="193">
        <f>SUM(CO32:CO36)</f>
        <v>1</v>
      </c>
      <c r="CP37" s="192">
        <f>SUM(CP32:CP36)</f>
        <v>141</v>
      </c>
      <c r="CQ37" s="193">
        <f>SUM(CQ32:CQ36)</f>
        <v>1</v>
      </c>
      <c r="CR37" s="48"/>
      <c r="CS37" s="48"/>
      <c r="CT37" s="48"/>
      <c r="CU37" s="48"/>
      <c r="CV37" s="48"/>
      <c r="CW37" s="48"/>
      <c r="CX37" s="48"/>
      <c r="CY37" s="206" t="str">
        <f>CY15</f>
        <v>Média</v>
      </c>
      <c r="CZ37" s="207">
        <f>IFERROR(SUMPRODUCT(CY31:CY35,CZ31:CZ35)/SUM(CZ31:CZ35),"-")</f>
        <v>4.8</v>
      </c>
      <c r="DA37" s="204" t="s">
        <v>933</v>
      </c>
      <c r="DB37" s="207">
        <f>CZ15</f>
        <v>4.5897435897435894</v>
      </c>
      <c r="DC37" s="204" t="s">
        <v>933</v>
      </c>
      <c r="DD37" s="48"/>
      <c r="DE37"/>
      <c r="DF37" s="48"/>
      <c r="DG37" s="48"/>
      <c r="DH37" s="48"/>
      <c r="DI37" s="48"/>
    </row>
    <row r="38" spans="2:113" x14ac:dyDescent="0.2">
      <c r="B38" s="48"/>
      <c r="C38" s="144"/>
      <c r="D38" s="48"/>
      <c r="E38" s="48"/>
      <c r="F38" s="60" t="str">
        <f t="shared" si="19"/>
        <v>Portador de Diploma</v>
      </c>
      <c r="G38" s="52">
        <f>COUNTIFS(Respostas_Formatadas!$C:$C,AvalInst!$F$30,Respostas_Formatadas!$CN:$CN,AvalInst!$F38)</f>
        <v>0</v>
      </c>
      <c r="H38" s="53">
        <f t="shared" si="20"/>
        <v>0</v>
      </c>
      <c r="I38" s="48"/>
      <c r="J38" s="48"/>
      <c r="K38" s="48"/>
      <c r="L38" s="48"/>
      <c r="M38" s="48"/>
      <c r="N38" s="48"/>
      <c r="O38" s="48"/>
      <c r="P38" s="48"/>
      <c r="Q38" s="48"/>
      <c r="R38" s="48"/>
      <c r="S38" s="48"/>
      <c r="T38" s="48"/>
      <c r="U38" s="48"/>
      <c r="V38" s="48"/>
      <c r="W38" s="48"/>
      <c r="X38" s="48"/>
      <c r="Y38" s="48"/>
      <c r="Z38" s="48"/>
      <c r="AA38" s="48"/>
      <c r="AB38" s="48"/>
      <c r="AC38" s="48"/>
      <c r="AD38" s="48"/>
      <c r="AE38" s="48"/>
      <c r="AF38" s="48"/>
      <c r="AG38" s="48"/>
      <c r="AH38" s="89"/>
      <c r="AI38" s="90"/>
      <c r="AJ38" s="48"/>
      <c r="AK38" s="48"/>
      <c r="AL38" s="48"/>
      <c r="AM38" s="48"/>
      <c r="AN38" s="48"/>
      <c r="AO38" s="48"/>
      <c r="AP38" s="48"/>
      <c r="AQ38" s="48"/>
      <c r="AR38" s="48"/>
      <c r="AS38" s="198">
        <f t="shared" si="26"/>
        <v>95</v>
      </c>
      <c r="AT38" s="199" t="str">
        <f t="shared" si="25"/>
        <v xml:space="preserve">Obter um futuro melhor na carreira? </v>
      </c>
      <c r="AU38" s="210">
        <f t="shared" si="28"/>
        <v>0</v>
      </c>
      <c r="AV38" s="210">
        <f t="shared" si="28"/>
        <v>0</v>
      </c>
      <c r="AW38" s="210">
        <f t="shared" si="28"/>
        <v>5.2631578947368418E-2</v>
      </c>
      <c r="AX38" s="210">
        <f t="shared" si="28"/>
        <v>0.47368421052631576</v>
      </c>
      <c r="AY38" s="210">
        <f t="shared" si="28"/>
        <v>0.47368421052631576</v>
      </c>
      <c r="AZ38" s="267">
        <f t="shared" si="29"/>
        <v>1</v>
      </c>
      <c r="BA38" s="211">
        <f>BA30</f>
        <v>4.4210526315789478</v>
      </c>
      <c r="BB38" s="48"/>
      <c r="BC38" s="48"/>
      <c r="BD38" s="48"/>
      <c r="BE38" s="48"/>
      <c r="BF38" s="48"/>
      <c r="BG38" s="48"/>
      <c r="BH38" s="48"/>
      <c r="BI38" s="48"/>
      <c r="BJ38" s="48"/>
      <c r="BK38" s="48"/>
      <c r="BL38" s="48"/>
      <c r="BM38" s="48"/>
      <c r="BN38" s="48"/>
      <c r="BO38" s="48"/>
      <c r="BP38" s="48"/>
      <c r="BQ38" s="48"/>
      <c r="BR38" s="48"/>
      <c r="BS38" s="48"/>
      <c r="BT38" s="48"/>
      <c r="BU38" s="48"/>
      <c r="BV38" s="206" t="str">
        <f>BV15</f>
        <v>Média</v>
      </c>
      <c r="BW38" s="207">
        <f>IFERROR(SUMPRODUCT(BV32:BV36,BW32:BW36)/SUM(BW32:BW36),"-")</f>
        <v>4.3636363636363633</v>
      </c>
      <c r="BX38" s="204" t="s">
        <v>933</v>
      </c>
      <c r="BY38" s="207">
        <f>BW15</f>
        <v>3.913978494623656</v>
      </c>
      <c r="BZ38" s="204" t="s">
        <v>933</v>
      </c>
      <c r="CA38" s="48"/>
      <c r="CB38" s="48"/>
      <c r="CC38" s="48"/>
      <c r="CD38" s="48"/>
      <c r="CE38" s="48"/>
      <c r="CF38" s="48"/>
      <c r="CG38" s="48"/>
      <c r="CH38" s="48"/>
      <c r="CI38" s="48"/>
      <c r="CJ38" s="48"/>
      <c r="CK38" s="48"/>
      <c r="CL38" s="48"/>
      <c r="CM38" s="206" t="str">
        <f>CM15</f>
        <v>Média</v>
      </c>
      <c r="CN38" s="207">
        <f>IFERROR(SUMPRODUCT(CM32:CM36,CN32:CN36)/SUM(CN32:CN36),"-")</f>
        <v>4.1428571428571432</v>
      </c>
      <c r="CO38" s="204" t="s">
        <v>933</v>
      </c>
      <c r="CP38" s="207">
        <f>CN15</f>
        <v>4.1843971631205674</v>
      </c>
      <c r="CQ38" s="204" t="s">
        <v>933</v>
      </c>
      <c r="CR38" s="48"/>
      <c r="CS38" s="48"/>
      <c r="CT38" s="48"/>
      <c r="CU38" s="48"/>
      <c r="CV38" s="48"/>
      <c r="CW38" s="48"/>
      <c r="CX38" s="48"/>
      <c r="CY38" s="206" t="str">
        <f>CY16</f>
        <v>Moda</v>
      </c>
      <c r="CZ38" s="208">
        <f>IFERROR(INDEX(CY31:CZ35,MATCH(LARGE(CZ31:CZ35,1),CZ31:CZ35,0),1),"-")</f>
        <v>5</v>
      </c>
      <c r="DA38" s="204" t="s">
        <v>933</v>
      </c>
      <c r="DB38" s="208">
        <f>CZ16</f>
        <v>5</v>
      </c>
      <c r="DC38" s="204" t="s">
        <v>933</v>
      </c>
      <c r="DD38" s="48"/>
      <c r="DE38"/>
      <c r="DF38" s="341" t="s">
        <v>1159</v>
      </c>
      <c r="DG38" s="261" t="s">
        <v>133</v>
      </c>
      <c r="DH38" s="48"/>
      <c r="DI38" s="48"/>
    </row>
    <row r="39" spans="2:113" x14ac:dyDescent="0.2">
      <c r="B39" s="48"/>
      <c r="C39" s="144"/>
      <c r="D39" s="48"/>
      <c r="E39" s="48"/>
      <c r="F39" s="191" t="s">
        <v>621</v>
      </c>
      <c r="G39" s="192">
        <f>SUM(G32:G38)</f>
        <v>48</v>
      </c>
      <c r="H39" s="193">
        <f>SUM(H32:H38)</f>
        <v>1</v>
      </c>
      <c r="I39" s="48"/>
      <c r="J39" s="48"/>
      <c r="K39" s="48"/>
      <c r="L39" s="48"/>
      <c r="M39" s="48"/>
      <c r="N39" s="48"/>
      <c r="O39" s="48"/>
      <c r="P39" s="48"/>
      <c r="Q39" s="48"/>
      <c r="R39" s="48"/>
      <c r="S39" s="48"/>
      <c r="T39" s="48"/>
      <c r="U39" s="48"/>
      <c r="V39" s="48"/>
      <c r="W39" s="48"/>
      <c r="X39" s="48"/>
      <c r="Y39" s="48"/>
      <c r="Z39" s="48"/>
      <c r="AA39" s="48"/>
      <c r="AB39" s="48"/>
      <c r="AC39" s="48"/>
      <c r="AD39" s="48"/>
      <c r="AE39" s="48"/>
      <c r="AF39" s="341" t="s">
        <v>1159</v>
      </c>
      <c r="AG39" s="261" t="s">
        <v>120</v>
      </c>
      <c r="AH39" s="328" t="s">
        <v>1270</v>
      </c>
      <c r="AI39" s="328"/>
      <c r="AJ39" s="328"/>
      <c r="AK39" s="328"/>
      <c r="AL39" s="328"/>
      <c r="AM39" s="48"/>
      <c r="AN39" s="48"/>
      <c r="AO39" s="48"/>
      <c r="AP39" s="48"/>
      <c r="AQ39" s="48"/>
      <c r="AR39" s="48"/>
      <c r="AS39" s="81">
        <f t="shared" si="26"/>
        <v>96</v>
      </c>
      <c r="AT39" s="51" t="str">
        <f t="shared" si="25"/>
        <v>Obter desenvolvimento pessoal?</v>
      </c>
      <c r="AU39" s="19">
        <f t="shared" si="28"/>
        <v>0</v>
      </c>
      <c r="AV39" s="19">
        <f t="shared" si="28"/>
        <v>0</v>
      </c>
      <c r="AW39" s="19">
        <f t="shared" si="28"/>
        <v>0.10526315789473684</v>
      </c>
      <c r="AX39" s="19">
        <f t="shared" si="28"/>
        <v>0.36842105263157893</v>
      </c>
      <c r="AY39" s="19">
        <f t="shared" si="28"/>
        <v>0.52631578947368418</v>
      </c>
      <c r="AZ39" s="232">
        <f t="shared" si="29"/>
        <v>1</v>
      </c>
      <c r="BA39" s="76">
        <f>BA31</f>
        <v>4.4210526315789478</v>
      </c>
      <c r="BB39" s="48"/>
      <c r="BC39" s="48"/>
      <c r="BD39" s="48"/>
      <c r="BE39" s="48"/>
      <c r="BF39" s="48"/>
      <c r="BG39" s="48"/>
      <c r="BH39" s="48"/>
      <c r="BI39" s="48"/>
      <c r="BJ39" s="48"/>
      <c r="BK39" s="48"/>
      <c r="BL39" s="48"/>
      <c r="BM39" s="48"/>
      <c r="BN39" s="48"/>
      <c r="BO39" s="48"/>
      <c r="BP39" s="218" t="s">
        <v>1038</v>
      </c>
      <c r="BQ39" s="219" t="s">
        <v>131</v>
      </c>
      <c r="BR39" s="219" t="s">
        <v>132</v>
      </c>
      <c r="BS39" s="48"/>
      <c r="BT39" s="48"/>
      <c r="BU39" s="48"/>
      <c r="BV39" s="206" t="str">
        <f>BV16</f>
        <v>Moda</v>
      </c>
      <c r="BW39" s="208">
        <f>IFERROR(INDEX(BV32:BW36,MATCH(LARGE(BW32:BW36,1),BW32:BW36,0),1),"-")</f>
        <v>5</v>
      </c>
      <c r="BX39" s="204" t="s">
        <v>933</v>
      </c>
      <c r="BY39" s="208">
        <f>BW16</f>
        <v>5</v>
      </c>
      <c r="BZ39" s="204" t="s">
        <v>933</v>
      </c>
      <c r="CA39" s="48"/>
      <c r="CB39" s="48"/>
      <c r="CC39" s="48"/>
      <c r="CD39" s="48"/>
      <c r="CE39" s="48"/>
      <c r="CF39" s="48"/>
      <c r="CG39" s="48"/>
      <c r="CH39" s="158" t="str">
        <f>CH29</f>
        <v>Bacharelado em Sistemas de Informação</v>
      </c>
      <c r="CI39" s="48"/>
      <c r="CJ39" s="48"/>
      <c r="CK39" s="48"/>
      <c r="CL39" s="48"/>
      <c r="CM39" s="206" t="str">
        <f>CM16</f>
        <v>Moda</v>
      </c>
      <c r="CN39" s="208">
        <f>IFERROR(INDEX(CM32:CN36,MATCH(LARGE(CN32:CN36,1),CN32:CN36,0),1),"-")</f>
        <v>5</v>
      </c>
      <c r="CO39" s="204" t="s">
        <v>933</v>
      </c>
      <c r="CP39" s="208">
        <f>CN16</f>
        <v>5</v>
      </c>
      <c r="CQ39" s="204" t="s">
        <v>933</v>
      </c>
      <c r="CR39" s="48"/>
      <c r="CS39" s="48"/>
      <c r="CT39" s="48"/>
      <c r="CU39" s="48"/>
      <c r="CV39" s="48"/>
      <c r="CW39" s="48"/>
      <c r="CX39" s="48"/>
      <c r="CY39" s="206" t="str">
        <f>CY17</f>
        <v>Desvio Padrão</v>
      </c>
      <c r="CZ39" s="207">
        <f>SQRT(CZ40)</f>
        <v>2.4750180374523105</v>
      </c>
      <c r="DA39" s="204" t="s">
        <v>933</v>
      </c>
      <c r="DB39" s="207">
        <f>CZ17</f>
        <v>0.743763705728267</v>
      </c>
      <c r="DC39" s="204" t="s">
        <v>933</v>
      </c>
      <c r="DD39" s="48"/>
      <c r="DE39"/>
      <c r="DF39" s="48"/>
      <c r="DG39" s="218" t="s">
        <v>932</v>
      </c>
      <c r="DH39" s="219" t="s">
        <v>131</v>
      </c>
      <c r="DI39" s="48"/>
    </row>
    <row r="40" spans="2:113" x14ac:dyDescent="0.2">
      <c r="B40" s="48"/>
      <c r="C40" s="144"/>
      <c r="D40" s="48"/>
      <c r="E40" s="48"/>
      <c r="F40" s="48"/>
      <c r="G40" s="48"/>
      <c r="H40" s="48"/>
      <c r="I40" s="48"/>
      <c r="J40" s="48"/>
      <c r="K40" s="48"/>
      <c r="L40" s="48"/>
      <c r="M40" s="48"/>
      <c r="N40" s="48"/>
      <c r="O40" s="48"/>
      <c r="P40" s="48"/>
      <c r="Q40" s="48"/>
      <c r="R40" s="48"/>
      <c r="S40" s="48"/>
      <c r="T40" s="48"/>
      <c r="U40" s="48"/>
      <c r="V40" s="48"/>
      <c r="W40" s="48"/>
      <c r="X40" s="48"/>
      <c r="Y40" s="48"/>
      <c r="Z40" s="48"/>
      <c r="AA40" s="48"/>
      <c r="AB40" s="48"/>
      <c r="AC40" s="48"/>
      <c r="AD40" s="48"/>
      <c r="AE40" s="48"/>
      <c r="AF40" s="187" t="str">
        <f t="shared" ref="AF40:AL40" si="30">AF22</f>
        <v>Q</v>
      </c>
      <c r="AG40" s="197" t="str">
        <f t="shared" si="30"/>
        <v>Recurso</v>
      </c>
      <c r="AH40" s="187">
        <f t="shared" si="30"/>
        <v>1</v>
      </c>
      <c r="AI40" s="187">
        <f t="shared" si="30"/>
        <v>2</v>
      </c>
      <c r="AJ40" s="187">
        <f t="shared" si="30"/>
        <v>3</v>
      </c>
      <c r="AK40" s="187">
        <f t="shared" si="30"/>
        <v>4</v>
      </c>
      <c r="AL40" s="187">
        <f t="shared" si="30"/>
        <v>5</v>
      </c>
      <c r="AM40" s="187" t="s">
        <v>621</v>
      </c>
      <c r="AN40" s="187" t="str">
        <f>AN22</f>
        <v>Média</v>
      </c>
      <c r="AO40" s="48"/>
      <c r="AP40" s="48"/>
      <c r="AQ40" s="48"/>
      <c r="AR40" s="48"/>
      <c r="AS40" s="198">
        <f t="shared" si="26"/>
        <v>97</v>
      </c>
      <c r="AT40" s="199" t="str">
        <f t="shared" si="25"/>
        <v>Desenvolver habilidades empreendedoras?</v>
      </c>
      <c r="AU40" s="210">
        <f t="shared" si="28"/>
        <v>0</v>
      </c>
      <c r="AV40" s="210">
        <f t="shared" si="28"/>
        <v>0.31578947368421051</v>
      </c>
      <c r="AW40" s="210">
        <f t="shared" si="28"/>
        <v>0.26315789473684209</v>
      </c>
      <c r="AX40" s="210">
        <f t="shared" si="28"/>
        <v>0.21052631578947367</v>
      </c>
      <c r="AY40" s="210">
        <f t="shared" si="28"/>
        <v>0.21052631578947367</v>
      </c>
      <c r="AZ40" s="267">
        <f t="shared" si="29"/>
        <v>1</v>
      </c>
      <c r="BA40" s="211">
        <f>BA32</f>
        <v>3.3157894736842106</v>
      </c>
      <c r="BB40" s="48"/>
      <c r="BC40" s="48"/>
      <c r="BD40" s="48"/>
      <c r="BE40" s="48"/>
      <c r="BF40" s="48"/>
      <c r="BG40" s="48"/>
      <c r="BH40" s="48"/>
      <c r="BI40" s="48"/>
      <c r="BJ40" s="48"/>
      <c r="BK40" s="48"/>
      <c r="BL40" s="48"/>
      <c r="BM40" s="48"/>
      <c r="BN40" s="48"/>
      <c r="BO40" s="48"/>
      <c r="BP40" s="60" t="s">
        <v>254</v>
      </c>
      <c r="BQ40" s="52">
        <f t="shared" ref="BQ40:BR43" si="31">BQ32</f>
        <v>10</v>
      </c>
      <c r="BR40" s="53">
        <f t="shared" si="31"/>
        <v>0.625</v>
      </c>
      <c r="BS40" s="48"/>
      <c r="BT40" s="48"/>
      <c r="BU40" s="48"/>
      <c r="BV40" s="206" t="str">
        <f>BV17</f>
        <v>Desvio Padrão</v>
      </c>
      <c r="BW40" s="207">
        <f>SQRT(BW41)</f>
        <v>1.834343752185134</v>
      </c>
      <c r="BX40" s="204" t="s">
        <v>933</v>
      </c>
      <c r="BY40" s="207">
        <f>BW17</f>
        <v>1.3368451282150509</v>
      </c>
      <c r="BZ40" s="204" t="s">
        <v>933</v>
      </c>
      <c r="CA40" s="48"/>
      <c r="CB40" s="48"/>
      <c r="CC40" s="48"/>
      <c r="CD40" s="48"/>
      <c r="CE40" s="48"/>
      <c r="CF40" s="48"/>
      <c r="CG40" s="48"/>
      <c r="CH40" s="220" t="s">
        <v>1045</v>
      </c>
      <c r="CI40" s="219" t="s">
        <v>131</v>
      </c>
      <c r="CJ40" s="219" t="s">
        <v>132</v>
      </c>
      <c r="CK40" s="48"/>
      <c r="CL40" s="48"/>
      <c r="CM40" s="206" t="str">
        <f>CM17</f>
        <v>Desvio Padrão</v>
      </c>
      <c r="CN40" s="207">
        <f>SQRT(CN41)</f>
        <v>2.1658111260206825</v>
      </c>
      <c r="CO40" s="204" t="s">
        <v>933</v>
      </c>
      <c r="CP40" s="207">
        <f>CN17</f>
        <v>1.1250576929932623</v>
      </c>
      <c r="CQ40" s="204" t="s">
        <v>933</v>
      </c>
      <c r="CR40" s="48"/>
      <c r="CS40" s="48"/>
      <c r="CT40" s="48"/>
      <c r="CU40" s="48"/>
      <c r="CV40" s="48"/>
      <c r="CW40" s="48"/>
      <c r="CX40" s="48"/>
      <c r="CY40" s="206" t="str">
        <f>CY18</f>
        <v>Variância</v>
      </c>
      <c r="CZ40" s="207">
        <f>(((DA31*CY31)-CZ37)^2+((DA32*CY32)-CZ37)^2+((DA33*CY33)-CZ37)^2+((DA34*CY34)-CZ37)^2+((DA35*CY35)-CZ37)^2)/(SUM(CZ31:CZ35)-1)</f>
        <v>6.1257142857142863</v>
      </c>
      <c r="DA40" s="204" t="s">
        <v>933</v>
      </c>
      <c r="DB40" s="207">
        <f>CZ18</f>
        <v>0.55318444995864413</v>
      </c>
      <c r="DC40" s="204" t="s">
        <v>933</v>
      </c>
      <c r="DD40" s="48"/>
      <c r="DE40"/>
      <c r="DF40" s="48"/>
      <c r="DG40" s="60" t="str">
        <f>DG34</f>
        <v>Média</v>
      </c>
      <c r="DH40" s="72">
        <f>IFERROR(AVERAGEIF(Respostas_Formatadas!$DR:$DR,AvalInst!$DG$38,Respostas_Formatadas!$FF:$FF),"-")</f>
        <v>7.4614411764705881</v>
      </c>
      <c r="DI40" s="48"/>
    </row>
    <row r="41" spans="2:113" x14ac:dyDescent="0.2">
      <c r="B41" s="48"/>
      <c r="C41" s="144"/>
      <c r="D41" s="48"/>
      <c r="E41" s="48"/>
      <c r="F41" s="48"/>
      <c r="G41" s="48"/>
      <c r="H41" s="48"/>
      <c r="I41" s="48"/>
      <c r="J41" s="48"/>
      <c r="K41" s="48"/>
      <c r="L41" s="48"/>
      <c r="M41" s="48"/>
      <c r="N41" s="48"/>
      <c r="O41" s="48"/>
      <c r="P41" s="48"/>
      <c r="Q41" s="48"/>
      <c r="R41" s="48"/>
      <c r="S41" s="48"/>
      <c r="T41" s="48"/>
      <c r="U41" s="48"/>
      <c r="V41" s="48"/>
      <c r="W41" s="48"/>
      <c r="X41" s="48"/>
      <c r="Y41" s="48"/>
      <c r="Z41" s="48"/>
      <c r="AA41" s="48"/>
      <c r="AB41" s="48"/>
      <c r="AC41" s="48"/>
      <c r="AD41" s="48"/>
      <c r="AE41" s="48"/>
      <c r="AF41" s="198">
        <f t="shared" ref="AF41:AG51" si="32">AF23</f>
        <v>82</v>
      </c>
      <c r="AG41" s="199" t="str">
        <f t="shared" si="32"/>
        <v>Palestras</v>
      </c>
      <c r="AH41" s="215">
        <f>COUNTIFS(Respostas_Formatadas!$C:$C,AvalInst!$AG$39,Respostas_Formatadas!$CS:$CS,AvalInst!AH$40)</f>
        <v>1</v>
      </c>
      <c r="AI41" s="215">
        <f>COUNTIFS(Respostas_Formatadas!$C:$C,AvalInst!$AG$39,Respostas_Formatadas!$CS:$CS,AvalInst!AI$40)</f>
        <v>4</v>
      </c>
      <c r="AJ41" s="215">
        <f>COUNTIFS(Respostas_Formatadas!$C:$C,AvalInst!$AG$39,Respostas_Formatadas!$CS:$CS,AvalInst!AJ$40)</f>
        <v>9</v>
      </c>
      <c r="AK41" s="215">
        <f>COUNTIFS(Respostas_Formatadas!$C:$C,AvalInst!$AG$39,Respostas_Formatadas!$CS:$CS,AvalInst!AK$40)</f>
        <v>4</v>
      </c>
      <c r="AL41" s="215">
        <f>COUNTIFS(Respostas_Formatadas!$C:$C,AvalInst!$AG$39,Respostas_Formatadas!$CS:$CS,AvalInst!AL$40)</f>
        <v>1</v>
      </c>
      <c r="AM41" s="266">
        <f>SUM(AH41:AL41)</f>
        <v>19</v>
      </c>
      <c r="AN41" s="211">
        <f t="shared" ref="AN41:AN51" si="33">SUMPRODUCT($AH$40:$AL$40,AH41:AL41)/SUM(AH41:AL41)</f>
        <v>3</v>
      </c>
      <c r="AO41" s="87"/>
      <c r="AP41" s="48"/>
      <c r="AQ41" s="48"/>
      <c r="AR41" s="48"/>
      <c r="AS41" s="48"/>
      <c r="AT41" s="48"/>
      <c r="AU41" s="1"/>
      <c r="AV41" s="48"/>
      <c r="AW41" s="48"/>
      <c r="AX41" s="48"/>
      <c r="AY41" s="48"/>
      <c r="AZ41" s="48"/>
      <c r="BA41" s="48"/>
      <c r="BB41" s="48"/>
      <c r="BC41" s="48"/>
      <c r="BD41" s="48"/>
      <c r="BE41" s="48"/>
      <c r="BF41" s="48"/>
      <c r="BG41" s="48"/>
      <c r="BH41" s="48"/>
      <c r="BI41" s="48"/>
      <c r="BJ41" s="48"/>
      <c r="BK41" s="48"/>
      <c r="BL41" s="48"/>
      <c r="BM41" s="48"/>
      <c r="BN41" s="48"/>
      <c r="BO41" s="48"/>
      <c r="BP41" s="60" t="s">
        <v>1069</v>
      </c>
      <c r="BQ41" s="52">
        <f t="shared" si="31"/>
        <v>12</v>
      </c>
      <c r="BR41" s="53">
        <f t="shared" si="31"/>
        <v>0.75</v>
      </c>
      <c r="BS41" s="48"/>
      <c r="BT41" s="48"/>
      <c r="BU41" s="48"/>
      <c r="BV41" s="206" t="str">
        <f>BV18</f>
        <v>Variância</v>
      </c>
      <c r="BW41" s="207">
        <f>(((BX32*BV32)-BW38)^2+((BX33*BV33)-BW38)^2+((BX34*BV34)-BW38)^2+((BX35*BV35)-BW38)^2+((BX36*BV36)-BW38)^2)/(SUM(BW32:BW36)-1)</f>
        <v>3.3648170011806364</v>
      </c>
      <c r="BX41" s="204" t="s">
        <v>933</v>
      </c>
      <c r="BY41" s="207">
        <f>BW18</f>
        <v>1.7871548968323159</v>
      </c>
      <c r="BZ41" s="204" t="s">
        <v>933</v>
      </c>
      <c r="CA41" s="48"/>
      <c r="CB41" s="48"/>
      <c r="CC41" s="48"/>
      <c r="CD41" s="48"/>
      <c r="CE41" s="48"/>
      <c r="CF41" s="48"/>
      <c r="CG41" s="48"/>
      <c r="CH41" s="60" t="s">
        <v>258</v>
      </c>
      <c r="CI41" s="52">
        <f>CI31</f>
        <v>0</v>
      </c>
      <c r="CJ41" s="53">
        <f>CJ31</f>
        <v>0</v>
      </c>
      <c r="CK41" s="48"/>
      <c r="CL41" s="48"/>
      <c r="CM41" s="206" t="str">
        <f>CM18</f>
        <v>Variância</v>
      </c>
      <c r="CN41" s="207">
        <f>(((CO32*CM32)-CN38)^2+((CO33*CM33)-CN38)^2+((CO34*CM34)-CN38)^2+((CO35*CM35)-CN38)^2+((CO36*CM36)-CN38)^2)/(SUM(CN32:CN36)-1)</f>
        <v>4.6907378335949774</v>
      </c>
      <c r="CO41" s="204" t="s">
        <v>933</v>
      </c>
      <c r="CP41" s="207">
        <f>CN18</f>
        <v>1.2657548125633216</v>
      </c>
      <c r="CQ41" s="204" t="s">
        <v>933</v>
      </c>
      <c r="CR41" s="48"/>
      <c r="CS41" s="48"/>
      <c r="CT41" s="48"/>
      <c r="CU41" s="48"/>
      <c r="CV41" s="48"/>
      <c r="CW41" s="48"/>
      <c r="CX41" s="48"/>
      <c r="CY41" s="206" t="str">
        <f>CY19</f>
        <v>CV</v>
      </c>
      <c r="CZ41" s="209">
        <f>CZ39/CZ37</f>
        <v>0.51562875780256467</v>
      </c>
      <c r="DA41" s="204" t="s">
        <v>933</v>
      </c>
      <c r="DB41" s="209">
        <f>CZ19</f>
        <v>0.16204907554973416</v>
      </c>
      <c r="DC41" s="204" t="s">
        <v>933</v>
      </c>
      <c r="DD41" s="48"/>
      <c r="DE41"/>
      <c r="DF41" s="48"/>
      <c r="DG41" s="48"/>
      <c r="DH41" s="48"/>
      <c r="DI41" s="48"/>
    </row>
    <row r="42" spans="2:113" ht="38.25" x14ac:dyDescent="0.2">
      <c r="B42" s="48"/>
      <c r="C42" s="144"/>
      <c r="D42" s="48"/>
      <c r="E42" s="48"/>
      <c r="F42" s="48"/>
      <c r="G42" s="48"/>
      <c r="H42" s="48"/>
      <c r="I42" s="48"/>
      <c r="J42" s="48"/>
      <c r="K42" s="48"/>
      <c r="L42" s="48"/>
      <c r="M42" s="48"/>
      <c r="N42" s="48"/>
      <c r="O42" s="48"/>
      <c r="P42" s="48"/>
      <c r="Q42" s="48"/>
      <c r="R42" s="48"/>
      <c r="S42" s="48"/>
      <c r="T42" s="48"/>
      <c r="U42" s="48"/>
      <c r="V42" s="48"/>
      <c r="W42" s="48"/>
      <c r="X42" s="48"/>
      <c r="Y42" s="48"/>
      <c r="Z42" s="48"/>
      <c r="AA42" s="48"/>
      <c r="AB42" s="48"/>
      <c r="AC42" s="48"/>
      <c r="AD42" s="48"/>
      <c r="AE42" s="48"/>
      <c r="AF42" s="81">
        <f t="shared" si="32"/>
        <v>83</v>
      </c>
      <c r="AG42" s="51" t="str">
        <f t="shared" si="32"/>
        <v>Grupos de estudo</v>
      </c>
      <c r="AH42" s="130">
        <f>COUNTIFS(Respostas_Formatadas!$C:$C,AvalInst!$AG$39,Respostas_Formatadas!$CT:$CT,AvalInst!AH$40)</f>
        <v>6</v>
      </c>
      <c r="AI42" s="130">
        <f>COUNTIFS(Respostas_Formatadas!$C:$C,AvalInst!$AG$39,Respostas_Formatadas!$CT:$CT,AvalInst!AI$40)</f>
        <v>7</v>
      </c>
      <c r="AJ42" s="130">
        <f>COUNTIFS(Respostas_Formatadas!$C:$C,AvalInst!$AG$39,Respostas_Formatadas!$CT:$CT,AvalInst!AJ$40)</f>
        <v>5</v>
      </c>
      <c r="AK42" s="130">
        <f>COUNTIFS(Respostas_Formatadas!$C:$C,AvalInst!$AG$39,Respostas_Formatadas!$CT:$CT,AvalInst!AK$40)</f>
        <v>1</v>
      </c>
      <c r="AL42" s="130">
        <f>COUNTIFS(Respostas_Formatadas!$C:$C,AvalInst!$AG$39,Respostas_Formatadas!$CT:$CT,AvalInst!AL$40)</f>
        <v>0</v>
      </c>
      <c r="AM42" s="229">
        <f t="shared" ref="AM42:AM51" si="34">SUM(AH42:AL42)</f>
        <v>19</v>
      </c>
      <c r="AN42" s="76">
        <f t="shared" si="33"/>
        <v>2.0526315789473686</v>
      </c>
      <c r="AO42" s="48"/>
      <c r="AP42" s="48"/>
      <c r="AQ42" s="48"/>
      <c r="AR42" s="48"/>
      <c r="AS42" s="48"/>
      <c r="AT42" s="48"/>
      <c r="AU42" s="1"/>
      <c r="AV42" s="48"/>
      <c r="AW42" s="48"/>
      <c r="AX42" s="48"/>
      <c r="AY42" s="48"/>
      <c r="AZ42" s="48"/>
      <c r="BA42" s="48"/>
      <c r="BB42" s="48"/>
      <c r="BC42" s="48"/>
      <c r="BD42" s="48"/>
      <c r="BE42" s="48"/>
      <c r="BF42" s="156" t="s">
        <v>1198</v>
      </c>
      <c r="BG42" s="48"/>
      <c r="BH42" s="48"/>
      <c r="BI42" s="48"/>
      <c r="BJ42" s="48"/>
      <c r="BK42" s="48"/>
      <c r="BL42" s="48"/>
      <c r="BM42" s="48"/>
      <c r="BN42" s="48"/>
      <c r="BO42" s="48"/>
      <c r="BP42" s="60" t="s">
        <v>256</v>
      </c>
      <c r="BQ42" s="52">
        <f t="shared" si="31"/>
        <v>5</v>
      </c>
      <c r="BR42" s="53">
        <f t="shared" si="31"/>
        <v>0.3125</v>
      </c>
      <c r="BS42" s="48"/>
      <c r="BT42" s="48"/>
      <c r="BU42" s="48"/>
      <c r="BV42" s="206" t="str">
        <f>BV19</f>
        <v>CV</v>
      </c>
      <c r="BW42" s="209">
        <f>BW40/BW38</f>
        <v>0.42037044320909323</v>
      </c>
      <c r="BX42" s="204" t="s">
        <v>933</v>
      </c>
      <c r="BY42" s="209">
        <f>BW19</f>
        <v>0.34155658495604319</v>
      </c>
      <c r="BZ42" s="204" t="s">
        <v>933</v>
      </c>
      <c r="CA42" s="48"/>
      <c r="CB42" s="48"/>
      <c r="CC42" s="48"/>
      <c r="CD42" s="48"/>
      <c r="CE42" s="48"/>
      <c r="CF42" s="48"/>
      <c r="CG42" s="48"/>
      <c r="CH42" s="60" t="s">
        <v>1067</v>
      </c>
      <c r="CI42" s="52">
        <f t="shared" ref="CI42:CJ45" si="35">CI32</f>
        <v>7</v>
      </c>
      <c r="CJ42" s="53">
        <f t="shared" si="35"/>
        <v>0.875</v>
      </c>
      <c r="CK42" s="48"/>
      <c r="CL42" s="48"/>
      <c r="CM42" s="206" t="str">
        <f>CM19</f>
        <v>CV</v>
      </c>
      <c r="CN42" s="209">
        <f>CN40/CN38</f>
        <v>0.52278199593602681</v>
      </c>
      <c r="CO42" s="204" t="s">
        <v>933</v>
      </c>
      <c r="CP42" s="209">
        <f>CN19</f>
        <v>0.26886971985093217</v>
      </c>
      <c r="CQ42" s="204" t="s">
        <v>933</v>
      </c>
      <c r="CR42" s="48"/>
      <c r="CS42" s="48"/>
      <c r="CT42" s="48"/>
      <c r="CU42" s="48"/>
      <c r="CV42" s="48"/>
      <c r="CW42" s="48"/>
      <c r="CX42" s="48"/>
      <c r="CY42" s="48"/>
      <c r="CZ42" s="48"/>
      <c r="DA42" s="48"/>
      <c r="DB42" s="48"/>
      <c r="DC42" s="48"/>
      <c r="DD42" s="48"/>
      <c r="DE42"/>
      <c r="DF42" s="48"/>
      <c r="DG42" s="156" t="s">
        <v>1209</v>
      </c>
      <c r="DH42" s="48"/>
      <c r="DI42" s="48"/>
    </row>
    <row r="43" spans="2:113" x14ac:dyDescent="0.2">
      <c r="B43" s="48"/>
      <c r="C43" s="144"/>
      <c r="D43" s="48"/>
      <c r="E43" s="48"/>
      <c r="F43" s="48"/>
      <c r="G43" s="48"/>
      <c r="H43" s="48"/>
      <c r="I43" s="48"/>
      <c r="J43" s="48"/>
      <c r="K43" s="48"/>
      <c r="L43" s="48"/>
      <c r="M43" s="48"/>
      <c r="N43" s="48"/>
      <c r="O43" s="48"/>
      <c r="P43" s="48"/>
      <c r="Q43" s="48"/>
      <c r="R43" s="48"/>
      <c r="S43" s="48"/>
      <c r="T43" s="48"/>
      <c r="U43" s="48"/>
      <c r="V43" s="48"/>
      <c r="W43" s="48"/>
      <c r="X43" s="48"/>
      <c r="Y43" s="48"/>
      <c r="Z43" s="48"/>
      <c r="AA43" s="48"/>
      <c r="AB43" s="48"/>
      <c r="AC43" s="48"/>
      <c r="AD43" s="48"/>
      <c r="AE43" s="48"/>
      <c r="AF43" s="198">
        <f t="shared" si="32"/>
        <v>84</v>
      </c>
      <c r="AG43" s="199" t="str">
        <f t="shared" si="32"/>
        <v>Participação em grupos de pesquisa</v>
      </c>
      <c r="AH43" s="215">
        <f>COUNTIFS(Respostas_Formatadas!$C:$C,AvalInst!$AG$39,Respostas_Formatadas!$CU:$CU,AvalInst!AH$40)</f>
        <v>2</v>
      </c>
      <c r="AI43" s="215">
        <f>COUNTIFS(Respostas_Formatadas!$C:$C,AvalInst!$AG$39,Respostas_Formatadas!$CU:$CU,AvalInst!AI$40)</f>
        <v>5</v>
      </c>
      <c r="AJ43" s="215">
        <f>COUNTIFS(Respostas_Formatadas!$C:$C,AvalInst!$AG$39,Respostas_Formatadas!$CU:$CU,AvalInst!AJ$40)</f>
        <v>7</v>
      </c>
      <c r="AK43" s="215">
        <f>COUNTIFS(Respostas_Formatadas!$C:$C,AvalInst!$AG$39,Respostas_Formatadas!$CU:$CU,AvalInst!AK$40)</f>
        <v>3</v>
      </c>
      <c r="AL43" s="215">
        <f>COUNTIFS(Respostas_Formatadas!$C:$C,AvalInst!$AG$39,Respostas_Formatadas!$CU:$CU,AvalInst!AL$40)</f>
        <v>2</v>
      </c>
      <c r="AM43" s="266">
        <f t="shared" si="34"/>
        <v>19</v>
      </c>
      <c r="AN43" s="211">
        <f t="shared" si="33"/>
        <v>2.8947368421052633</v>
      </c>
      <c r="AO43" s="48"/>
      <c r="AP43" s="48"/>
      <c r="AQ43" s="48"/>
      <c r="AR43" s="48"/>
      <c r="AS43" s="48"/>
      <c r="AT43" s="48"/>
      <c r="AU43" s="1"/>
      <c r="AV43" s="48"/>
      <c r="AW43" s="48"/>
      <c r="AX43" s="48"/>
      <c r="AY43" s="48"/>
      <c r="AZ43" s="48"/>
      <c r="BA43" s="48"/>
      <c r="BB43" s="48"/>
      <c r="BC43" s="48"/>
      <c r="BD43" s="48"/>
      <c r="BE43" s="48"/>
      <c r="BF43" s="48"/>
      <c r="BG43" s="48"/>
      <c r="BH43" s="48"/>
      <c r="BI43" s="48"/>
      <c r="BJ43" s="48"/>
      <c r="BK43" s="48"/>
      <c r="BL43" s="48"/>
      <c r="BM43" s="48"/>
      <c r="BN43" s="48"/>
      <c r="BO43" s="48"/>
      <c r="BP43" s="60" t="s">
        <v>257</v>
      </c>
      <c r="BQ43" s="52">
        <f t="shared" si="31"/>
        <v>8</v>
      </c>
      <c r="BR43" s="53">
        <f t="shared" si="31"/>
        <v>0.5</v>
      </c>
      <c r="BS43" s="48"/>
      <c r="BT43" s="48"/>
      <c r="BU43" s="48"/>
      <c r="BV43" s="48"/>
      <c r="BW43" s="48"/>
      <c r="BX43" s="48"/>
      <c r="BY43" s="48"/>
      <c r="BZ43" s="48"/>
      <c r="CA43" s="48"/>
      <c r="CB43" s="48"/>
      <c r="CC43" s="48"/>
      <c r="CD43" s="48"/>
      <c r="CE43" s="48"/>
      <c r="CF43" s="48"/>
      <c r="CG43" s="48"/>
      <c r="CH43" s="60" t="s">
        <v>260</v>
      </c>
      <c r="CI43" s="52">
        <f t="shared" si="35"/>
        <v>3</v>
      </c>
      <c r="CJ43" s="53">
        <f t="shared" si="35"/>
        <v>0.375</v>
      </c>
      <c r="CK43" s="48"/>
      <c r="CL43" s="48"/>
      <c r="CM43" s="48"/>
      <c r="CN43" s="48"/>
      <c r="CO43" s="48"/>
      <c r="CP43" s="48"/>
      <c r="CQ43" s="48"/>
      <c r="CR43" s="48"/>
      <c r="CS43" s="48"/>
      <c r="CT43" s="48"/>
      <c r="CU43" s="48"/>
      <c r="CV43" s="48"/>
      <c r="CW43" s="48"/>
      <c r="CX43" s="48"/>
      <c r="CY43" s="48"/>
      <c r="CZ43" s="48"/>
      <c r="DA43" s="48"/>
      <c r="DB43" s="48"/>
      <c r="DC43" s="48"/>
      <c r="DD43" s="48"/>
      <c r="DE43"/>
      <c r="DF43" s="48"/>
      <c r="DG43" s="48"/>
      <c r="DH43" s="48"/>
      <c r="DI43" s="48"/>
    </row>
    <row r="44" spans="2:113" x14ac:dyDescent="0.2">
      <c r="B44" s="48"/>
      <c r="C44" s="144"/>
      <c r="D44" s="48"/>
      <c r="E44" s="48"/>
      <c r="F44" s="48"/>
      <c r="G44" s="48"/>
      <c r="H44" s="48"/>
      <c r="I44" s="48"/>
      <c r="J44" s="48"/>
      <c r="K44" s="48"/>
      <c r="L44" s="48"/>
      <c r="M44" s="48"/>
      <c r="N44" s="48"/>
      <c r="O44" s="48"/>
      <c r="P44" s="48"/>
      <c r="Q44" s="48"/>
      <c r="R44" s="48"/>
      <c r="S44" s="48"/>
      <c r="T44" s="48"/>
      <c r="U44" s="48"/>
      <c r="V44" s="48"/>
      <c r="W44" s="48"/>
      <c r="X44" s="48"/>
      <c r="Y44" s="48"/>
      <c r="Z44" s="48"/>
      <c r="AA44" s="48"/>
      <c r="AB44" s="48"/>
      <c r="AC44" s="48"/>
      <c r="AD44" s="48"/>
      <c r="AE44" s="48"/>
      <c r="AF44" s="81">
        <f t="shared" si="32"/>
        <v>85</v>
      </c>
      <c r="AG44" s="51" t="str">
        <f t="shared" si="32"/>
        <v>Estágios</v>
      </c>
      <c r="AH44" s="130">
        <f>COUNTIFS(Respostas_Formatadas!$C:$C,AvalInst!$AG$39,Respostas_Formatadas!$CV:$CV,AvalInst!AH$40)</f>
        <v>8</v>
      </c>
      <c r="AI44" s="130">
        <f>COUNTIFS(Respostas_Formatadas!$C:$C,AvalInst!$AG$39,Respostas_Formatadas!$CV:$CV,AvalInst!AI$40)</f>
        <v>3</v>
      </c>
      <c r="AJ44" s="130">
        <f>COUNTIFS(Respostas_Formatadas!$C:$C,AvalInst!$AG$39,Respostas_Formatadas!$CV:$CV,AvalInst!AJ$40)</f>
        <v>5</v>
      </c>
      <c r="AK44" s="130">
        <f>COUNTIFS(Respostas_Formatadas!$C:$C,AvalInst!$AG$39,Respostas_Formatadas!$CV:$CV,AvalInst!AK$40)</f>
        <v>1</v>
      </c>
      <c r="AL44" s="130">
        <f>COUNTIFS(Respostas_Formatadas!$C:$C,AvalInst!$AG$39,Respostas_Formatadas!$CV:$CV,AvalInst!AL$40)</f>
        <v>2</v>
      </c>
      <c r="AM44" s="229">
        <f t="shared" si="34"/>
        <v>19</v>
      </c>
      <c r="AN44" s="76">
        <f t="shared" si="33"/>
        <v>2.263157894736842</v>
      </c>
      <c r="AO44" s="48"/>
      <c r="AP44" s="48"/>
      <c r="AQ44" s="48"/>
      <c r="AR44" s="48"/>
      <c r="AS44" s="48"/>
      <c r="AT44" s="48"/>
      <c r="AU44" s="1"/>
      <c r="AV44" s="48"/>
      <c r="AW44" s="48"/>
      <c r="AX44" s="48"/>
      <c r="AY44" s="48"/>
      <c r="AZ44" s="48"/>
      <c r="BA44" s="48"/>
      <c r="BB44" s="48"/>
      <c r="BC44" s="48"/>
      <c r="BD44" s="48"/>
      <c r="BE44" s="48"/>
      <c r="BF44" s="48"/>
      <c r="BG44" s="48"/>
      <c r="BH44" s="48"/>
      <c r="BI44" s="48"/>
      <c r="BJ44" s="48"/>
      <c r="BK44" s="48"/>
      <c r="BL44" s="48"/>
      <c r="BM44" s="48"/>
      <c r="BN44" s="48"/>
      <c r="BO44" s="48"/>
      <c r="BP44" s="191" t="s">
        <v>621</v>
      </c>
      <c r="BQ44" s="192">
        <f>BQ36</f>
        <v>16</v>
      </c>
      <c r="BR44" s="193" t="s">
        <v>933</v>
      </c>
      <c r="BS44" s="48"/>
      <c r="BT44" s="48"/>
      <c r="BU44" s="48"/>
      <c r="BV44" s="48"/>
      <c r="BW44" s="48"/>
      <c r="BX44" s="48"/>
      <c r="BY44" s="48"/>
      <c r="BZ44" s="48"/>
      <c r="CA44" s="48"/>
      <c r="CB44" s="48"/>
      <c r="CC44" s="48"/>
      <c r="CD44" s="48"/>
      <c r="CE44" s="48"/>
      <c r="CF44" s="48"/>
      <c r="CG44" s="48"/>
      <c r="CH44" s="60" t="s">
        <v>1068</v>
      </c>
      <c r="CI44" s="52">
        <f t="shared" si="35"/>
        <v>2</v>
      </c>
      <c r="CJ44" s="53">
        <f t="shared" si="35"/>
        <v>0.25</v>
      </c>
      <c r="CK44" s="48"/>
      <c r="CL44" s="48"/>
      <c r="CM44" s="48"/>
      <c r="CN44" s="48"/>
      <c r="CO44" s="48"/>
      <c r="CP44" s="48"/>
      <c r="CQ44" s="48"/>
      <c r="CR44" s="48"/>
      <c r="CS44" s="48"/>
      <c r="CT44" s="48"/>
      <c r="CU44" s="48"/>
      <c r="CV44" s="48"/>
      <c r="CW44" s="48"/>
      <c r="CX44" s="48"/>
      <c r="CY44" s="48"/>
      <c r="CZ44" s="48"/>
      <c r="DA44" s="48"/>
      <c r="DB44" s="48"/>
      <c r="DC44" s="48"/>
      <c r="DD44" s="48"/>
      <c r="DE44"/>
      <c r="DF44" s="341" t="s">
        <v>1159</v>
      </c>
      <c r="DG44" s="261" t="s">
        <v>133</v>
      </c>
      <c r="DH44" s="48"/>
      <c r="DI44" s="48"/>
    </row>
    <row r="45" spans="2:113" x14ac:dyDescent="0.2">
      <c r="B45" s="48"/>
      <c r="C45" s="144"/>
      <c r="D45" s="48"/>
      <c r="E45" s="48"/>
      <c r="F45" s="48"/>
      <c r="G45" s="48"/>
      <c r="H45" s="48"/>
      <c r="I45" s="48"/>
      <c r="J45" s="48"/>
      <c r="K45" s="48"/>
      <c r="L45" s="48"/>
      <c r="M45" s="48"/>
      <c r="N45" s="48"/>
      <c r="O45" s="48"/>
      <c r="P45" s="48"/>
      <c r="Q45" s="48"/>
      <c r="R45" s="48"/>
      <c r="S45" s="48"/>
      <c r="T45" s="48"/>
      <c r="U45" s="48"/>
      <c r="V45" s="48"/>
      <c r="W45" s="48"/>
      <c r="X45" s="48"/>
      <c r="Y45" s="48"/>
      <c r="Z45" s="48"/>
      <c r="AA45" s="48"/>
      <c r="AB45" s="48"/>
      <c r="AC45" s="48"/>
      <c r="AD45" s="48"/>
      <c r="AE45" s="48"/>
      <c r="AF45" s="198">
        <f t="shared" si="32"/>
        <v>86</v>
      </c>
      <c r="AG45" s="199" t="str">
        <f t="shared" si="32"/>
        <v>Trabalhos práticos</v>
      </c>
      <c r="AH45" s="215">
        <f>COUNTIFS(Respostas_Formatadas!$C:$C,AvalInst!$AG$39,Respostas_Formatadas!$CW:$CW,AvalInst!AH$40)</f>
        <v>0</v>
      </c>
      <c r="AI45" s="215">
        <f>COUNTIFS(Respostas_Formatadas!$C:$C,AvalInst!$AG$39,Respostas_Formatadas!$CW:$CW,AvalInst!AI$40)</f>
        <v>0</v>
      </c>
      <c r="AJ45" s="215">
        <f>COUNTIFS(Respostas_Formatadas!$C:$C,AvalInst!$AG$39,Respostas_Formatadas!$CW:$CW,AvalInst!AJ$40)</f>
        <v>4</v>
      </c>
      <c r="AK45" s="215">
        <f>COUNTIFS(Respostas_Formatadas!$C:$C,AvalInst!$AG$39,Respostas_Formatadas!$CW:$CW,AvalInst!AK$40)</f>
        <v>8</v>
      </c>
      <c r="AL45" s="215">
        <f>COUNTIFS(Respostas_Formatadas!$C:$C,AvalInst!$AG$39,Respostas_Formatadas!$CW:$CW,AvalInst!AL$40)</f>
        <v>7</v>
      </c>
      <c r="AM45" s="266">
        <f t="shared" si="34"/>
        <v>19</v>
      </c>
      <c r="AN45" s="211">
        <f t="shared" si="33"/>
        <v>4.1578947368421053</v>
      </c>
      <c r="AO45" s="48"/>
      <c r="AP45" s="48"/>
      <c r="AQ45" s="48"/>
      <c r="AR45" s="48"/>
      <c r="AS45" s="48"/>
      <c r="AT45" s="48"/>
      <c r="AU45" s="1"/>
      <c r="AV45" s="48"/>
      <c r="AW45" s="48"/>
      <c r="AX45" s="48"/>
      <c r="AY45" s="48"/>
      <c r="AZ45" s="48"/>
      <c r="BA45" s="48"/>
      <c r="BB45" s="48"/>
      <c r="BC45" s="48"/>
      <c r="BD45" s="48"/>
      <c r="BE45" s="341" t="s">
        <v>1159</v>
      </c>
      <c r="BF45" s="261" t="s">
        <v>120</v>
      </c>
      <c r="BG45" s="48"/>
      <c r="BH45" s="48"/>
      <c r="BI45" s="48"/>
      <c r="BJ45" s="48"/>
      <c r="BK45" s="48"/>
      <c r="BL45" s="48"/>
      <c r="BM45" s="48"/>
      <c r="BN45" s="48"/>
      <c r="BO45" s="48"/>
      <c r="BP45" s="48"/>
      <c r="BQ45" s="48"/>
      <c r="BR45" s="48"/>
      <c r="BS45" s="48"/>
      <c r="BT45" s="48"/>
      <c r="BU45" s="48"/>
      <c r="BV45" s="48"/>
      <c r="BW45" s="48"/>
      <c r="BX45" s="48"/>
      <c r="BY45" s="48"/>
      <c r="BZ45" s="48"/>
      <c r="CA45" s="48"/>
      <c r="CB45" s="48"/>
      <c r="CC45" s="48"/>
      <c r="CD45" s="48"/>
      <c r="CE45" s="48"/>
      <c r="CF45" s="48"/>
      <c r="CG45" s="48"/>
      <c r="CH45" s="60" t="s">
        <v>145</v>
      </c>
      <c r="CI45" s="52">
        <f t="shared" si="35"/>
        <v>0</v>
      </c>
      <c r="CJ45" s="53">
        <f t="shared" si="35"/>
        <v>0</v>
      </c>
      <c r="CK45" s="48"/>
      <c r="CL45" s="48"/>
      <c r="CM45" s="48"/>
      <c r="CN45" s="48"/>
      <c r="CO45" s="48"/>
      <c r="CP45" s="48"/>
      <c r="CQ45" s="48"/>
      <c r="CR45" s="48"/>
      <c r="CS45" s="48"/>
      <c r="CT45" s="48"/>
      <c r="CU45" s="48"/>
      <c r="CV45" s="48"/>
      <c r="CW45" s="48"/>
      <c r="CX45" s="48"/>
      <c r="CY45" s="48"/>
      <c r="CZ45" s="48"/>
      <c r="DA45" s="48"/>
      <c r="DB45" s="48"/>
      <c r="DC45" s="48"/>
      <c r="DD45" s="48"/>
      <c r="DE45"/>
      <c r="DF45" s="48"/>
      <c r="DG45" s="218" t="s">
        <v>932</v>
      </c>
      <c r="DH45" s="219" t="s">
        <v>131</v>
      </c>
      <c r="DI45" s="48"/>
    </row>
    <row r="46" spans="2:113" ht="25.5" x14ac:dyDescent="0.2">
      <c r="B46" s="48"/>
      <c r="C46" s="144"/>
      <c r="D46" s="48"/>
      <c r="E46" s="48"/>
      <c r="F46" s="48"/>
      <c r="G46" s="48"/>
      <c r="H46" s="48"/>
      <c r="I46" s="48"/>
      <c r="J46" s="48"/>
      <c r="K46" s="48"/>
      <c r="L46" s="48"/>
      <c r="M46" s="48"/>
      <c r="N46" s="48"/>
      <c r="O46" s="48"/>
      <c r="P46" s="48"/>
      <c r="Q46" s="48"/>
      <c r="R46" s="48"/>
      <c r="S46" s="48"/>
      <c r="T46" s="48"/>
      <c r="U46" s="48"/>
      <c r="V46" s="48"/>
      <c r="W46" s="48"/>
      <c r="X46" s="48"/>
      <c r="Y46" s="48"/>
      <c r="Z46" s="48"/>
      <c r="AA46" s="48"/>
      <c r="AB46" s="48"/>
      <c r="AC46" s="48"/>
      <c r="AD46" s="48"/>
      <c r="AE46" s="48"/>
      <c r="AF46" s="81">
        <f t="shared" si="32"/>
        <v>87</v>
      </c>
      <c r="AG46" s="51" t="str">
        <f t="shared" si="32"/>
        <v>Trabalhos teóricos</v>
      </c>
      <c r="AH46" s="130">
        <f>COUNTIFS(Respostas_Formatadas!$C:$C,AvalInst!$AG$39,Respostas_Formatadas!$CX:$CX,AvalInst!AH$40)</f>
        <v>0</v>
      </c>
      <c r="AI46" s="130">
        <f>COUNTIFS(Respostas_Formatadas!$C:$C,AvalInst!$AG$39,Respostas_Formatadas!$CX:$CX,AvalInst!AI$40)</f>
        <v>2</v>
      </c>
      <c r="AJ46" s="130">
        <f>COUNTIFS(Respostas_Formatadas!$C:$C,AvalInst!$AG$39,Respostas_Formatadas!$CX:$CX,AvalInst!AJ$40)</f>
        <v>9</v>
      </c>
      <c r="AK46" s="130">
        <f>COUNTIFS(Respostas_Formatadas!$C:$C,AvalInst!$AG$39,Respostas_Formatadas!$CX:$CX,AvalInst!AK$40)</f>
        <v>3</v>
      </c>
      <c r="AL46" s="130">
        <f>COUNTIFS(Respostas_Formatadas!$C:$C,AvalInst!$AG$39,Respostas_Formatadas!$CX:$CX,AvalInst!AL$40)</f>
        <v>5</v>
      </c>
      <c r="AM46" s="229">
        <f t="shared" si="34"/>
        <v>19</v>
      </c>
      <c r="AN46" s="76">
        <f t="shared" si="33"/>
        <v>3.5789473684210527</v>
      </c>
      <c r="AO46" s="48"/>
      <c r="AP46" s="48"/>
      <c r="AQ46" s="48"/>
      <c r="AR46" s="48"/>
      <c r="AS46" s="48"/>
      <c r="AT46" s="48"/>
      <c r="AU46" s="1"/>
      <c r="AV46" s="48"/>
      <c r="AW46" s="48"/>
      <c r="AX46" s="48"/>
      <c r="AY46" s="48"/>
      <c r="AZ46" s="48"/>
      <c r="BA46" s="48"/>
      <c r="BB46" s="48"/>
      <c r="BC46" s="48"/>
      <c r="BD46" s="48"/>
      <c r="BE46" s="48"/>
      <c r="BF46" s="197" t="str">
        <f>BF8</f>
        <v>Olhando para trás, se pudesse escolher novamente, você escolheria o mesmo curso na mesma instituição?</v>
      </c>
      <c r="BG46" s="187" t="str">
        <f>BG8</f>
        <v>f</v>
      </c>
      <c r="BH46" s="187" t="str">
        <f>BH8</f>
        <v>%</v>
      </c>
      <c r="BI46" s="48"/>
      <c r="BJ46" s="48"/>
      <c r="BK46" s="48"/>
      <c r="BL46" s="48"/>
      <c r="BM46" s="48"/>
      <c r="BN46" s="48"/>
      <c r="BO46" s="48"/>
      <c r="BP46" s="48"/>
      <c r="BQ46" s="48"/>
      <c r="BR46" s="48"/>
      <c r="BS46" s="48"/>
      <c r="BT46" s="48"/>
      <c r="BU46" s="48"/>
      <c r="BV46" s="48"/>
      <c r="BW46" s="48"/>
      <c r="BX46" s="48"/>
      <c r="BY46" s="48"/>
      <c r="BZ46" s="48"/>
      <c r="CA46" s="48"/>
      <c r="CB46" s="48"/>
      <c r="CC46" s="48"/>
      <c r="CD46" s="48"/>
      <c r="CE46" s="48"/>
      <c r="CF46" s="48"/>
      <c r="CG46" s="48"/>
      <c r="CH46" s="191" t="s">
        <v>621</v>
      </c>
      <c r="CI46" s="192">
        <f>CI36</f>
        <v>8</v>
      </c>
      <c r="CJ46" s="193" t="s">
        <v>933</v>
      </c>
      <c r="CK46" s="48"/>
      <c r="CL46" s="48"/>
      <c r="CM46" s="48"/>
      <c r="CN46" s="48"/>
      <c r="CO46" s="48"/>
      <c r="CP46" s="48"/>
      <c r="CQ46" s="48"/>
      <c r="CR46" s="48"/>
      <c r="CS46" s="48"/>
      <c r="CT46" s="48"/>
      <c r="CU46" s="48"/>
      <c r="CV46" s="48"/>
      <c r="CW46" s="48"/>
      <c r="CX46" s="48"/>
      <c r="CY46" s="48"/>
      <c r="CZ46" s="48"/>
      <c r="DA46" s="48"/>
      <c r="DB46" s="48"/>
      <c r="DC46" s="48"/>
      <c r="DD46" s="48"/>
      <c r="DE46"/>
      <c r="DF46" s="48"/>
      <c r="DG46" s="60" t="str">
        <f>DG40</f>
        <v>Média</v>
      </c>
      <c r="DH46" s="72">
        <f>IFERROR(AVERAGEIF(Respostas_Formatadas!$DZ:$DZ,AvalInst!$DG$44,Respostas_Formatadas!$FF:$FF),"-")</f>
        <v>7.4516542483660144</v>
      </c>
      <c r="DI46" s="48"/>
    </row>
    <row r="47" spans="2:113" x14ac:dyDescent="0.2">
      <c r="B47" s="48"/>
      <c r="C47" s="144"/>
      <c r="D47" s="48"/>
      <c r="E47" s="48"/>
      <c r="F47" s="48"/>
      <c r="G47" s="48"/>
      <c r="H47" s="48"/>
      <c r="I47" s="48"/>
      <c r="J47" s="48"/>
      <c r="K47" s="48"/>
      <c r="L47" s="48"/>
      <c r="M47" s="48"/>
      <c r="N47" s="48"/>
      <c r="O47" s="48"/>
      <c r="P47" s="48"/>
      <c r="Q47" s="48"/>
      <c r="R47" s="48"/>
      <c r="S47" s="48"/>
      <c r="T47" s="48"/>
      <c r="U47" s="48"/>
      <c r="V47" s="48"/>
      <c r="W47" s="48"/>
      <c r="X47" s="48"/>
      <c r="Y47" s="48"/>
      <c r="Z47" s="48"/>
      <c r="AA47" s="48"/>
      <c r="AB47" s="48"/>
      <c r="AC47" s="48"/>
      <c r="AD47" s="48"/>
      <c r="AE47" s="48"/>
      <c r="AF47" s="198">
        <f t="shared" si="32"/>
        <v>88</v>
      </c>
      <c r="AG47" s="199" t="str">
        <f t="shared" si="32"/>
        <v>Apresentações orais</v>
      </c>
      <c r="AH47" s="215">
        <f>COUNTIFS(Respostas_Formatadas!$C:$C,AvalInst!$AG$39,Respostas_Formatadas!$CY:$CY,AvalInst!AH$40)</f>
        <v>0</v>
      </c>
      <c r="AI47" s="215">
        <f>COUNTIFS(Respostas_Formatadas!$C:$C,AvalInst!$AG$39,Respostas_Formatadas!$CY:$CY,AvalInst!AI$40)</f>
        <v>1</v>
      </c>
      <c r="AJ47" s="215">
        <f>COUNTIFS(Respostas_Formatadas!$C:$C,AvalInst!$AG$39,Respostas_Formatadas!$CY:$CY,AvalInst!AJ$40)</f>
        <v>6</v>
      </c>
      <c r="AK47" s="215">
        <f>COUNTIFS(Respostas_Formatadas!$C:$C,AvalInst!$AG$39,Respostas_Formatadas!$CY:$CY,AvalInst!AK$40)</f>
        <v>6</v>
      </c>
      <c r="AL47" s="215">
        <f>COUNTIFS(Respostas_Formatadas!$C:$C,AvalInst!$AG$39,Respostas_Formatadas!$CY:$CY,AvalInst!AL$40)</f>
        <v>6</v>
      </c>
      <c r="AM47" s="266">
        <f t="shared" si="34"/>
        <v>19</v>
      </c>
      <c r="AN47" s="211">
        <f t="shared" si="33"/>
        <v>3.8947368421052633</v>
      </c>
      <c r="AO47" s="48"/>
      <c r="AP47" s="48"/>
      <c r="AQ47" s="48"/>
      <c r="AR47" s="48"/>
      <c r="AS47" s="48"/>
      <c r="AT47" s="48"/>
      <c r="AU47" s="1"/>
      <c r="AV47" s="48"/>
      <c r="AW47" s="48"/>
      <c r="AX47" s="48"/>
      <c r="AY47" s="48"/>
      <c r="AZ47" s="48"/>
      <c r="BA47" s="48"/>
      <c r="BB47" s="48"/>
      <c r="BC47" s="48"/>
      <c r="BD47" s="48"/>
      <c r="BE47" s="48"/>
      <c r="BF47" s="60" t="str">
        <f t="shared" ref="BF47:BF52" si="36">BF9</f>
        <v>Sim</v>
      </c>
      <c r="BG47" s="52">
        <f>COUNTIFS(Respostas_Formatadas!$C:$C,AvalInst!$BF$45,Respostas_Formatadas!$DI:$DI,AvalInst!$BF47)</f>
        <v>17</v>
      </c>
      <c r="BH47" s="53">
        <f>BG47/$BG$52</f>
        <v>0.89473684210526316</v>
      </c>
      <c r="BI47" s="48"/>
      <c r="BJ47" s="48"/>
      <c r="BK47" s="48"/>
      <c r="BL47" s="48"/>
      <c r="BM47" s="48"/>
      <c r="BN47" s="48"/>
      <c r="BO47" s="48"/>
      <c r="BP47" s="48"/>
      <c r="BQ47" s="48"/>
      <c r="BR47" s="48"/>
      <c r="BS47" s="48"/>
      <c r="BT47" s="48"/>
      <c r="BU47" s="48"/>
      <c r="BV47" s="48"/>
      <c r="BW47" s="48"/>
      <c r="BX47" s="48"/>
      <c r="BY47" s="48"/>
      <c r="BZ47" s="48"/>
      <c r="CA47" s="48"/>
      <c r="CB47" s="48"/>
      <c r="CC47" s="48"/>
      <c r="CD47" s="48"/>
      <c r="CE47" s="48"/>
      <c r="CF47" s="48"/>
      <c r="CG47" s="48"/>
      <c r="CH47" s="48"/>
      <c r="CI47" s="48"/>
      <c r="CJ47" s="48"/>
      <c r="CK47" s="48"/>
      <c r="CL47" s="48"/>
      <c r="CM47" s="48"/>
      <c r="CN47" s="48"/>
      <c r="CO47" s="48"/>
      <c r="CP47" s="48"/>
      <c r="CQ47" s="48"/>
      <c r="CR47" s="48"/>
      <c r="CS47" s="48"/>
      <c r="CT47" s="48"/>
      <c r="CU47" s="48"/>
      <c r="CV47" s="48"/>
      <c r="CW47" s="48"/>
      <c r="CX47" s="48"/>
      <c r="CY47" s="48"/>
      <c r="CZ47" s="48"/>
      <c r="DA47" s="48"/>
      <c r="DB47" s="48"/>
      <c r="DC47" s="48"/>
      <c r="DD47" s="48"/>
      <c r="DE47"/>
      <c r="DF47" s="48"/>
      <c r="DG47" s="48"/>
      <c r="DH47" s="48"/>
      <c r="DI47" s="48"/>
    </row>
    <row r="48" spans="2:113" x14ac:dyDescent="0.2">
      <c r="B48" s="48"/>
      <c r="C48" s="144"/>
      <c r="D48" s="48"/>
      <c r="E48" s="48"/>
      <c r="F48" s="48"/>
      <c r="G48" s="48"/>
      <c r="H48" s="48"/>
      <c r="I48" s="48"/>
      <c r="J48" s="48"/>
      <c r="K48" s="48"/>
      <c r="L48" s="48"/>
      <c r="M48" s="48"/>
      <c r="N48" s="48"/>
      <c r="O48" s="48"/>
      <c r="P48" s="48"/>
      <c r="Q48" s="48"/>
      <c r="R48" s="48"/>
      <c r="S48" s="48"/>
      <c r="T48" s="48"/>
      <c r="U48" s="48"/>
      <c r="V48" s="48"/>
      <c r="W48" s="48"/>
      <c r="X48" s="48"/>
      <c r="Y48" s="48"/>
      <c r="Z48" s="48"/>
      <c r="AA48" s="48"/>
      <c r="AB48" s="48"/>
      <c r="AC48" s="48"/>
      <c r="AD48" s="48"/>
      <c r="AE48" s="48"/>
      <c r="AF48" s="81">
        <f t="shared" si="32"/>
        <v>89</v>
      </c>
      <c r="AG48" s="51" t="str">
        <f t="shared" si="32"/>
        <v>Professor como principal fonte de informação</v>
      </c>
      <c r="AH48" s="130">
        <f>COUNTIFS(Respostas_Formatadas!$C:$C,AvalInst!$AG$39,Respostas_Formatadas!$CZ:$CZ,AvalInst!AH$40)</f>
        <v>0</v>
      </c>
      <c r="AI48" s="130">
        <f>COUNTIFS(Respostas_Formatadas!$C:$C,AvalInst!$AG$39,Respostas_Formatadas!$CZ:$CZ,AvalInst!AI$40)</f>
        <v>1</v>
      </c>
      <c r="AJ48" s="130">
        <f>COUNTIFS(Respostas_Formatadas!$C:$C,AvalInst!$AG$39,Respostas_Formatadas!$CZ:$CZ,AvalInst!AJ$40)</f>
        <v>8</v>
      </c>
      <c r="AK48" s="130">
        <f>COUNTIFS(Respostas_Formatadas!$C:$C,AvalInst!$AG$39,Respostas_Formatadas!$CZ:$CZ,AvalInst!AK$40)</f>
        <v>6</v>
      </c>
      <c r="AL48" s="130">
        <f>COUNTIFS(Respostas_Formatadas!$C:$C,AvalInst!$AG$39,Respostas_Formatadas!$CZ:$CZ,AvalInst!AL$40)</f>
        <v>4</v>
      </c>
      <c r="AM48" s="229">
        <f t="shared" si="34"/>
        <v>19</v>
      </c>
      <c r="AN48" s="76">
        <f t="shared" si="33"/>
        <v>3.6842105263157894</v>
      </c>
      <c r="AO48" s="48"/>
      <c r="AP48" s="48"/>
      <c r="AQ48" s="48"/>
      <c r="AR48" s="48"/>
      <c r="AS48" s="48"/>
      <c r="AT48" s="48"/>
      <c r="AU48" s="1"/>
      <c r="AV48" s="48"/>
      <c r="AW48" s="48"/>
      <c r="AX48" s="48"/>
      <c r="AY48" s="48"/>
      <c r="AZ48" s="48"/>
      <c r="BA48" s="48"/>
      <c r="BB48" s="48"/>
      <c r="BC48" s="48"/>
      <c r="BD48" s="48"/>
      <c r="BE48" s="48"/>
      <c r="BF48" s="60" t="str">
        <f t="shared" si="36"/>
        <v>Não, eu faria um CURSO DIFERENTE na MESMA INSTITUIÇÃO</v>
      </c>
      <c r="BG48" s="52">
        <f>COUNTIFS(Respostas_Formatadas!$C:$C,AvalInst!$BF$45,Respostas_Formatadas!$DI:$DI,AvalInst!$BF48)</f>
        <v>0</v>
      </c>
      <c r="BH48" s="53">
        <f>BG48/$BG$52</f>
        <v>0</v>
      </c>
      <c r="BI48" s="48"/>
      <c r="BJ48" s="48"/>
      <c r="BK48" s="48"/>
      <c r="BL48" s="48"/>
      <c r="BM48" s="48"/>
      <c r="BN48" s="48"/>
      <c r="BO48" s="48"/>
      <c r="BP48" s="48"/>
      <c r="BQ48" s="48"/>
      <c r="BR48" s="48"/>
      <c r="BS48" s="48"/>
      <c r="BT48" s="48"/>
      <c r="BU48" s="48"/>
      <c r="BV48" s="48"/>
      <c r="BW48" s="48"/>
      <c r="BX48" s="48"/>
      <c r="BY48" s="48"/>
      <c r="BZ48" s="48"/>
      <c r="CA48" s="48"/>
      <c r="CB48" s="48"/>
      <c r="CC48" s="48"/>
      <c r="CD48" s="48"/>
      <c r="CE48" s="48"/>
      <c r="CF48" s="48"/>
      <c r="CG48" s="48"/>
      <c r="CH48" s="48"/>
      <c r="CI48" s="48"/>
      <c r="CJ48" s="48"/>
      <c r="CK48" s="48"/>
      <c r="CL48" s="48"/>
      <c r="CM48" s="48"/>
      <c r="CN48" s="48"/>
      <c r="CO48" s="48"/>
      <c r="CP48" s="48"/>
      <c r="CQ48" s="48"/>
      <c r="CR48" s="48"/>
      <c r="CS48" s="48"/>
      <c r="CT48" s="48"/>
      <c r="CU48" s="48"/>
      <c r="CV48" s="48"/>
      <c r="CW48" s="48"/>
      <c r="CX48" s="48"/>
      <c r="CY48" s="48"/>
      <c r="CZ48" s="48"/>
      <c r="DA48" s="48"/>
      <c r="DB48" s="48"/>
      <c r="DC48" s="48"/>
      <c r="DD48" s="48"/>
      <c r="DE48"/>
      <c r="DF48" s="48"/>
      <c r="DG48" s="156" t="s">
        <v>1210</v>
      </c>
      <c r="DH48" s="48"/>
      <c r="DI48" s="48"/>
    </row>
    <row r="49" spans="2:113" x14ac:dyDescent="0.2">
      <c r="B49" s="48"/>
      <c r="C49" s="144"/>
      <c r="D49" s="48"/>
      <c r="E49" s="48"/>
      <c r="F49" s="48"/>
      <c r="G49" s="48"/>
      <c r="H49" s="48"/>
      <c r="I49" s="48"/>
      <c r="J49" s="48"/>
      <c r="K49" s="48"/>
      <c r="L49" s="48"/>
      <c r="M49" s="48"/>
      <c r="N49" s="48"/>
      <c r="O49" s="48"/>
      <c r="P49" s="48"/>
      <c r="Q49" s="48"/>
      <c r="R49" s="48"/>
      <c r="S49" s="48"/>
      <c r="T49" s="48"/>
      <c r="U49" s="48"/>
      <c r="V49" s="48"/>
      <c r="W49" s="48"/>
      <c r="X49" s="48"/>
      <c r="Y49" s="48"/>
      <c r="Z49" s="48"/>
      <c r="AA49" s="48"/>
      <c r="AB49" s="48"/>
      <c r="AC49" s="48"/>
      <c r="AD49" s="48"/>
      <c r="AE49" s="48"/>
      <c r="AF49" s="198">
        <f t="shared" si="32"/>
        <v>90</v>
      </c>
      <c r="AG49" s="199" t="str">
        <f t="shared" si="32"/>
        <v>Aplicativos ou informações da internet durante as aulas</v>
      </c>
      <c r="AH49" s="215">
        <f>COUNTIFS(Respostas_Formatadas!$C:$C,AvalInst!$AG$39,Respostas_Formatadas!$DA:$DA,AvalInst!AH$40)</f>
        <v>1</v>
      </c>
      <c r="AI49" s="215">
        <f>COUNTIFS(Respostas_Formatadas!$C:$C,AvalInst!$AG$39,Respostas_Formatadas!$DA:$DA,AvalInst!AI$40)</f>
        <v>5</v>
      </c>
      <c r="AJ49" s="215">
        <f>COUNTIFS(Respostas_Formatadas!$C:$C,AvalInst!$AG$39,Respostas_Formatadas!$DA:$DA,AvalInst!AJ$40)</f>
        <v>2</v>
      </c>
      <c r="AK49" s="215">
        <f>COUNTIFS(Respostas_Formatadas!$C:$C,AvalInst!$AG$39,Respostas_Formatadas!$DA:$DA,AvalInst!AK$40)</f>
        <v>8</v>
      </c>
      <c r="AL49" s="215">
        <f>COUNTIFS(Respostas_Formatadas!$C:$C,AvalInst!$AG$39,Respostas_Formatadas!$DA:$DA,AvalInst!AL$40)</f>
        <v>3</v>
      </c>
      <c r="AM49" s="266">
        <f t="shared" si="34"/>
        <v>19</v>
      </c>
      <c r="AN49" s="211">
        <f t="shared" si="33"/>
        <v>3.3684210526315788</v>
      </c>
      <c r="AO49" s="48"/>
      <c r="AP49" s="48"/>
      <c r="AQ49" s="48"/>
      <c r="AR49" s="48"/>
      <c r="AS49" s="48"/>
      <c r="AT49" s="48"/>
      <c r="AU49" s="1"/>
      <c r="AV49" s="48"/>
      <c r="AW49" s="48"/>
      <c r="AX49" s="48"/>
      <c r="AY49" s="48"/>
      <c r="AZ49" s="48"/>
      <c r="BA49" s="48"/>
      <c r="BB49" s="48"/>
      <c r="BC49" s="48"/>
      <c r="BD49" s="48"/>
      <c r="BE49" s="48"/>
      <c r="BF49" s="60" t="str">
        <f t="shared" si="36"/>
        <v>Não, eu faria o MESMO CURSO mas em OUTRA INSTITUIÇÃO</v>
      </c>
      <c r="BG49" s="52">
        <f>COUNTIFS(Respostas_Formatadas!$C:$C,AvalInst!$BF$45,Respostas_Formatadas!$DI:$DI,AvalInst!$BF49)</f>
        <v>1</v>
      </c>
      <c r="BH49" s="53">
        <f>BG49/$BG$52</f>
        <v>5.2631578947368418E-2</v>
      </c>
      <c r="BI49" s="48"/>
      <c r="BJ49" s="48"/>
      <c r="BK49" s="48"/>
      <c r="BL49" s="48"/>
      <c r="BM49" s="48"/>
      <c r="BN49" s="48"/>
      <c r="BO49" s="48"/>
      <c r="BP49" s="48"/>
      <c r="BQ49" s="48"/>
      <c r="BR49" s="48"/>
      <c r="BS49" s="48"/>
      <c r="BT49" s="48"/>
      <c r="BU49" s="48"/>
      <c r="BV49" s="48"/>
      <c r="BW49" s="48"/>
      <c r="BX49" s="48"/>
      <c r="BY49" s="48"/>
      <c r="BZ49" s="48"/>
      <c r="CA49" s="48"/>
      <c r="CB49" s="48"/>
      <c r="CC49" s="48"/>
      <c r="CD49" s="48"/>
      <c r="CE49" s="48"/>
      <c r="CF49" s="48"/>
      <c r="CG49" s="48"/>
      <c r="CH49" s="48"/>
      <c r="CI49" s="48"/>
      <c r="CJ49" s="48"/>
      <c r="CK49" s="48"/>
      <c r="CL49" s="48"/>
      <c r="CM49" s="48"/>
      <c r="CN49" s="48"/>
      <c r="CO49" s="48"/>
      <c r="CP49" s="48"/>
      <c r="CQ49" s="48"/>
      <c r="CR49" s="48"/>
      <c r="CS49" s="48"/>
      <c r="CT49" s="48"/>
      <c r="CU49" s="48"/>
      <c r="CV49" s="48"/>
      <c r="CW49" s="48"/>
      <c r="CX49" s="48"/>
      <c r="CY49" s="48"/>
      <c r="CZ49" s="48"/>
      <c r="DA49" s="48"/>
      <c r="DB49" s="48"/>
      <c r="DC49" s="48"/>
      <c r="DD49" s="48"/>
      <c r="DE49"/>
      <c r="DF49" s="48"/>
      <c r="DG49" s="48"/>
      <c r="DH49" s="48"/>
      <c r="DI49" s="48"/>
    </row>
    <row r="50" spans="2:113" x14ac:dyDescent="0.2">
      <c r="B50" s="48"/>
      <c r="C50" s="144"/>
      <c r="D50" s="48"/>
      <c r="E50" s="48"/>
      <c r="F50" s="48"/>
      <c r="G50" s="48"/>
      <c r="H50" s="48"/>
      <c r="I50" s="48"/>
      <c r="J50" s="48"/>
      <c r="K50" s="48"/>
      <c r="L50" s="48"/>
      <c r="M50" s="48"/>
      <c r="N50" s="48"/>
      <c r="O50" s="48"/>
      <c r="P50" s="48"/>
      <c r="Q50" s="48"/>
      <c r="R50" s="48"/>
      <c r="S50" s="48"/>
      <c r="T50" s="48"/>
      <c r="U50" s="48"/>
      <c r="V50" s="48"/>
      <c r="W50" s="48"/>
      <c r="X50" s="48"/>
      <c r="Y50" s="48"/>
      <c r="Z50" s="48"/>
      <c r="AA50" s="48"/>
      <c r="AB50" s="48"/>
      <c r="AC50" s="48"/>
      <c r="AD50" s="48"/>
      <c r="AE50" s="48"/>
      <c r="AF50" s="81">
        <f t="shared" si="32"/>
        <v>91</v>
      </c>
      <c r="AG50" s="51" t="str">
        <f t="shared" si="32"/>
        <v>Confecção de artigos científicos</v>
      </c>
      <c r="AH50" s="130">
        <f>COUNTIFS(Respostas_Formatadas!$C:$C,AvalInst!$AG$39,Respostas_Formatadas!$DB:$DB,AvalInst!AH$40)</f>
        <v>4</v>
      </c>
      <c r="AI50" s="130">
        <f>COUNTIFS(Respostas_Formatadas!$C:$C,AvalInst!$AG$39,Respostas_Formatadas!$DB:$DB,AvalInst!AI$40)</f>
        <v>6</v>
      </c>
      <c r="AJ50" s="130">
        <f>COUNTIFS(Respostas_Formatadas!$C:$C,AvalInst!$AG$39,Respostas_Formatadas!$DB:$DB,AvalInst!AJ$40)</f>
        <v>6</v>
      </c>
      <c r="AK50" s="130">
        <f>COUNTIFS(Respostas_Formatadas!$C:$C,AvalInst!$AG$39,Respostas_Formatadas!$DB:$DB,AvalInst!AK$40)</f>
        <v>2</v>
      </c>
      <c r="AL50" s="130">
        <f>COUNTIFS(Respostas_Formatadas!$C:$C,AvalInst!$AG$39,Respostas_Formatadas!$DB:$DB,AvalInst!AL$40)</f>
        <v>1</v>
      </c>
      <c r="AM50" s="229">
        <f t="shared" si="34"/>
        <v>19</v>
      </c>
      <c r="AN50" s="76">
        <f t="shared" si="33"/>
        <v>2.4736842105263159</v>
      </c>
      <c r="AO50" s="48"/>
      <c r="AP50" s="48"/>
      <c r="AQ50" s="48"/>
      <c r="AR50" s="48"/>
      <c r="AS50" s="48"/>
      <c r="AT50" s="48"/>
      <c r="AU50" s="1"/>
      <c r="AV50" s="48"/>
      <c r="AW50" s="48"/>
      <c r="AX50" s="48"/>
      <c r="AY50" s="48"/>
      <c r="AZ50" s="48"/>
      <c r="BA50" s="48"/>
      <c r="BB50" s="48"/>
      <c r="BC50" s="48"/>
      <c r="BD50" s="48"/>
      <c r="BE50" s="48"/>
      <c r="BF50" s="60" t="str">
        <f t="shared" si="36"/>
        <v>Não, eu faria um CURSO DIFERENTE em OUTRA INSTITUIÇÃO</v>
      </c>
      <c r="BG50" s="52">
        <f>COUNTIFS(Respostas_Formatadas!$C:$C,AvalInst!$BF$45,Respostas_Formatadas!$DI:$DI,AvalInst!$BF50)</f>
        <v>1</v>
      </c>
      <c r="BH50" s="53">
        <f>BG50/$BG$52</f>
        <v>5.2631578947368418E-2</v>
      </c>
      <c r="BI50" s="48"/>
      <c r="BJ50" s="48"/>
      <c r="BK50" s="48"/>
      <c r="BL50" s="48"/>
      <c r="BM50" s="48"/>
      <c r="BN50" s="48"/>
      <c r="BO50" s="48"/>
      <c r="BP50" s="48"/>
      <c r="BQ50" s="48"/>
      <c r="BR50" s="48"/>
      <c r="BS50" s="48"/>
      <c r="BT50" s="48"/>
      <c r="BU50" s="48"/>
      <c r="BV50" s="48"/>
      <c r="BW50" s="48"/>
      <c r="BX50" s="48"/>
      <c r="BY50" s="48"/>
      <c r="BZ50" s="48"/>
      <c r="CA50" s="48"/>
      <c r="CB50" s="48"/>
      <c r="CC50" s="48"/>
      <c r="CD50" s="48"/>
      <c r="CE50" s="48"/>
      <c r="CF50" s="48"/>
      <c r="CG50" s="48"/>
      <c r="CH50" s="48"/>
      <c r="CI50" s="48"/>
      <c r="CJ50" s="48"/>
      <c r="CK50" s="48"/>
      <c r="CL50" s="48"/>
      <c r="CM50" s="48"/>
      <c r="CN50" s="48"/>
      <c r="CO50" s="48"/>
      <c r="CP50" s="48"/>
      <c r="CQ50" s="48"/>
      <c r="CR50" s="48"/>
      <c r="CS50" s="48"/>
      <c r="CT50" s="48"/>
      <c r="CU50" s="48"/>
      <c r="CV50" s="48"/>
      <c r="CW50" s="48"/>
      <c r="CX50" s="48"/>
      <c r="CY50" s="48"/>
      <c r="CZ50" s="48"/>
      <c r="DA50" s="48"/>
      <c r="DB50" s="48"/>
      <c r="DC50" s="48"/>
      <c r="DD50" s="48"/>
      <c r="DE50"/>
      <c r="DF50" s="341" t="s">
        <v>1159</v>
      </c>
      <c r="DG50" s="261" t="s">
        <v>248</v>
      </c>
      <c r="DH50" s="48"/>
      <c r="DI50" s="48"/>
    </row>
    <row r="51" spans="2:113" x14ac:dyDescent="0.2">
      <c r="B51" s="48"/>
      <c r="C51" s="144"/>
      <c r="D51" s="48"/>
      <c r="E51" s="48"/>
      <c r="F51" s="48"/>
      <c r="G51" s="48"/>
      <c r="H51" s="48"/>
      <c r="I51" s="48"/>
      <c r="J51" s="48"/>
      <c r="K51" s="48"/>
      <c r="L51" s="48"/>
      <c r="M51" s="48"/>
      <c r="N51" s="48"/>
      <c r="O51" s="48"/>
      <c r="P51" s="48"/>
      <c r="Q51" s="48"/>
      <c r="R51" s="48"/>
      <c r="S51" s="48"/>
      <c r="T51" s="48"/>
      <c r="U51" s="48"/>
      <c r="V51" s="48"/>
      <c r="W51" s="48"/>
      <c r="X51" s="48"/>
      <c r="Y51" s="48"/>
      <c r="Z51" s="48"/>
      <c r="AA51" s="48"/>
      <c r="AB51" s="48"/>
      <c r="AC51" s="48"/>
      <c r="AD51" s="48"/>
      <c r="AE51" s="48"/>
      <c r="AF51" s="198">
        <f t="shared" si="32"/>
        <v>92</v>
      </c>
      <c r="AG51" s="199" t="str">
        <f t="shared" si="32"/>
        <v>Provas de múltipla escolha</v>
      </c>
      <c r="AH51" s="215">
        <f>COUNTIFS(Respostas_Formatadas!$C:$C,AvalInst!$AG$39,Respostas_Formatadas!$DC:$DC,AvalInst!AH$40)</f>
        <v>0</v>
      </c>
      <c r="AI51" s="215">
        <f>COUNTIFS(Respostas_Formatadas!$C:$C,AvalInst!$AG$39,Respostas_Formatadas!$DC:$DC,AvalInst!AI$40)</f>
        <v>1</v>
      </c>
      <c r="AJ51" s="215">
        <f>COUNTIFS(Respostas_Formatadas!$C:$C,AvalInst!$AG$39,Respostas_Formatadas!$DC:$DC,AvalInst!AJ$40)</f>
        <v>7</v>
      </c>
      <c r="AK51" s="215">
        <f>COUNTIFS(Respostas_Formatadas!$C:$C,AvalInst!$AG$39,Respostas_Formatadas!$DC:$DC,AvalInst!AK$40)</f>
        <v>9</v>
      </c>
      <c r="AL51" s="215">
        <f>COUNTIFS(Respostas_Formatadas!$C:$C,AvalInst!$AG$39,Respostas_Formatadas!$DC:$DC,AvalInst!AL$40)</f>
        <v>2</v>
      </c>
      <c r="AM51" s="266">
        <f t="shared" si="34"/>
        <v>19</v>
      </c>
      <c r="AN51" s="211">
        <f t="shared" si="33"/>
        <v>3.6315789473684212</v>
      </c>
      <c r="AO51" s="48"/>
      <c r="AP51" s="48"/>
      <c r="AQ51" s="48"/>
      <c r="AR51" s="48"/>
      <c r="AS51" s="48"/>
      <c r="AT51" s="48"/>
      <c r="AU51" s="1"/>
      <c r="AV51" s="48"/>
      <c r="AW51" s="48"/>
      <c r="AX51" s="48"/>
      <c r="AY51" s="48"/>
      <c r="AZ51" s="48"/>
      <c r="BA51" s="48"/>
      <c r="BB51" s="48"/>
      <c r="BC51" s="48"/>
      <c r="BD51" s="48"/>
      <c r="BE51" s="48"/>
      <c r="BF51" s="60" t="str">
        <f t="shared" si="36"/>
        <v>Eu decidiria não cursar uma graduação</v>
      </c>
      <c r="BG51" s="52">
        <f>COUNTIFS(Respostas_Formatadas!$C:$C,AvalInst!$BF$45,Respostas_Formatadas!$DI:$DI,AvalInst!$BF51)</f>
        <v>0</v>
      </c>
      <c r="BH51" s="53">
        <f>BG51/$BG$52</f>
        <v>0</v>
      </c>
      <c r="BI51" s="48"/>
      <c r="BJ51" s="48"/>
      <c r="BK51" s="48"/>
      <c r="BL51" s="48"/>
      <c r="BM51" s="48"/>
      <c r="BN51" s="48"/>
      <c r="BO51" s="48"/>
      <c r="BP51" s="48"/>
      <c r="BQ51" s="48"/>
      <c r="BR51" s="48"/>
      <c r="BS51" s="48"/>
      <c r="BT51" s="48"/>
      <c r="BU51" s="48"/>
      <c r="BV51" s="48"/>
      <c r="BW51" s="48"/>
      <c r="BX51" s="48"/>
      <c r="BY51" s="48"/>
      <c r="BZ51" s="48"/>
      <c r="CA51" s="48"/>
      <c r="CB51" s="48"/>
      <c r="CC51" s="48"/>
      <c r="CD51" s="48"/>
      <c r="CE51" s="48"/>
      <c r="CF51" s="48"/>
      <c r="CG51" s="48"/>
      <c r="CH51" s="48"/>
      <c r="CI51" s="48"/>
      <c r="CJ51" s="48"/>
      <c r="CK51" s="48"/>
      <c r="CL51" s="48"/>
      <c r="CM51" s="48"/>
      <c r="CN51" s="48"/>
      <c r="CO51" s="48"/>
      <c r="CP51" s="48"/>
      <c r="CQ51" s="48"/>
      <c r="CR51" s="48"/>
      <c r="CS51" s="48"/>
      <c r="CT51" s="48"/>
      <c r="CU51" s="48"/>
      <c r="CV51" s="48"/>
      <c r="CW51" s="48"/>
      <c r="CX51" s="48"/>
      <c r="CY51" s="48"/>
      <c r="CZ51" s="48"/>
      <c r="DA51" s="48"/>
      <c r="DB51" s="48"/>
      <c r="DC51" s="48"/>
      <c r="DD51" s="48"/>
      <c r="DE51"/>
      <c r="DF51" s="48"/>
      <c r="DG51" s="218" t="str">
        <f>AB8</f>
        <v>Situação no último ano da graduação</v>
      </c>
      <c r="DH51" s="219" t="s">
        <v>131</v>
      </c>
      <c r="DI51" s="48"/>
    </row>
    <row r="52" spans="2:113" x14ac:dyDescent="0.2">
      <c r="B52" s="48"/>
      <c r="C52" s="144"/>
      <c r="D52" s="48"/>
      <c r="E52" s="48"/>
      <c r="F52" s="48"/>
      <c r="G52" s="48"/>
      <c r="H52" s="48"/>
      <c r="I52" s="48"/>
      <c r="J52" s="48"/>
      <c r="K52" s="48"/>
      <c r="L52" s="48"/>
      <c r="M52" s="48"/>
      <c r="N52" s="48"/>
      <c r="O52" s="48"/>
      <c r="P52" s="48"/>
      <c r="Q52" s="48"/>
      <c r="R52" s="48"/>
      <c r="S52" s="48"/>
      <c r="T52" s="48"/>
      <c r="U52" s="48"/>
      <c r="V52" s="48"/>
      <c r="W52" s="48"/>
      <c r="X52" s="48"/>
      <c r="Y52" s="48"/>
      <c r="Z52" s="48"/>
      <c r="AA52" s="48"/>
      <c r="AB52" s="48"/>
      <c r="AC52" s="48"/>
      <c r="AD52" s="48"/>
      <c r="AE52" s="48"/>
      <c r="AF52" s="48"/>
      <c r="AG52" s="48"/>
      <c r="AH52" s="48"/>
      <c r="AI52" s="48"/>
      <c r="AJ52" s="48"/>
      <c r="AK52" s="48"/>
      <c r="AL52" s="48"/>
      <c r="AM52" s="48"/>
      <c r="AN52" s="48"/>
      <c r="AO52" s="48"/>
      <c r="AP52" s="48"/>
      <c r="AQ52" s="48"/>
      <c r="AR52" s="48"/>
      <c r="AS52" s="48"/>
      <c r="AT52" s="48"/>
      <c r="AU52" s="1"/>
      <c r="AV52" s="48"/>
      <c r="AW52" s="48"/>
      <c r="AX52" s="48"/>
      <c r="AY52" s="48"/>
      <c r="AZ52" s="48"/>
      <c r="BA52" s="48"/>
      <c r="BB52" s="48"/>
      <c r="BC52" s="48"/>
      <c r="BD52" s="48"/>
      <c r="BE52" s="48"/>
      <c r="BF52" s="191" t="str">
        <f t="shared" si="36"/>
        <v>Total</v>
      </c>
      <c r="BG52" s="192">
        <f>SUM(BG47:BG51)</f>
        <v>19</v>
      </c>
      <c r="BH52" s="193">
        <f>SUM(BH47:BH51)</f>
        <v>1</v>
      </c>
      <c r="BI52" s="48"/>
      <c r="BJ52" s="48"/>
      <c r="BK52" s="48"/>
      <c r="BL52" s="48"/>
      <c r="BM52" s="48"/>
      <c r="BN52" s="48"/>
      <c r="BO52" s="48"/>
      <c r="BP52" s="48"/>
      <c r="BQ52" s="48"/>
      <c r="BR52" s="48"/>
      <c r="BS52" s="48"/>
      <c r="BT52" s="48"/>
      <c r="BU52" s="48"/>
      <c r="BV52" s="48"/>
      <c r="BW52" s="48"/>
      <c r="BX52" s="48"/>
      <c r="BY52" s="48"/>
      <c r="BZ52" s="48"/>
      <c r="CA52" s="48"/>
      <c r="CB52" s="48"/>
      <c r="CC52" s="48"/>
      <c r="CD52" s="48"/>
      <c r="CE52" s="48"/>
      <c r="CF52" s="48"/>
      <c r="CG52" s="48"/>
      <c r="CH52" s="48"/>
      <c r="CI52" s="48"/>
      <c r="CJ52" s="48"/>
      <c r="CK52" s="48"/>
      <c r="CL52" s="48"/>
      <c r="CM52" s="48"/>
      <c r="CN52" s="48"/>
      <c r="CO52" s="48"/>
      <c r="CP52" s="48"/>
      <c r="CQ52" s="48"/>
      <c r="CR52" s="48"/>
      <c r="CS52" s="48"/>
      <c r="CT52" s="48"/>
      <c r="CU52" s="48"/>
      <c r="CV52" s="48"/>
      <c r="CW52" s="48"/>
      <c r="CX52" s="48"/>
      <c r="CY52" s="48"/>
      <c r="CZ52" s="48"/>
      <c r="DA52" s="48"/>
      <c r="DB52" s="48"/>
      <c r="DC52" s="48"/>
      <c r="DD52" s="48"/>
      <c r="DE52"/>
      <c r="DF52" s="48"/>
      <c r="DG52" s="60" t="s">
        <v>160</v>
      </c>
      <c r="DH52" s="72">
        <f>IFERROR(AVERAGEIF(Respostas_Formatadas!$CR:$CR,AvalInst!$DG$50,Respostas_Formatadas!$FF:$FF),"-")</f>
        <v>7.5615844311377227</v>
      </c>
      <c r="DI52" s="48"/>
    </row>
    <row r="53" spans="2:113" x14ac:dyDescent="0.2">
      <c r="B53" s="48"/>
      <c r="C53" s="144"/>
      <c r="D53" s="48"/>
      <c r="E53" s="48"/>
      <c r="F53" s="48"/>
      <c r="G53" s="48"/>
      <c r="H53" s="48"/>
      <c r="I53" s="48"/>
      <c r="J53" s="48"/>
      <c r="K53" s="48"/>
      <c r="L53" s="48"/>
      <c r="M53" s="48"/>
      <c r="N53" s="48"/>
      <c r="O53" s="48"/>
      <c r="P53" s="48"/>
      <c r="Q53" s="48"/>
      <c r="R53" s="48"/>
      <c r="S53" s="48"/>
      <c r="T53" s="48"/>
      <c r="U53" s="48"/>
      <c r="V53" s="48"/>
      <c r="W53" s="48"/>
      <c r="X53" s="48"/>
      <c r="Y53" s="48"/>
      <c r="Z53" s="48"/>
      <c r="AA53" s="48"/>
      <c r="AB53" s="48"/>
      <c r="AC53" s="48"/>
      <c r="AD53" s="48"/>
      <c r="AE53" s="48"/>
      <c r="AF53" s="48"/>
      <c r="AG53" s="48"/>
      <c r="AH53" s="48"/>
      <c r="AI53" s="48"/>
      <c r="AJ53" s="48"/>
      <c r="AK53" s="48"/>
      <c r="AL53" s="48"/>
      <c r="AM53" s="48"/>
      <c r="AN53" s="48"/>
      <c r="AO53" s="48"/>
      <c r="AP53" s="48"/>
      <c r="AQ53" s="48"/>
      <c r="AR53" s="48"/>
      <c r="AS53" s="48"/>
      <c r="AT53" s="48"/>
      <c r="AU53" s="1"/>
      <c r="AV53" s="48"/>
      <c r="AW53" s="48"/>
      <c r="AX53" s="48"/>
      <c r="AY53" s="48"/>
      <c r="AZ53" s="48"/>
      <c r="BA53" s="48"/>
      <c r="BB53" s="48"/>
      <c r="BC53" s="48"/>
      <c r="BD53" s="48"/>
      <c r="BE53" s="48"/>
      <c r="BF53" s="48"/>
      <c r="BG53" s="48"/>
      <c r="BH53" s="48"/>
      <c r="BI53" s="48"/>
      <c r="BJ53" s="48"/>
      <c r="BK53" s="48"/>
      <c r="BL53" s="48"/>
      <c r="BM53" s="48"/>
      <c r="BN53" s="48"/>
      <c r="BO53" s="48"/>
      <c r="BP53" s="48"/>
      <c r="BQ53" s="48"/>
      <c r="BR53" s="48"/>
      <c r="BS53" s="48"/>
      <c r="BT53" s="48"/>
      <c r="BU53" s="48"/>
      <c r="BV53" s="48"/>
      <c r="BW53" s="48"/>
      <c r="BX53" s="48"/>
      <c r="BY53" s="48"/>
      <c r="BZ53" s="48"/>
      <c r="CA53" s="48"/>
      <c r="CB53" s="48"/>
      <c r="CC53" s="48"/>
      <c r="CD53" s="48"/>
      <c r="CE53" s="48"/>
      <c r="CF53" s="48"/>
      <c r="CG53" s="48"/>
      <c r="CH53" s="48"/>
      <c r="CI53" s="48"/>
      <c r="CJ53" s="48"/>
      <c r="CK53" s="48"/>
      <c r="CL53" s="48"/>
      <c r="CM53" s="48"/>
      <c r="CN53" s="48"/>
      <c r="CO53" s="48"/>
      <c r="CP53" s="48"/>
      <c r="CQ53" s="48"/>
      <c r="CR53" s="48"/>
      <c r="CS53" s="48"/>
      <c r="CT53" s="48"/>
      <c r="CU53" s="48"/>
      <c r="CV53" s="48"/>
      <c r="CW53" s="48"/>
      <c r="CX53" s="48"/>
      <c r="CY53" s="48"/>
      <c r="CZ53" s="48"/>
      <c r="DA53" s="48"/>
      <c r="DB53" s="48"/>
      <c r="DC53" s="48"/>
      <c r="DD53" s="48"/>
      <c r="DE53"/>
      <c r="DF53" s="48"/>
      <c r="DG53" s="48"/>
      <c r="DH53" s="48"/>
      <c r="DI53" s="48"/>
    </row>
    <row r="54" spans="2:113" x14ac:dyDescent="0.2">
      <c r="B54" s="48"/>
      <c r="C54" s="144"/>
      <c r="D54" s="48"/>
      <c r="E54" s="48"/>
      <c r="F54" s="48"/>
      <c r="G54" s="48"/>
      <c r="H54" s="48"/>
      <c r="I54" s="48"/>
      <c r="J54" s="48"/>
      <c r="K54" s="48"/>
      <c r="L54" s="48"/>
      <c r="M54" s="48"/>
      <c r="N54" s="48"/>
      <c r="O54" s="48"/>
      <c r="P54" s="48"/>
      <c r="Q54" s="48"/>
      <c r="R54" s="48"/>
      <c r="S54" s="48"/>
      <c r="T54" s="48"/>
      <c r="U54" s="48"/>
      <c r="V54" s="48"/>
      <c r="W54" s="48"/>
      <c r="X54" s="48"/>
      <c r="Y54" s="48"/>
      <c r="Z54" s="48"/>
      <c r="AA54" s="48"/>
      <c r="AB54" s="48"/>
      <c r="AC54" s="48"/>
      <c r="AD54" s="48"/>
      <c r="AE54" s="48"/>
      <c r="AF54" s="48"/>
      <c r="AG54" s="48"/>
      <c r="AH54" s="1"/>
      <c r="AI54" s="48"/>
      <c r="AJ54" s="48"/>
      <c r="AK54" s="48"/>
      <c r="AL54" s="48"/>
      <c r="AM54" s="48"/>
      <c r="AN54" s="48"/>
      <c r="AO54" s="48"/>
      <c r="AP54" s="48"/>
      <c r="AQ54" s="48"/>
      <c r="AR54" s="48"/>
      <c r="AS54" s="48"/>
      <c r="AT54" s="48"/>
      <c r="AU54" s="48"/>
      <c r="AV54" s="48"/>
      <c r="AW54" s="48"/>
      <c r="AX54" s="48"/>
      <c r="AY54" s="48"/>
      <c r="AZ54" s="48"/>
      <c r="BA54" s="48"/>
      <c r="BB54" s="48"/>
      <c r="BC54" s="48"/>
      <c r="BD54" s="48"/>
      <c r="BE54" s="48"/>
      <c r="BF54" s="48"/>
      <c r="BG54" s="48"/>
      <c r="BH54" s="48"/>
      <c r="BI54" s="48"/>
      <c r="BJ54" s="48"/>
      <c r="BK54" s="48"/>
      <c r="BL54" s="48"/>
      <c r="BM54" s="48"/>
      <c r="BN54" s="48"/>
      <c r="BO54" s="48"/>
      <c r="BP54" s="48"/>
      <c r="BQ54" s="48"/>
      <c r="BR54" s="48"/>
      <c r="BS54" s="48"/>
      <c r="BT54" s="48"/>
      <c r="BU54" s="48"/>
      <c r="BV54" s="48"/>
      <c r="BW54" s="48"/>
      <c r="BX54" s="48"/>
      <c r="BY54" s="48"/>
      <c r="BZ54" s="48"/>
      <c r="CA54" s="48"/>
      <c r="CB54" s="48"/>
      <c r="CC54" s="48"/>
      <c r="CD54" s="48"/>
      <c r="CE54" s="48"/>
      <c r="CF54" s="48"/>
      <c r="CG54" s="48"/>
      <c r="CH54" s="48"/>
      <c r="CI54" s="48"/>
      <c r="CJ54" s="48"/>
      <c r="CK54" s="48"/>
      <c r="CL54" s="48"/>
      <c r="CM54" s="48"/>
      <c r="CN54" s="48"/>
      <c r="CO54" s="48"/>
      <c r="CP54" s="48"/>
      <c r="CQ54" s="48"/>
      <c r="CR54" s="48"/>
      <c r="CS54" s="48"/>
      <c r="CT54" s="48"/>
      <c r="CU54" s="48"/>
      <c r="CV54" s="48"/>
      <c r="CW54" s="48"/>
      <c r="CX54" s="48"/>
      <c r="CY54" s="48"/>
      <c r="CZ54" s="48"/>
      <c r="DA54" s="48"/>
      <c r="DB54" s="48"/>
      <c r="DC54" s="48"/>
      <c r="DD54" s="48"/>
      <c r="DE54"/>
      <c r="DF54" s="48"/>
      <c r="DG54" s="48"/>
      <c r="DH54" s="48"/>
      <c r="DI54" s="48"/>
    </row>
    <row r="55" spans="2:113" x14ac:dyDescent="0.2">
      <c r="B55" s="48"/>
      <c r="C55" s="144"/>
      <c r="D55" s="48"/>
      <c r="E55" s="48"/>
      <c r="F55" s="48"/>
      <c r="G55" s="48"/>
      <c r="H55" s="48"/>
      <c r="I55" s="48"/>
      <c r="J55" s="48"/>
      <c r="K55" s="48"/>
      <c r="L55" s="48"/>
      <c r="M55" s="48"/>
      <c r="N55" s="48"/>
      <c r="O55" s="48"/>
      <c r="P55" s="48"/>
      <c r="Q55" s="48"/>
      <c r="R55" s="48"/>
      <c r="S55" s="48"/>
      <c r="T55" s="48"/>
      <c r="U55" s="48"/>
      <c r="V55" s="48"/>
      <c r="W55" s="48"/>
      <c r="X55" s="48"/>
      <c r="Y55" s="48"/>
      <c r="Z55" s="48"/>
      <c r="AA55" s="48"/>
      <c r="AB55" s="48"/>
      <c r="AC55" s="48"/>
      <c r="AD55" s="48"/>
      <c r="AE55" s="48"/>
      <c r="AF55" s="48"/>
      <c r="AG55" s="48"/>
      <c r="AH55" s="1"/>
      <c r="AI55" s="48"/>
      <c r="AJ55" s="48"/>
      <c r="AK55" s="48"/>
      <c r="AL55" s="48"/>
      <c r="AM55" s="48"/>
      <c r="AN55" s="84"/>
      <c r="AO55" s="48"/>
      <c r="AP55" s="48"/>
      <c r="AQ55" s="48"/>
      <c r="AR55" s="48"/>
      <c r="AS55" s="48"/>
      <c r="AT55" s="48"/>
      <c r="AU55" s="48"/>
      <c r="AV55" s="48"/>
      <c r="AW55" s="48"/>
      <c r="AX55" s="48"/>
      <c r="AY55" s="48"/>
      <c r="AZ55" s="48"/>
      <c r="BA55" s="48"/>
      <c r="BB55" s="48"/>
      <c r="BC55" s="48"/>
      <c r="BD55" s="48"/>
      <c r="BE55" s="48"/>
      <c r="BF55" s="48"/>
      <c r="BG55" s="48"/>
      <c r="BH55" s="48"/>
      <c r="BI55" s="48"/>
      <c r="BJ55" s="48"/>
      <c r="BK55" s="48"/>
      <c r="BL55" s="48"/>
      <c r="BM55" s="48"/>
      <c r="BN55" s="48"/>
      <c r="BO55" s="48"/>
      <c r="BP55" s="48"/>
      <c r="BQ55" s="48"/>
      <c r="BR55" s="48"/>
      <c r="BS55" s="48"/>
      <c r="BT55" s="48"/>
      <c r="BU55" s="48"/>
      <c r="BV55" s="48"/>
      <c r="BW55" s="48"/>
      <c r="BX55" s="48"/>
      <c r="BY55" s="48"/>
      <c r="BZ55" s="48"/>
      <c r="CA55" s="48"/>
      <c r="CB55" s="48"/>
      <c r="CC55" s="48"/>
      <c r="CD55" s="48"/>
      <c r="CE55" s="48"/>
      <c r="CF55" s="48"/>
      <c r="CG55" s="48"/>
      <c r="CH55" s="48"/>
      <c r="CI55" s="48"/>
      <c r="CJ55" s="48"/>
      <c r="CK55" s="48"/>
      <c r="CL55" s="48"/>
      <c r="CM55" s="48"/>
      <c r="CN55" s="48"/>
      <c r="CO55" s="48"/>
      <c r="CP55" s="48"/>
      <c r="CQ55" s="48"/>
      <c r="CR55" s="48"/>
      <c r="CS55" s="48"/>
      <c r="CT55" s="48"/>
      <c r="CU55" s="48"/>
      <c r="CV55" s="48"/>
      <c r="CW55" s="48"/>
      <c r="CX55" s="48"/>
      <c r="CY55" s="48"/>
      <c r="CZ55" s="48"/>
      <c r="DA55" s="48"/>
      <c r="DB55" s="48"/>
      <c r="DC55" s="48"/>
      <c r="DD55" s="48"/>
      <c r="DE55"/>
      <c r="DF55" s="48"/>
      <c r="DG55" s="48"/>
      <c r="DH55" s="48"/>
      <c r="DI55" s="48"/>
    </row>
    <row r="56" spans="2:113" x14ac:dyDescent="0.2">
      <c r="B56" s="48"/>
      <c r="C56" s="144"/>
      <c r="D56" s="48"/>
      <c r="E56" s="48"/>
      <c r="F56" s="48"/>
      <c r="G56" s="48"/>
      <c r="H56" s="48"/>
      <c r="I56" s="48"/>
      <c r="J56" s="48"/>
      <c r="K56" s="48"/>
      <c r="L56" s="48"/>
      <c r="M56" s="48"/>
      <c r="N56" s="48"/>
      <c r="O56" s="48"/>
      <c r="P56" s="48"/>
      <c r="Q56" s="48"/>
      <c r="R56" s="48"/>
      <c r="S56" s="48"/>
      <c r="T56" s="48"/>
      <c r="U56" s="48"/>
      <c r="V56" s="48"/>
      <c r="W56" s="48"/>
      <c r="X56" s="48"/>
      <c r="Y56" s="48"/>
      <c r="Z56" s="48"/>
      <c r="AA56" s="48"/>
      <c r="AB56" s="48"/>
      <c r="AC56" s="48"/>
      <c r="AD56" s="48"/>
      <c r="AE56" s="48"/>
      <c r="AF56" s="48"/>
      <c r="AG56" s="158" t="s">
        <v>120</v>
      </c>
      <c r="AH56" s="328" t="s">
        <v>1270</v>
      </c>
      <c r="AI56" s="328"/>
      <c r="AJ56" s="328"/>
      <c r="AK56" s="328"/>
      <c r="AL56" s="328"/>
      <c r="AM56" s="48"/>
      <c r="AN56" s="48"/>
      <c r="AO56" s="48"/>
      <c r="AP56" s="48"/>
      <c r="AQ56" s="48"/>
      <c r="AR56" s="48"/>
      <c r="AS56" s="48"/>
      <c r="AT56" s="48"/>
      <c r="AU56" s="48"/>
      <c r="AV56" s="48"/>
      <c r="AW56" s="48"/>
      <c r="AX56" s="48"/>
      <c r="AY56" s="48"/>
      <c r="AZ56" s="48"/>
      <c r="BA56" s="48"/>
      <c r="BB56" s="48"/>
      <c r="BC56" s="48"/>
      <c r="BD56" s="48"/>
      <c r="BE56" s="48"/>
      <c r="BF56" s="48"/>
      <c r="BG56" s="48"/>
      <c r="BH56" s="48"/>
      <c r="BI56" s="48"/>
      <c r="BJ56" s="48"/>
      <c r="BK56" s="48"/>
      <c r="BL56" s="48"/>
      <c r="BM56" s="48"/>
      <c r="BN56" s="48"/>
      <c r="BO56" s="48"/>
      <c r="BP56" s="48"/>
      <c r="BQ56" s="48"/>
      <c r="BR56" s="48"/>
      <c r="BS56" s="48"/>
      <c r="BT56" s="48"/>
      <c r="BU56" s="48"/>
      <c r="BV56" s="48"/>
      <c r="BW56" s="48"/>
      <c r="BX56" s="48"/>
      <c r="BY56" s="48"/>
      <c r="BZ56" s="48"/>
      <c r="CA56" s="48"/>
      <c r="CB56" s="48"/>
      <c r="CC56" s="48"/>
      <c r="CD56" s="48"/>
      <c r="CE56" s="48"/>
      <c r="CF56" s="48"/>
      <c r="CG56" s="48"/>
      <c r="CH56" s="48"/>
      <c r="CI56" s="48"/>
      <c r="CJ56" s="48"/>
      <c r="CK56" s="48"/>
      <c r="CL56" s="48"/>
      <c r="CM56" s="48"/>
      <c r="CN56" s="48"/>
      <c r="CO56" s="48"/>
      <c r="CP56" s="48"/>
      <c r="CQ56" s="48"/>
      <c r="CR56" s="48"/>
      <c r="CS56" s="48"/>
      <c r="CT56" s="48"/>
      <c r="CU56" s="48"/>
      <c r="CV56" s="48"/>
      <c r="CW56" s="48"/>
      <c r="CX56" s="48"/>
      <c r="CY56" s="48"/>
      <c r="CZ56" s="48"/>
      <c r="DA56" s="48"/>
      <c r="DB56" s="48"/>
      <c r="DC56" s="48"/>
      <c r="DD56" s="48"/>
      <c r="DE56"/>
      <c r="DF56" s="48"/>
      <c r="DG56" s="48"/>
      <c r="DH56" s="48"/>
      <c r="DI56" s="48"/>
    </row>
    <row r="57" spans="2:113" x14ac:dyDescent="0.2">
      <c r="B57" s="48"/>
      <c r="C57" s="144"/>
      <c r="D57" s="48"/>
      <c r="E57" s="48"/>
      <c r="F57" s="48"/>
      <c r="G57" s="48"/>
      <c r="H57" s="48"/>
      <c r="I57" s="48"/>
      <c r="J57" s="48"/>
      <c r="K57" s="48"/>
      <c r="L57" s="48"/>
      <c r="M57" s="48"/>
      <c r="N57" s="48"/>
      <c r="O57" s="48"/>
      <c r="P57" s="48"/>
      <c r="Q57" s="48"/>
      <c r="R57" s="48"/>
      <c r="S57" s="48"/>
      <c r="T57" s="48"/>
      <c r="U57" s="48"/>
      <c r="V57" s="48"/>
      <c r="W57" s="48"/>
      <c r="X57" s="48"/>
      <c r="Y57" s="48"/>
      <c r="Z57" s="48"/>
      <c r="AA57" s="48"/>
      <c r="AB57" s="48"/>
      <c r="AC57" s="48"/>
      <c r="AD57" s="48"/>
      <c r="AE57" s="48"/>
      <c r="AF57" s="187" t="str">
        <f t="shared" ref="AF57:AL57" si="37">AF40</f>
        <v>Q</v>
      </c>
      <c r="AG57" s="197" t="str">
        <f t="shared" si="37"/>
        <v>Recurso</v>
      </c>
      <c r="AH57" s="187">
        <f t="shared" si="37"/>
        <v>1</v>
      </c>
      <c r="AI57" s="187">
        <f t="shared" si="37"/>
        <v>2</v>
      </c>
      <c r="AJ57" s="187">
        <f t="shared" si="37"/>
        <v>3</v>
      </c>
      <c r="AK57" s="187">
        <f t="shared" si="37"/>
        <v>4</v>
      </c>
      <c r="AL57" s="187">
        <f t="shared" si="37"/>
        <v>5</v>
      </c>
      <c r="AM57" s="187" t="s">
        <v>621</v>
      </c>
      <c r="AN57" s="187" t="str">
        <f t="shared" ref="AN57:AN68" si="38">AN40</f>
        <v>Média</v>
      </c>
      <c r="AO57" s="48"/>
      <c r="AP57" s="48"/>
      <c r="AQ57" s="48"/>
      <c r="AR57" s="48"/>
      <c r="AS57" s="48"/>
      <c r="AT57" s="48"/>
      <c r="AU57" s="48"/>
      <c r="AV57" s="48"/>
      <c r="AW57" s="48"/>
      <c r="AX57" s="48"/>
      <c r="AY57" s="48"/>
      <c r="AZ57" s="48"/>
      <c r="BA57" s="48"/>
      <c r="BB57" s="48"/>
      <c r="BC57" s="48"/>
      <c r="BD57" s="48"/>
      <c r="BE57" s="48"/>
      <c r="BF57" s="48"/>
      <c r="BG57" s="48"/>
      <c r="BH57" s="48"/>
      <c r="BI57" s="48"/>
      <c r="BJ57" s="48"/>
      <c r="BK57" s="48"/>
      <c r="BL57" s="48"/>
      <c r="BM57" s="48"/>
      <c r="BN57" s="48"/>
      <c r="BO57" s="48"/>
      <c r="BP57" s="48"/>
      <c r="BQ57" s="48"/>
      <c r="BR57" s="48"/>
      <c r="BS57" s="48"/>
      <c r="BT57" s="48"/>
      <c r="BU57" s="48"/>
      <c r="BV57" s="48"/>
      <c r="BW57" s="48"/>
      <c r="BX57" s="48"/>
      <c r="BY57" s="48"/>
      <c r="BZ57" s="48"/>
      <c r="CA57" s="48"/>
      <c r="CB57" s="48"/>
      <c r="CC57" s="48"/>
      <c r="CD57" s="48"/>
      <c r="CE57" s="48"/>
      <c r="CF57" s="48"/>
      <c r="CG57" s="48"/>
      <c r="CH57" s="48"/>
      <c r="CI57" s="48"/>
      <c r="CJ57" s="48"/>
      <c r="CK57" s="48"/>
      <c r="CL57" s="48"/>
      <c r="CM57" s="48"/>
      <c r="CN57" s="48"/>
      <c r="CO57" s="48"/>
      <c r="CP57" s="48"/>
      <c r="CQ57" s="48"/>
      <c r="CR57" s="48"/>
      <c r="CS57" s="48"/>
      <c r="CT57" s="48"/>
      <c r="CU57" s="48"/>
      <c r="CV57" s="48"/>
      <c r="CW57" s="48"/>
      <c r="CX57" s="48"/>
      <c r="CY57" s="48"/>
      <c r="CZ57" s="48"/>
      <c r="DA57" s="48"/>
      <c r="DB57" s="48"/>
      <c r="DC57" s="48"/>
      <c r="DD57" s="48"/>
      <c r="DE57"/>
      <c r="DF57" s="48"/>
      <c r="DG57" s="48"/>
      <c r="DH57" s="48"/>
      <c r="DI57" s="48"/>
    </row>
    <row r="58" spans="2:113" x14ac:dyDescent="0.2">
      <c r="B58" s="48"/>
      <c r="C58" s="144"/>
      <c r="D58" s="48"/>
      <c r="E58" s="48"/>
      <c r="F58" s="48"/>
      <c r="G58" s="48"/>
      <c r="H58" s="48"/>
      <c r="I58" s="48"/>
      <c r="J58" s="48"/>
      <c r="K58" s="48"/>
      <c r="L58" s="48"/>
      <c r="M58" s="48"/>
      <c r="N58" s="48"/>
      <c r="O58" s="48"/>
      <c r="P58" s="48"/>
      <c r="Q58" s="48"/>
      <c r="R58" s="48"/>
      <c r="S58" s="48"/>
      <c r="T58" s="48"/>
      <c r="U58" s="48"/>
      <c r="V58" s="48"/>
      <c r="W58" s="48"/>
      <c r="X58" s="48"/>
      <c r="Y58" s="48"/>
      <c r="Z58" s="48"/>
      <c r="AA58" s="48"/>
      <c r="AB58" s="48"/>
      <c r="AC58" s="48"/>
      <c r="AD58" s="48"/>
      <c r="AE58" s="48"/>
      <c r="AF58" s="198">
        <f t="shared" ref="AF58:AG68" si="39">AF41</f>
        <v>82</v>
      </c>
      <c r="AG58" s="199" t="str">
        <f t="shared" si="39"/>
        <v>Palestras</v>
      </c>
      <c r="AH58" s="210">
        <f t="shared" ref="AH58:AL68" si="40">AH41/SUM($AH41:$AL41)</f>
        <v>5.2631578947368418E-2</v>
      </c>
      <c r="AI58" s="210">
        <f t="shared" si="40"/>
        <v>0.21052631578947367</v>
      </c>
      <c r="AJ58" s="210">
        <f t="shared" si="40"/>
        <v>0.47368421052631576</v>
      </c>
      <c r="AK58" s="210">
        <f t="shared" si="40"/>
        <v>0.21052631578947367</v>
      </c>
      <c r="AL58" s="210">
        <f t="shared" si="40"/>
        <v>5.2631578947368418E-2</v>
      </c>
      <c r="AM58" s="267">
        <f>SUM(AH58:AL58)</f>
        <v>1</v>
      </c>
      <c r="AN58" s="211">
        <f t="shared" si="38"/>
        <v>3</v>
      </c>
      <c r="AO58" s="48"/>
      <c r="AP58" s="48"/>
      <c r="AQ58" s="48"/>
      <c r="AR58" s="48"/>
      <c r="AS58" s="48"/>
      <c r="AT58" s="48"/>
      <c r="AU58" s="48"/>
      <c r="AV58" s="48"/>
      <c r="AW58" s="48"/>
      <c r="AX58" s="48"/>
      <c r="AY58" s="48"/>
      <c r="AZ58" s="48"/>
      <c r="BA58" s="48"/>
      <c r="BB58" s="48"/>
      <c r="BC58" s="48"/>
      <c r="BD58" s="48"/>
      <c r="BE58" s="48"/>
      <c r="BF58" s="48"/>
      <c r="BG58" s="48"/>
      <c r="BH58" s="48"/>
      <c r="BI58" s="48"/>
      <c r="BJ58" s="48"/>
      <c r="BK58" s="48"/>
      <c r="BL58" s="48"/>
      <c r="BM58" s="48"/>
      <c r="BN58" s="48"/>
      <c r="BO58" s="48"/>
      <c r="BP58" s="48"/>
      <c r="BQ58" s="48"/>
      <c r="BR58" s="48"/>
      <c r="BS58" s="48"/>
      <c r="BT58" s="48"/>
      <c r="BU58" s="48"/>
      <c r="BV58" s="48"/>
      <c r="BW58" s="48"/>
      <c r="BX58" s="48"/>
      <c r="BY58" s="48"/>
      <c r="BZ58" s="48"/>
      <c r="CA58" s="48"/>
      <c r="CB58" s="48"/>
      <c r="CC58" s="48"/>
      <c r="CD58" s="48"/>
      <c r="CE58" s="48"/>
      <c r="CF58" s="48"/>
      <c r="CG58" s="48"/>
      <c r="CH58" s="48"/>
      <c r="CI58" s="48"/>
      <c r="CJ58" s="48"/>
      <c r="CK58" s="48"/>
      <c r="CL58" s="48"/>
      <c r="CM58" s="48"/>
      <c r="CN58" s="48"/>
      <c r="CO58" s="48"/>
      <c r="CP58" s="48"/>
      <c r="CQ58" s="48"/>
      <c r="CR58" s="48"/>
      <c r="CS58" s="48"/>
      <c r="CT58" s="48"/>
      <c r="CU58" s="48"/>
      <c r="CV58" s="48"/>
      <c r="CW58" s="48"/>
      <c r="CX58" s="48"/>
      <c r="CY58" s="48"/>
      <c r="CZ58" s="48"/>
      <c r="DA58" s="48"/>
      <c r="DB58" s="48"/>
      <c r="DC58" s="48"/>
      <c r="DD58" s="48"/>
      <c r="DE58"/>
      <c r="DF58" s="48"/>
      <c r="DG58" s="48"/>
      <c r="DH58" s="48"/>
      <c r="DI58" s="48"/>
    </row>
    <row r="59" spans="2:113" x14ac:dyDescent="0.2">
      <c r="B59" s="48"/>
      <c r="C59" s="144"/>
      <c r="D59" s="48"/>
      <c r="E59" s="48"/>
      <c r="F59" s="48"/>
      <c r="G59" s="48"/>
      <c r="H59" s="48"/>
      <c r="I59" s="48"/>
      <c r="J59" s="48"/>
      <c r="K59" s="48"/>
      <c r="L59" s="48"/>
      <c r="M59" s="48"/>
      <c r="N59" s="48"/>
      <c r="O59" s="48"/>
      <c r="P59" s="48"/>
      <c r="Q59" s="48"/>
      <c r="R59" s="48"/>
      <c r="S59" s="48"/>
      <c r="T59" s="48"/>
      <c r="U59" s="48"/>
      <c r="V59" s="48"/>
      <c r="W59" s="48"/>
      <c r="X59" s="48"/>
      <c r="Y59" s="48"/>
      <c r="Z59" s="48"/>
      <c r="AA59" s="48"/>
      <c r="AB59" s="48"/>
      <c r="AC59" s="48"/>
      <c r="AD59" s="48"/>
      <c r="AE59" s="48"/>
      <c r="AF59" s="81">
        <f t="shared" si="39"/>
        <v>83</v>
      </c>
      <c r="AG59" s="51" t="str">
        <f t="shared" si="39"/>
        <v>Grupos de estudo</v>
      </c>
      <c r="AH59" s="19">
        <f t="shared" si="40"/>
        <v>0.31578947368421051</v>
      </c>
      <c r="AI59" s="19">
        <f t="shared" si="40"/>
        <v>0.36842105263157893</v>
      </c>
      <c r="AJ59" s="19">
        <f t="shared" si="40"/>
        <v>0.26315789473684209</v>
      </c>
      <c r="AK59" s="19">
        <f t="shared" si="40"/>
        <v>5.2631578947368418E-2</v>
      </c>
      <c r="AL59" s="19">
        <f t="shared" si="40"/>
        <v>0</v>
      </c>
      <c r="AM59" s="232">
        <f t="shared" ref="AM59:AM68" si="41">SUM(AH59:AL59)</f>
        <v>0.99999999999999978</v>
      </c>
      <c r="AN59" s="76">
        <f t="shared" si="38"/>
        <v>2.0526315789473686</v>
      </c>
      <c r="AO59" s="48"/>
      <c r="AP59" s="48"/>
      <c r="AQ59" s="48"/>
      <c r="AR59" s="48"/>
      <c r="AS59" s="48"/>
      <c r="AT59" s="48"/>
      <c r="AU59" s="48"/>
      <c r="AV59" s="48"/>
      <c r="AW59" s="48"/>
      <c r="AX59" s="48"/>
      <c r="AY59" s="48"/>
      <c r="AZ59" s="48"/>
      <c r="BA59" s="48"/>
      <c r="BB59" s="48"/>
      <c r="BC59" s="48"/>
      <c r="BD59" s="48"/>
      <c r="BE59" s="48"/>
      <c r="BF59" s="48"/>
      <c r="BG59" s="48"/>
      <c r="BH59" s="48"/>
      <c r="BI59" s="48"/>
      <c r="BJ59" s="48"/>
      <c r="BK59" s="48"/>
      <c r="BL59" s="48"/>
      <c r="BM59" s="48"/>
      <c r="BN59" s="48"/>
      <c r="BO59" s="48"/>
      <c r="BP59" s="48"/>
      <c r="BQ59" s="48"/>
      <c r="BR59" s="48"/>
      <c r="BS59" s="48"/>
      <c r="BT59" s="48"/>
      <c r="BU59" s="48"/>
      <c r="BV59" s="48"/>
      <c r="BW59" s="48"/>
      <c r="BX59" s="48"/>
      <c r="BY59" s="48"/>
      <c r="BZ59" s="48"/>
      <c r="CA59" s="48"/>
      <c r="CB59" s="48"/>
      <c r="CC59" s="48"/>
      <c r="CD59" s="48"/>
      <c r="CE59" s="48"/>
      <c r="CF59" s="48"/>
      <c r="CG59" s="48"/>
      <c r="CH59" s="48"/>
      <c r="CI59" s="48"/>
      <c r="CJ59" s="48"/>
      <c r="CK59" s="48"/>
      <c r="CL59" s="48"/>
      <c r="CM59" s="48"/>
      <c r="CN59" s="48"/>
      <c r="CO59" s="48"/>
      <c r="CP59" s="48"/>
      <c r="CQ59" s="48"/>
      <c r="CR59" s="48"/>
      <c r="CS59" s="48"/>
      <c r="CT59" s="48"/>
      <c r="CU59" s="48"/>
      <c r="CV59" s="48"/>
      <c r="CW59" s="48"/>
      <c r="CX59" s="48"/>
      <c r="CY59" s="48"/>
      <c r="CZ59" s="48"/>
      <c r="DA59" s="48"/>
      <c r="DB59" s="48"/>
      <c r="DC59" s="48"/>
      <c r="DD59" s="48"/>
      <c r="DE59"/>
      <c r="DF59" s="48"/>
      <c r="DG59" s="48"/>
      <c r="DH59" s="48"/>
      <c r="DI59" s="48"/>
    </row>
    <row r="60" spans="2:113" x14ac:dyDescent="0.2">
      <c r="B60" s="48"/>
      <c r="C60" s="144"/>
      <c r="D60" s="48"/>
      <c r="E60" s="48"/>
      <c r="F60" s="48"/>
      <c r="G60" s="48"/>
      <c r="H60" s="48"/>
      <c r="I60" s="48"/>
      <c r="J60" s="48"/>
      <c r="K60" s="48"/>
      <c r="L60" s="48"/>
      <c r="M60" s="48"/>
      <c r="N60" s="48"/>
      <c r="O60" s="48"/>
      <c r="P60" s="48"/>
      <c r="Q60" s="48"/>
      <c r="R60" s="48"/>
      <c r="S60" s="48"/>
      <c r="T60" s="48"/>
      <c r="U60" s="48"/>
      <c r="V60" s="48"/>
      <c r="W60" s="48"/>
      <c r="X60" s="48"/>
      <c r="Y60" s="48"/>
      <c r="Z60" s="48"/>
      <c r="AA60" s="48"/>
      <c r="AB60" s="48"/>
      <c r="AC60" s="48"/>
      <c r="AD60" s="48"/>
      <c r="AE60" s="48"/>
      <c r="AF60" s="198">
        <f t="shared" si="39"/>
        <v>84</v>
      </c>
      <c r="AG60" s="199" t="str">
        <f t="shared" si="39"/>
        <v>Participação em grupos de pesquisa</v>
      </c>
      <c r="AH60" s="210">
        <f t="shared" si="40"/>
        <v>0.10526315789473684</v>
      </c>
      <c r="AI60" s="210">
        <f t="shared" si="40"/>
        <v>0.26315789473684209</v>
      </c>
      <c r="AJ60" s="210">
        <f t="shared" si="40"/>
        <v>0.36842105263157893</v>
      </c>
      <c r="AK60" s="210">
        <f t="shared" si="40"/>
        <v>0.15789473684210525</v>
      </c>
      <c r="AL60" s="210">
        <f t="shared" si="40"/>
        <v>0.10526315789473684</v>
      </c>
      <c r="AM60" s="267">
        <f t="shared" si="41"/>
        <v>0.99999999999999989</v>
      </c>
      <c r="AN60" s="211">
        <f t="shared" si="38"/>
        <v>2.8947368421052633</v>
      </c>
      <c r="AO60" s="48"/>
      <c r="AP60" s="48"/>
      <c r="AQ60" s="48"/>
      <c r="AR60" s="48"/>
      <c r="AS60" s="48"/>
      <c r="AT60" s="48"/>
      <c r="AU60" s="48"/>
      <c r="AV60" s="48"/>
      <c r="AW60" s="48"/>
      <c r="AX60" s="48"/>
      <c r="AY60" s="48"/>
      <c r="AZ60" s="48"/>
      <c r="BA60" s="48"/>
      <c r="BB60" s="48"/>
      <c r="BC60" s="48"/>
      <c r="BD60" s="48"/>
      <c r="BE60" s="48"/>
      <c r="BF60" s="48"/>
      <c r="BG60" s="48"/>
      <c r="BH60" s="48"/>
      <c r="BI60" s="48"/>
      <c r="BJ60" s="48"/>
      <c r="BK60" s="48"/>
      <c r="BL60" s="48"/>
      <c r="BM60" s="48"/>
      <c r="BN60" s="48"/>
      <c r="BO60" s="48"/>
      <c r="BP60" s="48"/>
      <c r="BQ60" s="48"/>
      <c r="BR60" s="48"/>
      <c r="BS60" s="48"/>
      <c r="BT60" s="48"/>
      <c r="BU60" s="48"/>
      <c r="BV60" s="48"/>
      <c r="BW60" s="48"/>
      <c r="BX60" s="48"/>
      <c r="BY60" s="48"/>
      <c r="BZ60" s="48"/>
      <c r="CA60" s="48"/>
      <c r="CB60" s="48"/>
      <c r="CC60" s="48"/>
      <c r="CD60" s="48"/>
      <c r="CE60" s="48"/>
      <c r="CF60" s="48"/>
      <c r="CG60" s="48"/>
      <c r="CH60" s="48"/>
      <c r="CI60" s="48"/>
      <c r="CJ60" s="48"/>
      <c r="CK60" s="48"/>
      <c r="CL60" s="48"/>
      <c r="CM60" s="48"/>
      <c r="CN60" s="48"/>
      <c r="CO60" s="48"/>
      <c r="CP60" s="48"/>
      <c r="CQ60" s="48"/>
      <c r="CR60" s="48"/>
      <c r="CS60" s="48"/>
      <c r="CT60" s="48"/>
      <c r="CU60" s="48"/>
      <c r="CV60" s="48"/>
      <c r="CW60" s="48"/>
      <c r="CX60" s="48"/>
      <c r="CY60" s="48"/>
      <c r="CZ60" s="48"/>
      <c r="DA60" s="48"/>
      <c r="DB60" s="48"/>
      <c r="DC60" s="48"/>
      <c r="DD60" s="48"/>
      <c r="DE60"/>
      <c r="DF60" s="48"/>
      <c r="DG60" s="48"/>
      <c r="DH60" s="48"/>
      <c r="DI60" s="48"/>
    </row>
    <row r="61" spans="2:113" x14ac:dyDescent="0.2">
      <c r="B61" s="48"/>
      <c r="C61" s="144"/>
      <c r="D61" s="48"/>
      <c r="E61" s="48"/>
      <c r="F61" s="48"/>
      <c r="G61" s="48"/>
      <c r="H61" s="48"/>
      <c r="I61" s="48"/>
      <c r="J61" s="48"/>
      <c r="K61" s="48"/>
      <c r="L61" s="48"/>
      <c r="M61" s="48"/>
      <c r="N61" s="48"/>
      <c r="O61" s="48"/>
      <c r="P61" s="48"/>
      <c r="Q61" s="48"/>
      <c r="R61" s="48"/>
      <c r="S61" s="48"/>
      <c r="T61" s="48"/>
      <c r="U61" s="48"/>
      <c r="V61" s="48"/>
      <c r="W61" s="48"/>
      <c r="X61" s="48"/>
      <c r="Y61" s="48"/>
      <c r="Z61" s="48"/>
      <c r="AA61" s="48"/>
      <c r="AB61" s="48"/>
      <c r="AC61" s="48"/>
      <c r="AD61" s="48"/>
      <c r="AE61" s="48"/>
      <c r="AF61" s="81">
        <f t="shared" si="39"/>
        <v>85</v>
      </c>
      <c r="AG61" s="51" t="str">
        <f t="shared" si="39"/>
        <v>Estágios</v>
      </c>
      <c r="AH61" s="19">
        <f t="shared" si="40"/>
        <v>0.42105263157894735</v>
      </c>
      <c r="AI61" s="19">
        <f t="shared" si="40"/>
        <v>0.15789473684210525</v>
      </c>
      <c r="AJ61" s="19">
        <f t="shared" si="40"/>
        <v>0.26315789473684209</v>
      </c>
      <c r="AK61" s="19">
        <f t="shared" si="40"/>
        <v>5.2631578947368418E-2</v>
      </c>
      <c r="AL61" s="19">
        <f t="shared" si="40"/>
        <v>0.10526315789473684</v>
      </c>
      <c r="AM61" s="232">
        <f t="shared" si="41"/>
        <v>0.99999999999999989</v>
      </c>
      <c r="AN61" s="76">
        <f t="shared" si="38"/>
        <v>2.263157894736842</v>
      </c>
      <c r="AO61" s="48"/>
      <c r="AP61" s="48"/>
      <c r="AQ61" s="48"/>
      <c r="AR61" s="48"/>
      <c r="AS61" s="48"/>
      <c r="AT61" s="48"/>
      <c r="AU61" s="48"/>
      <c r="AV61" s="48"/>
      <c r="AW61" s="48"/>
      <c r="AX61" s="48"/>
      <c r="AY61" s="48"/>
      <c r="AZ61" s="48"/>
      <c r="BA61" s="48"/>
      <c r="BB61" s="48"/>
      <c r="BC61" s="48"/>
      <c r="BD61" s="48"/>
      <c r="BE61" s="48"/>
      <c r="BF61" s="48"/>
      <c r="BG61" s="48"/>
      <c r="BH61" s="48"/>
      <c r="BI61" s="48"/>
      <c r="BJ61" s="48"/>
      <c r="BK61" s="48"/>
      <c r="BL61" s="48"/>
      <c r="BM61" s="48"/>
      <c r="BN61" s="48"/>
      <c r="BO61" s="48"/>
      <c r="BP61" s="48"/>
      <c r="BQ61" s="48"/>
      <c r="BR61" s="48"/>
      <c r="BS61" s="48"/>
      <c r="BT61" s="48"/>
      <c r="BU61" s="48"/>
      <c r="BV61" s="48"/>
      <c r="BW61" s="48"/>
      <c r="BX61" s="48"/>
      <c r="BY61" s="48"/>
      <c r="BZ61" s="48"/>
      <c r="CA61" s="48"/>
      <c r="CB61" s="48"/>
      <c r="CC61" s="48"/>
      <c r="CD61" s="48"/>
      <c r="CE61" s="48"/>
      <c r="CF61" s="48"/>
      <c r="CG61" s="48"/>
      <c r="CH61" s="48"/>
      <c r="CI61" s="48"/>
      <c r="CJ61" s="48"/>
      <c r="CK61" s="48"/>
      <c r="CL61" s="48"/>
      <c r="CM61" s="48"/>
      <c r="CN61" s="48"/>
      <c r="CO61" s="48"/>
      <c r="CP61" s="48"/>
      <c r="CQ61" s="48"/>
      <c r="CR61" s="48"/>
      <c r="CS61" s="48"/>
      <c r="CT61" s="48"/>
      <c r="CU61" s="48"/>
      <c r="CV61" s="48"/>
      <c r="CW61" s="48"/>
      <c r="CX61" s="48"/>
      <c r="CY61" s="48"/>
      <c r="CZ61" s="48"/>
      <c r="DA61" s="48"/>
      <c r="DB61" s="48"/>
      <c r="DC61" s="48"/>
      <c r="DD61" s="48"/>
      <c r="DE61"/>
      <c r="DF61" s="48"/>
      <c r="DG61" s="48"/>
      <c r="DH61" s="48"/>
      <c r="DI61" s="48"/>
    </row>
    <row r="62" spans="2:113" x14ac:dyDescent="0.2">
      <c r="B62" s="48"/>
      <c r="C62" s="144"/>
      <c r="D62" s="48"/>
      <c r="E62" s="48"/>
      <c r="F62" s="48"/>
      <c r="G62" s="48"/>
      <c r="H62" s="48"/>
      <c r="I62" s="48"/>
      <c r="J62" s="48"/>
      <c r="K62" s="48"/>
      <c r="L62" s="48"/>
      <c r="M62" s="48"/>
      <c r="N62" s="48"/>
      <c r="O62" s="48"/>
      <c r="P62" s="48"/>
      <c r="Q62" s="48"/>
      <c r="R62" s="48"/>
      <c r="S62" s="48"/>
      <c r="T62" s="48"/>
      <c r="U62" s="48"/>
      <c r="V62" s="48"/>
      <c r="W62" s="48"/>
      <c r="X62" s="48"/>
      <c r="Y62" s="48"/>
      <c r="Z62" s="48"/>
      <c r="AA62" s="48"/>
      <c r="AB62" s="48"/>
      <c r="AC62" s="48"/>
      <c r="AD62" s="48"/>
      <c r="AE62" s="48"/>
      <c r="AF62" s="198">
        <f t="shared" si="39"/>
        <v>86</v>
      </c>
      <c r="AG62" s="199" t="str">
        <f t="shared" si="39"/>
        <v>Trabalhos práticos</v>
      </c>
      <c r="AH62" s="210">
        <f t="shared" si="40"/>
        <v>0</v>
      </c>
      <c r="AI62" s="210">
        <f t="shared" si="40"/>
        <v>0</v>
      </c>
      <c r="AJ62" s="210">
        <f t="shared" si="40"/>
        <v>0.21052631578947367</v>
      </c>
      <c r="AK62" s="210">
        <f t="shared" si="40"/>
        <v>0.42105263157894735</v>
      </c>
      <c r="AL62" s="210">
        <f t="shared" si="40"/>
        <v>0.36842105263157893</v>
      </c>
      <c r="AM62" s="267">
        <f t="shared" si="41"/>
        <v>1</v>
      </c>
      <c r="AN62" s="211">
        <f t="shared" si="38"/>
        <v>4.1578947368421053</v>
      </c>
      <c r="AO62" s="48"/>
      <c r="AP62" s="48"/>
      <c r="AQ62" s="48"/>
      <c r="AR62" s="48"/>
      <c r="AS62" s="48"/>
      <c r="AT62" s="48"/>
      <c r="AU62" s="1"/>
      <c r="AV62" s="48"/>
      <c r="AW62" s="48"/>
      <c r="AX62" s="48"/>
      <c r="AY62" s="48"/>
      <c r="AZ62" s="48"/>
      <c r="BA62" s="48"/>
      <c r="BB62" s="48"/>
      <c r="BC62" s="48"/>
      <c r="BD62" s="48"/>
      <c r="BE62" s="48"/>
      <c r="BF62" s="48"/>
      <c r="BG62" s="48"/>
      <c r="BH62" s="48"/>
      <c r="BI62" s="48"/>
      <c r="BJ62" s="48"/>
      <c r="BK62" s="48"/>
      <c r="BL62" s="48"/>
      <c r="BM62" s="48"/>
      <c r="BN62" s="48"/>
      <c r="BO62" s="48"/>
      <c r="BP62" s="48"/>
      <c r="BQ62" s="48"/>
      <c r="BR62" s="48"/>
      <c r="BS62" s="48"/>
      <c r="BT62" s="48"/>
      <c r="BU62" s="48"/>
      <c r="BV62" s="48"/>
      <c r="BW62" s="48"/>
      <c r="BX62" s="48"/>
      <c r="BY62" s="48"/>
      <c r="BZ62" s="48"/>
      <c r="CA62" s="48"/>
      <c r="CB62" s="48"/>
      <c r="CC62" s="48"/>
      <c r="CD62" s="48"/>
      <c r="CE62" s="48"/>
      <c r="CF62" s="48"/>
      <c r="CG62" s="48"/>
      <c r="CH62" s="48"/>
      <c r="CI62" s="48"/>
      <c r="CJ62" s="48"/>
      <c r="CK62" s="48"/>
      <c r="CL62" s="48"/>
      <c r="CM62" s="48"/>
      <c r="CN62" s="48"/>
      <c r="CO62" s="48"/>
      <c r="CP62" s="48"/>
      <c r="CQ62" s="48"/>
      <c r="CR62" s="48"/>
      <c r="CS62" s="48"/>
      <c r="CT62" s="48"/>
      <c r="CU62" s="48"/>
      <c r="CV62" s="48"/>
      <c r="CW62" s="48"/>
      <c r="CX62" s="48"/>
      <c r="CY62" s="48"/>
      <c r="CZ62" s="48"/>
      <c r="DA62" s="48"/>
      <c r="DB62" s="48"/>
      <c r="DC62" s="48"/>
      <c r="DD62" s="48"/>
      <c r="DE62"/>
      <c r="DF62" s="48"/>
      <c r="DG62" s="48"/>
      <c r="DH62" s="48"/>
      <c r="DI62" s="48"/>
    </row>
    <row r="63" spans="2:113" x14ac:dyDescent="0.2">
      <c r="B63" s="48"/>
      <c r="C63" s="144"/>
      <c r="D63" s="48"/>
      <c r="E63" s="48"/>
      <c r="F63" s="48"/>
      <c r="G63" s="48"/>
      <c r="H63" s="48"/>
      <c r="I63" s="48"/>
      <c r="J63" s="48"/>
      <c r="K63" s="48"/>
      <c r="L63" s="48"/>
      <c r="M63" s="48"/>
      <c r="N63" s="48"/>
      <c r="O63" s="48"/>
      <c r="P63" s="48"/>
      <c r="Q63" s="48"/>
      <c r="R63" s="48"/>
      <c r="S63" s="48"/>
      <c r="T63" s="48"/>
      <c r="U63" s="48"/>
      <c r="V63" s="48"/>
      <c r="W63" s="48"/>
      <c r="X63" s="48"/>
      <c r="Y63" s="48"/>
      <c r="Z63" s="48"/>
      <c r="AA63" s="48"/>
      <c r="AB63" s="48"/>
      <c r="AC63" s="48"/>
      <c r="AD63" s="48"/>
      <c r="AE63" s="48"/>
      <c r="AF63" s="81">
        <f t="shared" si="39"/>
        <v>87</v>
      </c>
      <c r="AG63" s="51" t="str">
        <f t="shared" si="39"/>
        <v>Trabalhos teóricos</v>
      </c>
      <c r="AH63" s="19">
        <f t="shared" si="40"/>
        <v>0</v>
      </c>
      <c r="AI63" s="19">
        <f t="shared" si="40"/>
        <v>0.10526315789473684</v>
      </c>
      <c r="AJ63" s="19">
        <f t="shared" si="40"/>
        <v>0.47368421052631576</v>
      </c>
      <c r="AK63" s="19">
        <f t="shared" si="40"/>
        <v>0.15789473684210525</v>
      </c>
      <c r="AL63" s="19">
        <f t="shared" si="40"/>
        <v>0.26315789473684209</v>
      </c>
      <c r="AM63" s="232">
        <f t="shared" si="41"/>
        <v>1</v>
      </c>
      <c r="AN63" s="76">
        <f t="shared" si="38"/>
        <v>3.5789473684210527</v>
      </c>
      <c r="AO63" s="48"/>
      <c r="AP63" s="48"/>
      <c r="AQ63" s="48"/>
      <c r="AR63" s="48"/>
      <c r="AS63" s="48"/>
      <c r="AT63" s="48"/>
      <c r="AU63" s="1"/>
      <c r="AV63" s="48"/>
      <c r="AW63" s="48"/>
      <c r="AX63" s="48"/>
      <c r="AY63" s="48"/>
      <c r="AZ63" s="48"/>
      <c r="BA63" s="48"/>
      <c r="BB63" s="48"/>
      <c r="BC63" s="48"/>
      <c r="BD63" s="48"/>
      <c r="BE63" s="48"/>
      <c r="BF63" s="48"/>
      <c r="BG63" s="48"/>
      <c r="BH63" s="48"/>
      <c r="BI63" s="48"/>
      <c r="BJ63" s="48"/>
      <c r="BK63" s="48"/>
      <c r="BL63" s="48"/>
      <c r="BM63" s="48"/>
      <c r="BN63" s="48"/>
      <c r="BO63" s="48"/>
      <c r="BP63" s="48"/>
      <c r="BQ63" s="48"/>
      <c r="BR63" s="48"/>
      <c r="BS63" s="48"/>
      <c r="BT63" s="48"/>
      <c r="BU63" s="48"/>
      <c r="BV63" s="48"/>
      <c r="BW63" s="48"/>
      <c r="BX63" s="48"/>
      <c r="BY63" s="48"/>
      <c r="BZ63" s="48"/>
      <c r="CA63" s="48"/>
      <c r="CB63" s="48"/>
      <c r="CC63" s="48"/>
      <c r="CD63" s="48"/>
      <c r="CE63" s="48"/>
      <c r="CF63" s="48"/>
      <c r="CG63" s="48"/>
      <c r="CH63" s="48"/>
      <c r="CI63" s="48"/>
      <c r="CJ63" s="48"/>
      <c r="CK63" s="48"/>
      <c r="CL63" s="48"/>
      <c r="CM63" s="48"/>
      <c r="CN63" s="48"/>
      <c r="CO63" s="48"/>
      <c r="CP63" s="48"/>
      <c r="CQ63" s="48"/>
      <c r="CR63" s="48"/>
      <c r="CS63" s="48"/>
      <c r="CT63" s="48"/>
      <c r="CU63" s="48"/>
      <c r="CV63" s="48"/>
      <c r="CW63" s="48"/>
      <c r="CX63" s="48"/>
      <c r="CY63" s="48"/>
      <c r="CZ63" s="48"/>
      <c r="DA63" s="48"/>
      <c r="DB63" s="48"/>
      <c r="DC63" s="48"/>
      <c r="DD63" s="48"/>
      <c r="DE63"/>
      <c r="DF63" s="48"/>
      <c r="DG63" s="48"/>
      <c r="DH63" s="48"/>
      <c r="DI63" s="48"/>
    </row>
    <row r="64" spans="2:113" x14ac:dyDescent="0.2">
      <c r="B64" s="48"/>
      <c r="C64" s="144"/>
      <c r="D64" s="48"/>
      <c r="E64" s="48"/>
      <c r="F64" s="48"/>
      <c r="G64" s="48"/>
      <c r="H64" s="48"/>
      <c r="I64" s="48"/>
      <c r="J64" s="48"/>
      <c r="K64" s="48"/>
      <c r="L64" s="48"/>
      <c r="M64" s="48"/>
      <c r="N64" s="48"/>
      <c r="O64" s="48"/>
      <c r="P64" s="48"/>
      <c r="Q64" s="48"/>
      <c r="R64" s="48"/>
      <c r="S64" s="48"/>
      <c r="T64" s="48"/>
      <c r="U64" s="48"/>
      <c r="V64" s="48"/>
      <c r="W64" s="48"/>
      <c r="X64" s="48"/>
      <c r="Y64" s="48"/>
      <c r="Z64" s="48"/>
      <c r="AA64" s="48"/>
      <c r="AB64" s="48"/>
      <c r="AC64" s="48"/>
      <c r="AD64" s="48"/>
      <c r="AE64" s="48"/>
      <c r="AF64" s="198">
        <f t="shared" si="39"/>
        <v>88</v>
      </c>
      <c r="AG64" s="199" t="str">
        <f t="shared" si="39"/>
        <v>Apresentações orais</v>
      </c>
      <c r="AH64" s="210">
        <f t="shared" si="40"/>
        <v>0</v>
      </c>
      <c r="AI64" s="210">
        <f t="shared" si="40"/>
        <v>5.2631578947368418E-2</v>
      </c>
      <c r="AJ64" s="210">
        <f t="shared" si="40"/>
        <v>0.31578947368421051</v>
      </c>
      <c r="AK64" s="210">
        <f t="shared" si="40"/>
        <v>0.31578947368421051</v>
      </c>
      <c r="AL64" s="210">
        <f t="shared" si="40"/>
        <v>0.31578947368421051</v>
      </c>
      <c r="AM64" s="267">
        <f t="shared" si="41"/>
        <v>0.99999999999999989</v>
      </c>
      <c r="AN64" s="211">
        <f t="shared" si="38"/>
        <v>3.8947368421052633</v>
      </c>
      <c r="AO64" s="48"/>
      <c r="AP64" s="48"/>
      <c r="AQ64" s="48"/>
      <c r="AR64" s="48"/>
      <c r="AS64" s="48"/>
      <c r="AT64" s="48"/>
      <c r="AU64" s="1"/>
      <c r="AV64" s="48"/>
      <c r="AW64" s="48"/>
      <c r="AX64" s="48"/>
      <c r="AY64" s="48"/>
      <c r="AZ64" s="48"/>
      <c r="BA64" s="48"/>
      <c r="BB64" s="48"/>
      <c r="BC64" s="48"/>
      <c r="BD64" s="48"/>
      <c r="BE64" s="48"/>
      <c r="BF64" s="48"/>
      <c r="BG64" s="48"/>
      <c r="BH64" s="48"/>
      <c r="BI64" s="48"/>
      <c r="BJ64" s="48"/>
      <c r="BK64" s="48"/>
      <c r="BL64" s="48"/>
      <c r="BM64" s="48"/>
      <c r="BN64" s="48"/>
      <c r="BO64" s="48"/>
      <c r="BP64" s="48"/>
      <c r="BQ64" s="48"/>
      <c r="BR64" s="48"/>
      <c r="BS64" s="48"/>
      <c r="BT64" s="48"/>
      <c r="BU64" s="48"/>
      <c r="BV64" s="48"/>
      <c r="BW64" s="48"/>
      <c r="BX64" s="48"/>
      <c r="BY64" s="48"/>
      <c r="BZ64" s="48"/>
      <c r="CA64" s="48"/>
      <c r="CB64" s="48"/>
      <c r="CC64" s="48"/>
      <c r="CD64" s="48"/>
      <c r="CE64" s="48"/>
      <c r="CF64" s="48"/>
      <c r="CG64" s="48"/>
      <c r="CH64" s="48"/>
      <c r="CI64" s="48"/>
      <c r="CJ64" s="48"/>
      <c r="CK64" s="48"/>
      <c r="CL64" s="48"/>
      <c r="CM64" s="48"/>
      <c r="CN64" s="48"/>
      <c r="CO64" s="48"/>
      <c r="CP64" s="48"/>
      <c r="CQ64" s="48"/>
      <c r="CR64" s="48"/>
      <c r="CS64" s="48"/>
      <c r="CT64" s="48"/>
      <c r="CU64" s="48"/>
      <c r="CV64" s="48"/>
      <c r="CW64" s="48"/>
      <c r="CX64" s="48"/>
      <c r="CY64" s="48"/>
      <c r="CZ64" s="48"/>
      <c r="DA64" s="48"/>
      <c r="DB64" s="48"/>
      <c r="DC64" s="48"/>
      <c r="DD64" s="48"/>
      <c r="DE64"/>
      <c r="DF64" s="48"/>
      <c r="DG64" s="48"/>
      <c r="DH64" s="48"/>
      <c r="DI64" s="48"/>
    </row>
    <row r="65" spans="2:113" x14ac:dyDescent="0.2">
      <c r="B65" s="48"/>
      <c r="C65" s="144"/>
      <c r="D65" s="48"/>
      <c r="E65" s="48"/>
      <c r="F65" s="48"/>
      <c r="G65" s="48"/>
      <c r="H65" s="48"/>
      <c r="I65" s="48"/>
      <c r="J65" s="48"/>
      <c r="K65" s="48"/>
      <c r="L65" s="48"/>
      <c r="M65" s="48"/>
      <c r="N65" s="48"/>
      <c r="O65" s="48"/>
      <c r="P65" s="48"/>
      <c r="Q65" s="48"/>
      <c r="R65" s="48"/>
      <c r="S65" s="48"/>
      <c r="T65" s="48"/>
      <c r="U65" s="48"/>
      <c r="V65" s="48"/>
      <c r="W65" s="48"/>
      <c r="X65" s="48"/>
      <c r="Y65" s="48"/>
      <c r="Z65" s="48"/>
      <c r="AA65" s="48"/>
      <c r="AB65" s="48"/>
      <c r="AC65" s="48"/>
      <c r="AD65" s="48"/>
      <c r="AE65" s="48"/>
      <c r="AF65" s="81">
        <f t="shared" si="39"/>
        <v>89</v>
      </c>
      <c r="AG65" s="51" t="str">
        <f t="shared" si="39"/>
        <v>Professor como principal fonte de informação</v>
      </c>
      <c r="AH65" s="19">
        <f t="shared" si="40"/>
        <v>0</v>
      </c>
      <c r="AI65" s="19">
        <f t="shared" si="40"/>
        <v>5.2631578947368418E-2</v>
      </c>
      <c r="AJ65" s="19">
        <f t="shared" si="40"/>
        <v>0.42105263157894735</v>
      </c>
      <c r="AK65" s="19">
        <f t="shared" si="40"/>
        <v>0.31578947368421051</v>
      </c>
      <c r="AL65" s="19">
        <f t="shared" si="40"/>
        <v>0.21052631578947367</v>
      </c>
      <c r="AM65" s="232">
        <f t="shared" si="41"/>
        <v>1</v>
      </c>
      <c r="AN65" s="76">
        <f t="shared" si="38"/>
        <v>3.6842105263157894</v>
      </c>
      <c r="AO65" s="48"/>
      <c r="AP65" s="48"/>
      <c r="AQ65" s="48"/>
      <c r="AR65" s="48"/>
      <c r="AS65" s="48"/>
      <c r="AT65" s="48"/>
      <c r="AU65" s="1"/>
      <c r="AV65" s="48"/>
      <c r="AW65" s="48"/>
      <c r="AX65" s="48"/>
      <c r="AY65" s="48"/>
      <c r="AZ65" s="48"/>
      <c r="BA65" s="48"/>
      <c r="BB65" s="48"/>
      <c r="BC65" s="48"/>
      <c r="BD65" s="48"/>
      <c r="BE65" s="48"/>
      <c r="BF65" s="48"/>
      <c r="BG65" s="48"/>
      <c r="BH65" s="48"/>
      <c r="BI65" s="48"/>
      <c r="BJ65" s="48"/>
      <c r="BK65" s="48"/>
      <c r="BL65" s="48"/>
      <c r="BM65" s="48"/>
      <c r="BN65" s="48"/>
      <c r="BO65" s="48"/>
      <c r="BP65" s="48"/>
      <c r="BQ65" s="48"/>
      <c r="BR65" s="48"/>
      <c r="BS65" s="48"/>
      <c r="BT65" s="48"/>
      <c r="BU65" s="48"/>
      <c r="BV65" s="48"/>
      <c r="BW65" s="48"/>
      <c r="BX65" s="48"/>
      <c r="BY65" s="48"/>
      <c r="BZ65" s="48"/>
      <c r="CA65" s="48"/>
      <c r="CB65" s="48"/>
      <c r="CC65" s="48"/>
      <c r="CD65" s="48"/>
      <c r="CE65" s="48"/>
      <c r="CF65" s="48"/>
      <c r="CG65" s="48"/>
      <c r="CH65" s="48"/>
      <c r="CI65" s="48"/>
      <c r="CJ65" s="48"/>
      <c r="CK65" s="48"/>
      <c r="CL65" s="48"/>
      <c r="CM65" s="48"/>
      <c r="CN65" s="48"/>
      <c r="CO65" s="48"/>
      <c r="CP65" s="48"/>
      <c r="CQ65" s="48"/>
      <c r="CR65" s="48"/>
      <c r="CS65" s="48"/>
      <c r="CT65" s="48"/>
      <c r="CU65" s="48"/>
      <c r="CV65" s="48"/>
      <c r="CW65" s="48"/>
      <c r="CX65" s="48"/>
      <c r="CY65" s="48"/>
      <c r="CZ65" s="48"/>
      <c r="DA65" s="48"/>
      <c r="DB65" s="48"/>
      <c r="DC65" s="48"/>
      <c r="DD65" s="48"/>
      <c r="DE65"/>
      <c r="DF65" s="48"/>
      <c r="DG65" s="48"/>
      <c r="DH65" s="48"/>
      <c r="DI65" s="48"/>
    </row>
    <row r="66" spans="2:113" x14ac:dyDescent="0.2">
      <c r="B66" s="48"/>
      <c r="C66" s="144"/>
      <c r="D66" s="48"/>
      <c r="E66" s="48"/>
      <c r="F66" s="48"/>
      <c r="G66" s="48"/>
      <c r="H66" s="48"/>
      <c r="I66" s="48"/>
      <c r="J66" s="48"/>
      <c r="K66" s="48"/>
      <c r="L66" s="48"/>
      <c r="M66" s="48"/>
      <c r="N66" s="48"/>
      <c r="O66" s="48"/>
      <c r="P66" s="48"/>
      <c r="Q66" s="48"/>
      <c r="R66" s="48"/>
      <c r="S66" s="48"/>
      <c r="T66" s="48"/>
      <c r="U66" s="48"/>
      <c r="V66" s="48"/>
      <c r="W66" s="48"/>
      <c r="X66" s="48"/>
      <c r="Y66" s="48"/>
      <c r="Z66" s="48"/>
      <c r="AA66" s="48"/>
      <c r="AB66" s="48"/>
      <c r="AC66" s="48"/>
      <c r="AD66" s="48"/>
      <c r="AE66" s="48"/>
      <c r="AF66" s="198">
        <f t="shared" si="39"/>
        <v>90</v>
      </c>
      <c r="AG66" s="199" t="str">
        <f t="shared" si="39"/>
        <v>Aplicativos ou informações da internet durante as aulas</v>
      </c>
      <c r="AH66" s="210">
        <f t="shared" si="40"/>
        <v>5.2631578947368418E-2</v>
      </c>
      <c r="AI66" s="210">
        <f t="shared" si="40"/>
        <v>0.26315789473684209</v>
      </c>
      <c r="AJ66" s="210">
        <f t="shared" si="40"/>
        <v>0.10526315789473684</v>
      </c>
      <c r="AK66" s="210">
        <f t="shared" si="40"/>
        <v>0.42105263157894735</v>
      </c>
      <c r="AL66" s="210">
        <f t="shared" si="40"/>
        <v>0.15789473684210525</v>
      </c>
      <c r="AM66" s="267">
        <f t="shared" si="41"/>
        <v>1</v>
      </c>
      <c r="AN66" s="211">
        <f t="shared" si="38"/>
        <v>3.3684210526315788</v>
      </c>
      <c r="AO66" s="48"/>
      <c r="AP66" s="48"/>
      <c r="AQ66" s="48"/>
      <c r="AR66" s="48"/>
      <c r="AS66" s="48"/>
      <c r="AT66" s="48"/>
      <c r="AU66" s="1"/>
      <c r="AV66" s="48"/>
      <c r="AW66" s="48"/>
      <c r="AX66" s="48"/>
      <c r="AY66" s="48"/>
      <c r="AZ66" s="48"/>
      <c r="BA66" s="48"/>
      <c r="BB66" s="48"/>
      <c r="BC66" s="48"/>
      <c r="BD66" s="48"/>
      <c r="BE66" s="48"/>
      <c r="BF66" s="48"/>
      <c r="BG66" s="48"/>
      <c r="BH66" s="48"/>
      <c r="BI66" s="48"/>
      <c r="BJ66" s="48"/>
      <c r="BK66" s="48"/>
      <c r="BL66" s="48"/>
      <c r="BM66" s="48"/>
      <c r="BN66" s="48"/>
      <c r="BO66" s="48"/>
      <c r="BP66" s="48"/>
      <c r="BQ66" s="48"/>
      <c r="BR66" s="48"/>
      <c r="BS66" s="48"/>
      <c r="BT66" s="48"/>
      <c r="BU66" s="48"/>
      <c r="BV66" s="48"/>
      <c r="BW66" s="48"/>
      <c r="BX66" s="48"/>
      <c r="BY66" s="48"/>
      <c r="BZ66" s="48"/>
      <c r="CA66" s="48"/>
      <c r="CB66" s="48"/>
      <c r="CC66" s="48"/>
      <c r="CD66" s="48"/>
      <c r="CE66" s="48"/>
      <c r="CF66" s="48"/>
      <c r="CG66" s="48"/>
      <c r="CH66" s="48"/>
      <c r="CI66" s="48"/>
      <c r="CJ66" s="48"/>
      <c r="CK66" s="48"/>
      <c r="CL66" s="48"/>
      <c r="CM66" s="48"/>
      <c r="CN66" s="48"/>
      <c r="CO66" s="48"/>
      <c r="CP66" s="48"/>
      <c r="CQ66" s="48"/>
      <c r="CR66" s="48"/>
      <c r="CS66" s="48"/>
      <c r="CT66" s="48"/>
      <c r="CU66" s="48"/>
      <c r="CV66" s="48"/>
      <c r="CW66" s="48"/>
      <c r="CX66" s="48"/>
      <c r="CY66" s="48"/>
      <c r="CZ66" s="48"/>
      <c r="DA66" s="48"/>
      <c r="DB66" s="48"/>
      <c r="DC66" s="48"/>
      <c r="DD66" s="48"/>
      <c r="DE66"/>
      <c r="DF66" s="48"/>
      <c r="DG66" s="48"/>
      <c r="DH66" s="48"/>
      <c r="DI66" s="48"/>
    </row>
    <row r="67" spans="2:113" x14ac:dyDescent="0.2">
      <c r="B67" s="48"/>
      <c r="C67" s="144"/>
      <c r="D67" s="48"/>
      <c r="E67" s="48"/>
      <c r="F67" s="48"/>
      <c r="G67" s="48"/>
      <c r="H67" s="48"/>
      <c r="I67" s="48"/>
      <c r="J67" s="48"/>
      <c r="K67" s="48"/>
      <c r="L67" s="48"/>
      <c r="M67" s="48"/>
      <c r="N67" s="48"/>
      <c r="O67" s="48"/>
      <c r="P67" s="48"/>
      <c r="Q67" s="48"/>
      <c r="R67" s="48"/>
      <c r="S67" s="48"/>
      <c r="T67" s="48"/>
      <c r="U67" s="48"/>
      <c r="V67" s="48"/>
      <c r="W67" s="48"/>
      <c r="X67" s="48"/>
      <c r="Y67" s="48"/>
      <c r="Z67" s="48"/>
      <c r="AA67" s="48"/>
      <c r="AB67" s="48"/>
      <c r="AC67" s="48"/>
      <c r="AD67" s="48"/>
      <c r="AE67" s="48"/>
      <c r="AF67" s="81">
        <f t="shared" si="39"/>
        <v>91</v>
      </c>
      <c r="AG67" s="51" t="str">
        <f t="shared" si="39"/>
        <v>Confecção de artigos científicos</v>
      </c>
      <c r="AH67" s="19">
        <f t="shared" si="40"/>
        <v>0.21052631578947367</v>
      </c>
      <c r="AI67" s="19">
        <f t="shared" si="40"/>
        <v>0.31578947368421051</v>
      </c>
      <c r="AJ67" s="19">
        <f t="shared" si="40"/>
        <v>0.31578947368421051</v>
      </c>
      <c r="AK67" s="19">
        <f t="shared" si="40"/>
        <v>0.10526315789473684</v>
      </c>
      <c r="AL67" s="19">
        <f t="shared" si="40"/>
        <v>5.2631578947368418E-2</v>
      </c>
      <c r="AM67" s="232">
        <f t="shared" si="41"/>
        <v>1</v>
      </c>
      <c r="AN67" s="76">
        <f t="shared" si="38"/>
        <v>2.4736842105263159</v>
      </c>
      <c r="AO67" s="48"/>
      <c r="AP67" s="48"/>
      <c r="AQ67" s="48"/>
      <c r="AR67" s="48"/>
      <c r="AS67" s="48"/>
      <c r="AT67" s="48"/>
      <c r="AU67" s="1"/>
      <c r="AV67" s="48"/>
      <c r="AW67" s="48"/>
      <c r="AX67" s="48"/>
      <c r="AY67" s="48"/>
      <c r="AZ67" s="48"/>
      <c r="BA67" s="48"/>
      <c r="BB67" s="48"/>
      <c r="BC67" s="48"/>
      <c r="BD67" s="48"/>
      <c r="BE67" s="48"/>
      <c r="BF67" s="48"/>
      <c r="BG67" s="48"/>
      <c r="BH67" s="48"/>
      <c r="BI67" s="48"/>
      <c r="BJ67" s="48"/>
      <c r="BK67" s="48"/>
      <c r="BL67" s="48"/>
      <c r="BM67" s="48"/>
      <c r="BN67" s="48"/>
      <c r="BO67" s="48"/>
      <c r="BP67" s="48"/>
      <c r="BQ67" s="48"/>
      <c r="BR67" s="48"/>
      <c r="BS67" s="48"/>
      <c r="BT67" s="48"/>
      <c r="BU67" s="48"/>
      <c r="BV67" s="48"/>
      <c r="BW67" s="48"/>
      <c r="BX67" s="48"/>
      <c r="BY67" s="48"/>
      <c r="BZ67" s="48"/>
      <c r="CA67" s="48"/>
      <c r="CB67" s="48"/>
      <c r="CC67" s="48"/>
      <c r="CD67" s="48"/>
      <c r="CE67" s="48"/>
      <c r="CF67" s="48"/>
      <c r="CG67" s="48"/>
      <c r="CH67" s="48"/>
      <c r="CI67" s="48"/>
      <c r="CJ67" s="48"/>
      <c r="CK67" s="48"/>
      <c r="CL67" s="48"/>
      <c r="CM67" s="48"/>
      <c r="CN67" s="48"/>
      <c r="CO67" s="48"/>
      <c r="CP67" s="48"/>
      <c r="CQ67" s="48"/>
      <c r="CR67" s="48"/>
      <c r="CS67" s="48"/>
      <c r="CT67" s="48"/>
      <c r="CU67" s="48"/>
      <c r="CV67" s="48"/>
      <c r="CW67" s="48"/>
      <c r="CX67" s="48"/>
      <c r="CY67" s="48"/>
      <c r="CZ67" s="48"/>
      <c r="DA67" s="48"/>
      <c r="DB67" s="48"/>
      <c r="DC67" s="48"/>
      <c r="DD67" s="48"/>
      <c r="DE67"/>
      <c r="DF67" s="48"/>
      <c r="DG67" s="48"/>
      <c r="DH67" s="48"/>
      <c r="DI67" s="48"/>
    </row>
    <row r="68" spans="2:113" x14ac:dyDescent="0.2">
      <c r="B68" s="48"/>
      <c r="C68" s="144"/>
      <c r="D68" s="48"/>
      <c r="E68" s="48"/>
      <c r="F68" s="48"/>
      <c r="G68" s="48"/>
      <c r="H68" s="48"/>
      <c r="I68" s="48"/>
      <c r="J68" s="48"/>
      <c r="K68" s="48"/>
      <c r="L68" s="48"/>
      <c r="M68" s="48"/>
      <c r="N68" s="48"/>
      <c r="O68" s="48"/>
      <c r="P68" s="48"/>
      <c r="Q68" s="48"/>
      <c r="R68" s="48"/>
      <c r="S68" s="48"/>
      <c r="T68" s="48"/>
      <c r="U68" s="48"/>
      <c r="V68" s="48"/>
      <c r="W68" s="48"/>
      <c r="X68" s="48"/>
      <c r="Y68" s="48"/>
      <c r="Z68" s="48"/>
      <c r="AA68" s="48"/>
      <c r="AB68" s="48"/>
      <c r="AC68" s="48"/>
      <c r="AD68" s="48"/>
      <c r="AE68" s="48"/>
      <c r="AF68" s="198">
        <f t="shared" si="39"/>
        <v>92</v>
      </c>
      <c r="AG68" s="199" t="str">
        <f t="shared" si="39"/>
        <v>Provas de múltipla escolha</v>
      </c>
      <c r="AH68" s="210">
        <f t="shared" si="40"/>
        <v>0</v>
      </c>
      <c r="AI68" s="210">
        <f t="shared" si="40"/>
        <v>5.2631578947368418E-2</v>
      </c>
      <c r="AJ68" s="210">
        <f t="shared" si="40"/>
        <v>0.36842105263157893</v>
      </c>
      <c r="AK68" s="210">
        <f t="shared" si="40"/>
        <v>0.47368421052631576</v>
      </c>
      <c r="AL68" s="210">
        <f t="shared" si="40"/>
        <v>0.10526315789473684</v>
      </c>
      <c r="AM68" s="267">
        <f t="shared" si="41"/>
        <v>0.99999999999999989</v>
      </c>
      <c r="AN68" s="211">
        <f t="shared" si="38"/>
        <v>3.6315789473684212</v>
      </c>
      <c r="AO68" s="48"/>
      <c r="AP68" s="48"/>
      <c r="AQ68" s="48"/>
      <c r="AR68" s="48"/>
      <c r="AS68" s="48"/>
      <c r="AT68" s="48"/>
      <c r="AU68" s="1"/>
      <c r="AV68" s="48"/>
      <c r="AW68" s="48"/>
      <c r="AX68" s="48"/>
      <c r="AY68" s="48"/>
      <c r="AZ68" s="48"/>
      <c r="BA68" s="48"/>
      <c r="BB68" s="48"/>
      <c r="BC68" s="48"/>
      <c r="BD68" s="48"/>
      <c r="BE68" s="48"/>
      <c r="BF68" s="48"/>
      <c r="BG68" s="48"/>
      <c r="BH68" s="48"/>
      <c r="BI68" s="48"/>
      <c r="BJ68" s="48"/>
      <c r="BK68" s="48"/>
      <c r="BL68" s="48"/>
      <c r="BM68" s="48"/>
      <c r="BN68" s="48"/>
      <c r="BO68" s="48"/>
      <c r="BP68" s="48"/>
      <c r="BQ68" s="48"/>
      <c r="BR68" s="48"/>
      <c r="BS68" s="48"/>
      <c r="BT68" s="48"/>
      <c r="BU68" s="48"/>
      <c r="BV68" s="48"/>
      <c r="BW68" s="48"/>
      <c r="BX68" s="48"/>
      <c r="BY68" s="48"/>
      <c r="BZ68" s="48"/>
      <c r="CA68" s="48"/>
      <c r="CB68" s="48"/>
      <c r="CC68" s="48"/>
      <c r="CD68" s="48"/>
      <c r="CE68" s="48"/>
      <c r="CF68" s="48"/>
      <c r="CG68" s="48"/>
      <c r="CH68" s="48"/>
      <c r="CI68" s="48"/>
      <c r="CJ68" s="48"/>
      <c r="CK68" s="48"/>
      <c r="CL68" s="48"/>
      <c r="CM68" s="48"/>
      <c r="CN68" s="48"/>
      <c r="CO68" s="48"/>
      <c r="CP68" s="48"/>
      <c r="CQ68" s="48"/>
      <c r="CR68" s="48"/>
      <c r="CS68" s="48"/>
      <c r="CT68" s="48"/>
      <c r="CU68" s="48"/>
      <c r="CV68" s="48"/>
      <c r="CW68" s="48"/>
      <c r="CX68" s="48"/>
      <c r="CY68" s="48"/>
      <c r="CZ68" s="48"/>
      <c r="DA68" s="48"/>
      <c r="DB68" s="48"/>
      <c r="DC68" s="48"/>
      <c r="DD68" s="48"/>
      <c r="DE68"/>
      <c r="DF68" s="48"/>
      <c r="DG68" s="48"/>
      <c r="DH68" s="48"/>
      <c r="DI68" s="48"/>
    </row>
    <row r="69" spans="2:113" x14ac:dyDescent="0.2">
      <c r="B69" s="48"/>
      <c r="C69" s="144"/>
      <c r="D69" s="48"/>
      <c r="E69" s="48"/>
      <c r="F69" s="48"/>
      <c r="G69" s="48"/>
      <c r="H69" s="48"/>
      <c r="I69" s="48"/>
      <c r="J69" s="48"/>
      <c r="K69" s="48"/>
      <c r="L69" s="48"/>
      <c r="M69" s="48"/>
      <c r="N69" s="48"/>
      <c r="O69" s="48"/>
      <c r="P69" s="48"/>
      <c r="Q69" s="48"/>
      <c r="R69" s="48"/>
      <c r="S69" s="48"/>
      <c r="T69" s="48"/>
      <c r="U69" s="48"/>
      <c r="V69" s="48"/>
      <c r="W69" s="48"/>
      <c r="X69" s="48"/>
      <c r="Y69" s="48"/>
      <c r="Z69" s="48"/>
      <c r="AA69" s="48"/>
      <c r="AB69" s="48"/>
      <c r="AC69" s="48"/>
      <c r="AD69" s="48"/>
      <c r="AE69" s="48"/>
      <c r="AF69" s="48"/>
      <c r="AG69" s="48"/>
      <c r="AH69" s="1"/>
      <c r="AI69" s="48"/>
      <c r="AJ69" s="48"/>
      <c r="AK69" s="48"/>
      <c r="AL69" s="48"/>
      <c r="AM69" s="48"/>
      <c r="AN69" s="48"/>
      <c r="AO69" s="48"/>
      <c r="AP69" s="48"/>
      <c r="AQ69" s="48"/>
      <c r="AR69" s="48"/>
      <c r="AS69" s="48"/>
      <c r="AT69" s="48"/>
      <c r="AU69" s="1"/>
      <c r="AV69" s="48"/>
      <c r="AW69" s="48"/>
      <c r="AX69" s="48"/>
      <c r="AY69" s="48"/>
      <c r="AZ69" s="48"/>
      <c r="BA69" s="48"/>
      <c r="BB69" s="48"/>
      <c r="BC69" s="48"/>
      <c r="BD69" s="48"/>
      <c r="BE69" s="48"/>
      <c r="BF69" s="48"/>
      <c r="BG69" s="48"/>
      <c r="BH69" s="48"/>
      <c r="BI69" s="48"/>
      <c r="BJ69" s="48"/>
      <c r="BK69" s="48"/>
      <c r="BL69" s="48"/>
      <c r="BM69" s="48"/>
      <c r="BN69" s="48"/>
      <c r="BO69" s="48"/>
      <c r="BP69" s="48"/>
      <c r="BQ69" s="48"/>
      <c r="BR69" s="48"/>
      <c r="BS69" s="48"/>
      <c r="BT69" s="48"/>
      <c r="BU69" s="48"/>
      <c r="BV69" s="48"/>
      <c r="BW69" s="48"/>
      <c r="BX69" s="48"/>
      <c r="BY69" s="48"/>
      <c r="BZ69" s="48"/>
      <c r="CA69" s="48"/>
      <c r="CB69" s="48"/>
      <c r="CC69" s="48"/>
      <c r="CD69" s="48"/>
      <c r="CE69" s="48"/>
      <c r="CF69" s="48"/>
      <c r="CG69" s="48"/>
      <c r="CH69" s="48"/>
      <c r="CI69" s="48"/>
      <c r="CJ69" s="48"/>
      <c r="CK69" s="48"/>
      <c r="CL69" s="48"/>
      <c r="CM69" s="48"/>
      <c r="CN69" s="48"/>
      <c r="CO69" s="48"/>
      <c r="CP69" s="48"/>
      <c r="CQ69" s="48"/>
      <c r="CR69" s="48"/>
      <c r="CS69" s="48"/>
      <c r="CT69" s="48"/>
      <c r="CU69" s="48"/>
      <c r="CV69" s="48"/>
      <c r="CW69" s="48"/>
      <c r="CX69" s="48"/>
      <c r="CY69" s="48"/>
      <c r="CZ69" s="48"/>
      <c r="DA69" s="48"/>
      <c r="DB69" s="48"/>
      <c r="DC69" s="48"/>
      <c r="DD69" s="48"/>
      <c r="DE69"/>
      <c r="DF69" s="48"/>
      <c r="DG69" s="48"/>
      <c r="DH69" s="48"/>
      <c r="DI69" s="48"/>
    </row>
    <row r="70" spans="2:113" x14ac:dyDescent="0.2">
      <c r="B70" s="48"/>
      <c r="C70" s="144"/>
      <c r="D70" s="48"/>
      <c r="E70" s="48"/>
      <c r="F70" s="48"/>
      <c r="G70" s="48"/>
      <c r="H70" s="48"/>
      <c r="I70" s="48"/>
      <c r="J70" s="48"/>
      <c r="K70" s="48"/>
      <c r="L70" s="48"/>
      <c r="M70" s="48"/>
      <c r="N70" s="48"/>
      <c r="O70" s="48"/>
      <c r="P70" s="48"/>
      <c r="Q70" s="48"/>
      <c r="R70" s="48"/>
      <c r="S70" s="48"/>
      <c r="T70" s="48"/>
      <c r="U70" s="48"/>
      <c r="V70" s="48"/>
      <c r="W70" s="48"/>
      <c r="X70" s="48"/>
      <c r="Y70" s="48"/>
      <c r="Z70" s="48"/>
      <c r="AA70" s="48"/>
      <c r="AB70" s="48"/>
      <c r="AC70" s="48"/>
      <c r="AD70" s="48"/>
      <c r="AE70" s="48"/>
      <c r="AF70" s="48"/>
      <c r="AG70" s="48"/>
      <c r="AH70" s="1"/>
      <c r="AI70" s="48"/>
      <c r="AJ70" s="48"/>
      <c r="AK70" s="48"/>
      <c r="AL70" s="48"/>
      <c r="AM70" s="48"/>
      <c r="AN70" s="48"/>
      <c r="AO70" s="48"/>
      <c r="AP70" s="48"/>
      <c r="AQ70" s="48"/>
      <c r="AR70" s="48"/>
      <c r="AS70" s="48"/>
      <c r="AT70" s="48"/>
      <c r="AU70" s="1"/>
      <c r="AV70" s="48"/>
      <c r="AW70" s="48"/>
      <c r="AX70" s="48"/>
      <c r="AY70" s="48"/>
      <c r="AZ70" s="48"/>
      <c r="BA70" s="48"/>
      <c r="BB70" s="48"/>
      <c r="BC70" s="48"/>
      <c r="BD70" s="48"/>
      <c r="BE70" s="48"/>
      <c r="BF70" s="48"/>
      <c r="BG70" s="48"/>
      <c r="BH70" s="48"/>
      <c r="BI70" s="48"/>
      <c r="BJ70" s="48"/>
      <c r="BK70" s="48"/>
      <c r="BL70" s="48"/>
      <c r="BM70" s="48"/>
      <c r="BN70" s="48"/>
      <c r="BO70" s="48"/>
      <c r="BP70" s="48"/>
      <c r="BQ70" s="48"/>
      <c r="BR70" s="48"/>
      <c r="BS70" s="48"/>
      <c r="BT70" s="48"/>
      <c r="BU70" s="48"/>
      <c r="BV70" s="48"/>
      <c r="BW70" s="48"/>
      <c r="BX70" s="48"/>
      <c r="BY70" s="48"/>
      <c r="BZ70" s="48"/>
      <c r="CA70" s="48"/>
      <c r="CB70" s="48"/>
      <c r="CC70" s="48"/>
      <c r="CD70" s="48"/>
      <c r="CE70" s="48"/>
      <c r="CF70" s="48"/>
      <c r="CG70" s="48"/>
      <c r="CH70" s="48"/>
      <c r="CI70" s="48"/>
      <c r="CJ70" s="48"/>
      <c r="CK70" s="48"/>
      <c r="CL70" s="48"/>
      <c r="CM70" s="48"/>
      <c r="CN70" s="48"/>
      <c r="CO70" s="48"/>
      <c r="CP70" s="48"/>
      <c r="CQ70" s="48"/>
      <c r="CR70" s="48"/>
      <c r="CS70" s="48"/>
      <c r="CT70" s="48"/>
      <c r="CU70" s="48"/>
      <c r="CV70" s="48"/>
      <c r="CW70" s="48"/>
      <c r="CX70" s="48"/>
      <c r="CY70" s="48"/>
      <c r="CZ70" s="48"/>
      <c r="DA70" s="48"/>
      <c r="DB70" s="48"/>
      <c r="DC70" s="48"/>
      <c r="DD70" s="48"/>
      <c r="DE70"/>
      <c r="DF70" s="48"/>
      <c r="DG70" s="48"/>
      <c r="DH70" s="48"/>
      <c r="DI70" s="48"/>
    </row>
    <row r="71" spans="2:113" x14ac:dyDescent="0.2">
      <c r="B71" s="48"/>
      <c r="C71" s="144"/>
      <c r="D71" s="48"/>
      <c r="E71" s="48"/>
      <c r="F71" s="48"/>
      <c r="G71" s="48"/>
      <c r="H71" s="48"/>
      <c r="I71" s="48"/>
      <c r="J71" s="48"/>
      <c r="K71" s="48"/>
      <c r="L71" s="48"/>
      <c r="M71" s="48"/>
      <c r="N71" s="48"/>
      <c r="O71" s="48"/>
      <c r="P71" s="48"/>
      <c r="Q71" s="48"/>
      <c r="R71" s="48"/>
      <c r="S71" s="48"/>
      <c r="T71" s="48"/>
      <c r="U71" s="48"/>
      <c r="V71" s="48"/>
      <c r="W71" s="48"/>
      <c r="X71" s="48"/>
      <c r="Y71" s="48"/>
      <c r="Z71" s="48"/>
      <c r="AA71" s="48"/>
      <c r="AB71" s="48"/>
      <c r="AC71" s="48"/>
      <c r="AD71" s="48"/>
      <c r="AE71" s="48"/>
      <c r="AF71" s="48"/>
      <c r="AG71" s="48"/>
      <c r="AH71" s="1"/>
      <c r="AI71" s="48"/>
      <c r="AJ71" s="48"/>
      <c r="AK71" s="48"/>
      <c r="AL71" s="48"/>
      <c r="AM71" s="48"/>
      <c r="AN71" s="48"/>
      <c r="AO71" s="48"/>
      <c r="AP71" s="48"/>
      <c r="AQ71" s="48"/>
      <c r="AR71" s="48"/>
      <c r="AS71" s="48"/>
      <c r="AT71" s="48"/>
      <c r="AU71" s="1"/>
      <c r="AV71" s="48"/>
      <c r="AW71" s="48"/>
      <c r="AX71" s="48"/>
      <c r="AY71" s="48"/>
      <c r="AZ71" s="48"/>
      <c r="BA71" s="48"/>
      <c r="BB71" s="48"/>
      <c r="BC71" s="48"/>
      <c r="BD71" s="48"/>
      <c r="BE71" s="48"/>
      <c r="BF71" s="48"/>
      <c r="BG71" s="48"/>
      <c r="BH71" s="48"/>
      <c r="BI71" s="48"/>
      <c r="BJ71" s="48"/>
      <c r="BK71" s="48"/>
      <c r="BL71" s="48"/>
      <c r="BM71" s="48"/>
      <c r="BN71" s="48"/>
      <c r="BO71" s="48"/>
      <c r="BP71" s="48"/>
      <c r="BQ71" s="48"/>
      <c r="BR71" s="48"/>
      <c r="BS71" s="48"/>
      <c r="BT71" s="48"/>
      <c r="BU71" s="48"/>
      <c r="BV71" s="48"/>
      <c r="BW71" s="48"/>
      <c r="BX71" s="48"/>
      <c r="BY71" s="48"/>
      <c r="BZ71" s="48"/>
      <c r="CA71" s="48"/>
      <c r="CB71" s="48"/>
      <c r="CC71" s="48"/>
      <c r="CD71" s="48"/>
      <c r="CE71" s="48"/>
      <c r="CF71" s="48"/>
      <c r="CG71" s="48"/>
      <c r="CH71" s="48"/>
      <c r="CI71" s="48"/>
      <c r="CJ71" s="48"/>
      <c r="CK71" s="48"/>
      <c r="CL71" s="48"/>
      <c r="CM71" s="48"/>
      <c r="CN71" s="48"/>
      <c r="CO71" s="48"/>
      <c r="CP71" s="48"/>
      <c r="CQ71" s="48"/>
      <c r="CR71" s="48"/>
      <c r="CS71" s="48"/>
      <c r="CT71" s="48"/>
      <c r="CU71" s="48"/>
      <c r="CV71" s="48"/>
      <c r="CW71" s="48"/>
      <c r="CX71" s="48"/>
      <c r="CY71" s="48"/>
      <c r="CZ71" s="48"/>
      <c r="DA71" s="48"/>
      <c r="DB71" s="48"/>
      <c r="DC71" s="48"/>
      <c r="DD71" s="48"/>
      <c r="DE71"/>
      <c r="DF71" s="48"/>
      <c r="DG71" s="48"/>
      <c r="DH71" s="48"/>
      <c r="DI71" s="48"/>
    </row>
    <row r="72" spans="2:113" x14ac:dyDescent="0.2"/>
    <row r="73" spans="2:113" x14ac:dyDescent="0.2"/>
    <row r="74" spans="2:113" x14ac:dyDescent="0.2"/>
    <row r="75" spans="2:113" hidden="1" x14ac:dyDescent="0.2"/>
    <row r="76" spans="2:113" hidden="1" x14ac:dyDescent="0.2"/>
    <row r="77" spans="2:113" hidden="1" x14ac:dyDescent="0.2"/>
    <row r="78" spans="2:113" hidden="1" x14ac:dyDescent="0.2"/>
    <row r="79" spans="2:113" hidden="1" x14ac:dyDescent="0.2"/>
    <row r="80" spans="2:113" hidden="1" x14ac:dyDescent="0.2"/>
    <row r="81" hidden="1" x14ac:dyDescent="0.2"/>
    <row r="82" hidden="1" x14ac:dyDescent="0.2"/>
    <row r="83" hidden="1" x14ac:dyDescent="0.2"/>
    <row r="84" hidden="1" x14ac:dyDescent="0.2"/>
    <row r="85" hidden="1" x14ac:dyDescent="0.2"/>
    <row r="86" hidden="1" x14ac:dyDescent="0.2"/>
    <row r="87" hidden="1" x14ac:dyDescent="0.2"/>
    <row r="88" hidden="1" x14ac:dyDescent="0.2"/>
    <row r="89" hidden="1" x14ac:dyDescent="0.2"/>
    <row r="90" hidden="1" x14ac:dyDescent="0.2"/>
    <row r="91" hidden="1" x14ac:dyDescent="0.2"/>
    <row r="92" hidden="1" x14ac:dyDescent="0.2"/>
    <row r="93" hidden="1" x14ac:dyDescent="0.2"/>
    <row r="94" hidden="1" x14ac:dyDescent="0.2"/>
    <row r="95" hidden="1" x14ac:dyDescent="0.2"/>
    <row r="96" hidden="1" x14ac:dyDescent="0.2"/>
    <row r="97" hidden="1" x14ac:dyDescent="0.2"/>
    <row r="98" hidden="1" x14ac:dyDescent="0.2"/>
    <row r="99" hidden="1" x14ac:dyDescent="0.2"/>
    <row r="100" hidden="1" x14ac:dyDescent="0.2"/>
    <row r="101" hidden="1" x14ac:dyDescent="0.2"/>
    <row r="102" hidden="1" x14ac:dyDescent="0.2"/>
    <row r="103" hidden="1" x14ac:dyDescent="0.2"/>
    <row r="104" hidden="1" x14ac:dyDescent="0.2"/>
    <row r="105" hidden="1" x14ac:dyDescent="0.2"/>
    <row r="106" hidden="1" x14ac:dyDescent="0.2"/>
    <row r="107" hidden="1" x14ac:dyDescent="0.2"/>
    <row r="108" hidden="1" x14ac:dyDescent="0.2"/>
    <row r="109" hidden="1" x14ac:dyDescent="0.2"/>
    <row r="110" hidden="1" x14ac:dyDescent="0.2"/>
    <row r="111" hidden="1" x14ac:dyDescent="0.2"/>
    <row r="112" hidden="1" x14ac:dyDescent="0.2"/>
    <row r="113" hidden="1" x14ac:dyDescent="0.2"/>
    <row r="114" hidden="1" x14ac:dyDescent="0.2"/>
    <row r="115" hidden="1" x14ac:dyDescent="0.2"/>
    <row r="116" hidden="1" x14ac:dyDescent="0.2"/>
    <row r="117" hidden="1" x14ac:dyDescent="0.2"/>
    <row r="118" hidden="1" x14ac:dyDescent="0.2"/>
    <row r="119" hidden="1" x14ac:dyDescent="0.2"/>
    <row r="120" hidden="1" x14ac:dyDescent="0.2"/>
    <row r="121" hidden="1" x14ac:dyDescent="0.2"/>
    <row r="122" hidden="1" x14ac:dyDescent="0.2"/>
    <row r="123" hidden="1" x14ac:dyDescent="0.2"/>
    <row r="124" hidden="1" x14ac:dyDescent="0.2"/>
    <row r="125" hidden="1" x14ac:dyDescent="0.2"/>
    <row r="126" hidden="1" x14ac:dyDescent="0.2"/>
    <row r="127" hidden="1" x14ac:dyDescent="0.2"/>
    <row r="128" hidden="1" x14ac:dyDescent="0.2"/>
    <row r="129" hidden="1" x14ac:dyDescent="0.2"/>
    <row r="130" hidden="1" x14ac:dyDescent="0.2"/>
    <row r="131" hidden="1" x14ac:dyDescent="0.2"/>
    <row r="132" hidden="1" x14ac:dyDescent="0.2"/>
    <row r="133" hidden="1" x14ac:dyDescent="0.2"/>
    <row r="134" hidden="1" x14ac:dyDescent="0.2"/>
    <row r="135" hidden="1" x14ac:dyDescent="0.2"/>
    <row r="136" hidden="1" x14ac:dyDescent="0.2"/>
    <row r="137" hidden="1" x14ac:dyDescent="0.2"/>
    <row r="138" hidden="1" x14ac:dyDescent="0.2"/>
    <row r="139" hidden="1" x14ac:dyDescent="0.2"/>
    <row r="140" hidden="1" x14ac:dyDescent="0.2"/>
    <row r="141" hidden="1" x14ac:dyDescent="0.2"/>
    <row r="142" hidden="1" x14ac:dyDescent="0.2"/>
    <row r="143" hidden="1" x14ac:dyDescent="0.2"/>
    <row r="144" hidden="1" x14ac:dyDescent="0.2"/>
    <row r="145" hidden="1" x14ac:dyDescent="0.2"/>
    <row r="146" hidden="1" x14ac:dyDescent="0.2"/>
    <row r="147" hidden="1" x14ac:dyDescent="0.2"/>
    <row r="148" hidden="1" x14ac:dyDescent="0.2"/>
    <row r="149" hidden="1" x14ac:dyDescent="0.2"/>
    <row r="150" hidden="1" x14ac:dyDescent="0.2"/>
    <row r="151" hidden="1" x14ac:dyDescent="0.2"/>
    <row r="152" hidden="1" x14ac:dyDescent="0.2"/>
    <row r="153" hidden="1" x14ac:dyDescent="0.2"/>
    <row r="154" hidden="1" x14ac:dyDescent="0.2"/>
    <row r="155" hidden="1" x14ac:dyDescent="0.2"/>
    <row r="156" hidden="1" x14ac:dyDescent="0.2"/>
    <row r="157" hidden="1" x14ac:dyDescent="0.2"/>
    <row r="158" hidden="1" x14ac:dyDescent="0.2"/>
    <row r="159" hidden="1" x14ac:dyDescent="0.2"/>
    <row r="160" hidden="1" x14ac:dyDescent="0.2"/>
    <row r="161" hidden="1" x14ac:dyDescent="0.2"/>
    <row r="162" hidden="1" x14ac:dyDescent="0.2"/>
    <row r="163" hidden="1" x14ac:dyDescent="0.2"/>
    <row r="164" hidden="1" x14ac:dyDescent="0.2"/>
    <row r="165" hidden="1" x14ac:dyDescent="0.2"/>
    <row r="166" hidden="1" x14ac:dyDescent="0.2"/>
    <row r="167" hidden="1" x14ac:dyDescent="0.2"/>
    <row r="168" hidden="1" x14ac:dyDescent="0.2"/>
    <row r="169" hidden="1" x14ac:dyDescent="0.2"/>
    <row r="170" hidden="1" x14ac:dyDescent="0.2"/>
    <row r="171" hidden="1" x14ac:dyDescent="0.2"/>
    <row r="172" hidden="1" x14ac:dyDescent="0.2"/>
    <row r="173" hidden="1" x14ac:dyDescent="0.2"/>
    <row r="174" hidden="1" x14ac:dyDescent="0.2"/>
    <row r="175" hidden="1" x14ac:dyDescent="0.2"/>
    <row r="176" hidden="1" x14ac:dyDescent="0.2"/>
    <row r="177" hidden="1" x14ac:dyDescent="0.2"/>
    <row r="178" hidden="1" x14ac:dyDescent="0.2"/>
    <row r="179" hidden="1" x14ac:dyDescent="0.2"/>
    <row r="180" hidden="1" x14ac:dyDescent="0.2"/>
    <row r="181" hidden="1" x14ac:dyDescent="0.2"/>
    <row r="182" hidden="1" x14ac:dyDescent="0.2"/>
    <row r="183" hidden="1" x14ac:dyDescent="0.2"/>
    <row r="184" hidden="1" x14ac:dyDescent="0.2"/>
    <row r="185" hidden="1" x14ac:dyDescent="0.2"/>
    <row r="186" hidden="1" x14ac:dyDescent="0.2"/>
    <row r="187" hidden="1" x14ac:dyDescent="0.2"/>
    <row r="188" hidden="1" x14ac:dyDescent="0.2"/>
    <row r="189" hidden="1" x14ac:dyDescent="0.2"/>
    <row r="190" hidden="1" x14ac:dyDescent="0.2"/>
    <row r="191" hidden="1" x14ac:dyDescent="0.2"/>
    <row r="192" hidden="1" x14ac:dyDescent="0.2"/>
    <row r="193" hidden="1" x14ac:dyDescent="0.2"/>
    <row r="194" hidden="1" x14ac:dyDescent="0.2"/>
    <row r="195" hidden="1" x14ac:dyDescent="0.2"/>
    <row r="196" hidden="1" x14ac:dyDescent="0.2"/>
    <row r="197" hidden="1" x14ac:dyDescent="0.2"/>
    <row r="198" hidden="1" x14ac:dyDescent="0.2"/>
    <row r="199" hidden="1" x14ac:dyDescent="0.2"/>
    <row r="200" hidden="1" x14ac:dyDescent="0.2"/>
    <row r="201" hidden="1" x14ac:dyDescent="0.2"/>
    <row r="202" hidden="1" x14ac:dyDescent="0.2"/>
    <row r="203" hidden="1" x14ac:dyDescent="0.2"/>
    <row r="204" hidden="1" x14ac:dyDescent="0.2"/>
    <row r="205" hidden="1" x14ac:dyDescent="0.2"/>
  </sheetData>
  <sheetProtection algorithmName="SHA-512" hashValue="9OqliGhsZafTDXIPopRGNnDxA2oCcohsCbA25R8LQXyHLqGZ3ZUpCe+lpfrl6ZxlUDPpe1Uvy0tGH0eUBX5yyQ==" saltValue="KukU7UteOLwbbLN2sjoaKg==" spinCount="100000" sheet="1" objects="1" scenarios="1"/>
  <mergeCells count="15">
    <mergeCell ref="CN27:CP27"/>
    <mergeCell ref="CZ27:DB27"/>
    <mergeCell ref="C7:C35"/>
    <mergeCell ref="Q6:S6"/>
    <mergeCell ref="Q19:S19"/>
    <mergeCell ref="AH7:AL7"/>
    <mergeCell ref="AH21:AL21"/>
    <mergeCell ref="CN6:CP6"/>
    <mergeCell ref="CZ6:DB6"/>
    <mergeCell ref="AH39:AL39"/>
    <mergeCell ref="AH56:AL56"/>
    <mergeCell ref="BW27:BY27"/>
    <mergeCell ref="AU6:AY6"/>
    <mergeCell ref="AU24:AY24"/>
    <mergeCell ref="BW6:BY6"/>
  </mergeCells>
  <dataValidations count="4">
    <dataValidation type="list" allowBlank="1" showInputMessage="1" showErrorMessage="1" sqref="DG32">
      <formula1>$BK$9:$BK$10</formula1>
    </dataValidation>
    <dataValidation type="list" allowBlank="1" showInputMessage="1" showErrorMessage="1" sqref="DG38">
      <formula1>$CC$9:$CC$10</formula1>
    </dataValidation>
    <dataValidation type="list" allowBlank="1" showInputMessage="1" showErrorMessage="1" sqref="DG44">
      <formula1>$CT$9:$CT$10</formula1>
    </dataValidation>
    <dataValidation type="list" allowBlank="1" showInputMessage="1" showErrorMessage="1" sqref="DG50">
      <formula1>$AB$9:$AB$10</formula1>
    </dataValidation>
  </dataValidations>
  <pageMargins left="0.511811024" right="0.511811024" top="0.78740157499999996" bottom="0.78740157499999996" header="0.31496062000000002" footer="0.31496062000000002"/>
  <pageSetup orientation="portrait" r:id="rId1"/>
  <ignoredErrors>
    <ignoredError sqref="V9:V10 DB36 BY37 CP37" formula="1"/>
  </ignoredErrors>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14:formula1>
            <xm:f>CaractAmostra!$BV$9:$BV$22</xm:f>
          </x14:formula1>
          <xm:sqref>DG26</xm:sqref>
        </x14:dataValidation>
        <x14:dataValidation type="list" allowBlank="1" showInputMessage="1" showErrorMessage="1">
          <x14:formula1>
            <xm:f>CaractAmostra!$E$9:$E$20</xm:f>
          </x14:formula1>
          <xm:sqref>F30 K18 P21 AB17 AG39 AT26 BF45 BK26 BP30 BV30 CC26 CH29 CM30 CT26 CY29 DG20</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75"/>
  <sheetViews>
    <sheetView showGridLines="0" workbookViewId="0"/>
  </sheetViews>
  <sheetFormatPr defaultColWidth="0" defaultRowHeight="12.75" zeroHeight="1" x14ac:dyDescent="0.2"/>
  <cols>
    <col min="1" max="1" width="24.7109375" style="126" customWidth="1"/>
    <col min="2" max="2" width="4.5703125" style="126" customWidth="1"/>
    <col min="3" max="3" width="57.85546875" style="126" customWidth="1"/>
    <col min="4" max="4" width="4.5703125" style="126" customWidth="1"/>
    <col min="5" max="5" width="23.7109375" style="126" customWidth="1"/>
    <col min="6" max="6" width="32.28515625" style="126" customWidth="1"/>
    <col min="7" max="7" width="107.28515625" style="126" customWidth="1"/>
    <col min="8" max="11" width="9.140625" style="126" customWidth="1"/>
    <col min="12" max="16" width="0" style="126" hidden="1" customWidth="1"/>
    <col min="17" max="16384" width="9.140625" style="126" hidden="1"/>
  </cols>
  <sheetData>
    <row r="1" spans="1:10" ht="139.5" customHeight="1" x14ac:dyDescent="0.2">
      <c r="A1" s="151" t="s">
        <v>1211</v>
      </c>
      <c r="F1" s="222" t="s">
        <v>1212</v>
      </c>
    </row>
    <row r="2" spans="1:10" x14ac:dyDescent="0.2">
      <c r="B2" s="48"/>
      <c r="C2" s="48"/>
      <c r="D2" s="48"/>
      <c r="E2" s="48"/>
      <c r="F2" s="48"/>
      <c r="G2" s="48"/>
      <c r="H2" s="48"/>
      <c r="I2" s="48"/>
      <c r="J2" s="48"/>
    </row>
    <row r="3" spans="1:10" ht="49.5" customHeight="1" x14ac:dyDescent="0.2">
      <c r="B3" s="48"/>
      <c r="C3" s="178" t="s">
        <v>1153</v>
      </c>
      <c r="D3" s="48"/>
      <c r="E3" s="338" t="s">
        <v>117</v>
      </c>
      <c r="F3" s="339"/>
      <c r="G3" s="340"/>
      <c r="H3" s="48"/>
      <c r="I3" s="48"/>
      <c r="J3" s="48"/>
    </row>
    <row r="4" spans="1:10" ht="14.25" customHeight="1" x14ac:dyDescent="0.2">
      <c r="A4" s="136"/>
      <c r="B4" s="48"/>
      <c r="C4" s="322" t="s">
        <v>1363</v>
      </c>
      <c r="D4" s="48"/>
      <c r="E4" s="306" t="s">
        <v>764</v>
      </c>
      <c r="F4" s="306" t="s">
        <v>620</v>
      </c>
      <c r="G4" s="306" t="s">
        <v>1153</v>
      </c>
      <c r="H4" s="301" t="s">
        <v>1362</v>
      </c>
      <c r="I4" s="302" t="s">
        <v>1360</v>
      </c>
      <c r="J4" s="302">
        <f>COUNTIF($H$5:$H$71,I4)</f>
        <v>7</v>
      </c>
    </row>
    <row r="5" spans="1:10" ht="38.25" x14ac:dyDescent="0.2">
      <c r="B5" s="48"/>
      <c r="C5" s="323"/>
      <c r="D5" s="48"/>
      <c r="E5" s="275" t="s">
        <v>292</v>
      </c>
      <c r="F5" s="61" t="s">
        <v>119</v>
      </c>
      <c r="G5" s="305" t="s">
        <v>404</v>
      </c>
      <c r="H5" s="302"/>
      <c r="I5" s="302" t="s">
        <v>1361</v>
      </c>
      <c r="J5" s="302">
        <f>COUNTIF($H$5:$H$71,I5)</f>
        <v>36</v>
      </c>
    </row>
    <row r="6" spans="1:10" x14ac:dyDescent="0.2">
      <c r="B6" s="48"/>
      <c r="C6" s="323"/>
      <c r="D6" s="48"/>
      <c r="E6" s="275" t="s">
        <v>292</v>
      </c>
      <c r="F6" s="61" t="s">
        <v>119</v>
      </c>
      <c r="G6" s="305" t="s">
        <v>438</v>
      </c>
      <c r="H6" s="302"/>
      <c r="I6" s="301"/>
      <c r="J6" s="301"/>
    </row>
    <row r="7" spans="1:10" ht="25.5" x14ac:dyDescent="0.2">
      <c r="B7" s="48"/>
      <c r="C7" s="323"/>
      <c r="D7" s="48"/>
      <c r="E7" s="275" t="s">
        <v>292</v>
      </c>
      <c r="F7" s="61" t="s">
        <v>119</v>
      </c>
      <c r="G7" s="305" t="s">
        <v>656</v>
      </c>
      <c r="H7" s="302" t="s">
        <v>1361</v>
      </c>
      <c r="I7" s="302" t="s">
        <v>1360</v>
      </c>
      <c r="J7" s="303">
        <f>J4/SUM($J$4:$J$5)</f>
        <v>0.16279069767441862</v>
      </c>
    </row>
    <row r="8" spans="1:10" x14ac:dyDescent="0.2">
      <c r="B8" s="48"/>
      <c r="C8" s="323"/>
      <c r="D8" s="48"/>
      <c r="E8" s="275" t="s">
        <v>292</v>
      </c>
      <c r="F8" s="61" t="s">
        <v>119</v>
      </c>
      <c r="G8" s="305" t="s">
        <v>661</v>
      </c>
      <c r="H8" s="302"/>
      <c r="I8" s="302" t="s">
        <v>1361</v>
      </c>
      <c r="J8" s="303">
        <f>J5/SUM($J$4:$J$5)</f>
        <v>0.83720930232558144</v>
      </c>
    </row>
    <row r="9" spans="1:10" x14ac:dyDescent="0.2">
      <c r="B9" s="48"/>
      <c r="C9" s="323"/>
      <c r="D9" s="48"/>
      <c r="E9" s="275" t="s">
        <v>292</v>
      </c>
      <c r="F9" s="61" t="s">
        <v>119</v>
      </c>
      <c r="G9" s="305" t="s">
        <v>867</v>
      </c>
      <c r="H9" s="302" t="s">
        <v>1361</v>
      </c>
      <c r="I9" s="301"/>
      <c r="J9" s="301"/>
    </row>
    <row r="10" spans="1:10" x14ac:dyDescent="0.2">
      <c r="B10" s="48"/>
      <c r="C10" s="323"/>
      <c r="D10" s="48"/>
      <c r="E10" s="275" t="s">
        <v>292</v>
      </c>
      <c r="F10" s="61" t="s">
        <v>119</v>
      </c>
      <c r="G10" s="305" t="s">
        <v>896</v>
      </c>
      <c r="H10" s="302"/>
      <c r="I10" s="301"/>
      <c r="J10" s="301"/>
    </row>
    <row r="11" spans="1:10" x14ac:dyDescent="0.2">
      <c r="B11" s="48"/>
      <c r="C11" s="323"/>
      <c r="D11" s="48"/>
      <c r="E11" s="70" t="s">
        <v>292</v>
      </c>
      <c r="F11" s="60" t="s">
        <v>122</v>
      </c>
      <c r="G11" s="221" t="s">
        <v>460</v>
      </c>
      <c r="H11" s="302" t="s">
        <v>1361</v>
      </c>
      <c r="I11" s="301"/>
      <c r="J11" s="301"/>
    </row>
    <row r="12" spans="1:10" x14ac:dyDescent="0.2">
      <c r="B12" s="48"/>
      <c r="C12" s="323"/>
      <c r="D12" s="48"/>
      <c r="E12" s="70" t="s">
        <v>292</v>
      </c>
      <c r="F12" s="60" t="s">
        <v>122</v>
      </c>
      <c r="G12" s="221" t="s">
        <v>484</v>
      </c>
      <c r="H12" s="302" t="s">
        <v>1361</v>
      </c>
      <c r="I12" s="301"/>
      <c r="J12" s="304">
        <f>43/66</f>
        <v>0.65151515151515149</v>
      </c>
    </row>
    <row r="13" spans="1:10" ht="51" x14ac:dyDescent="0.2">
      <c r="B13" s="48"/>
      <c r="C13" s="323"/>
      <c r="D13" s="48"/>
      <c r="E13" s="70" t="s">
        <v>292</v>
      </c>
      <c r="F13" s="60" t="s">
        <v>122</v>
      </c>
      <c r="G13" s="221" t="s">
        <v>630</v>
      </c>
      <c r="H13" s="302" t="s">
        <v>1361</v>
      </c>
      <c r="I13" s="301"/>
      <c r="J13" s="301"/>
    </row>
    <row r="14" spans="1:10" x14ac:dyDescent="0.2">
      <c r="B14" s="48"/>
      <c r="C14" s="323"/>
      <c r="D14" s="48"/>
      <c r="E14" s="70" t="s">
        <v>292</v>
      </c>
      <c r="F14" s="60" t="s">
        <v>122</v>
      </c>
      <c r="G14" s="221" t="s">
        <v>842</v>
      </c>
      <c r="H14" s="302"/>
      <c r="I14" s="301"/>
      <c r="J14" s="301"/>
    </row>
    <row r="15" spans="1:10" ht="89.25" x14ac:dyDescent="0.2">
      <c r="B15" s="48"/>
      <c r="C15" s="324"/>
      <c r="D15" s="48"/>
      <c r="E15" s="275" t="s">
        <v>292</v>
      </c>
      <c r="F15" s="61" t="s">
        <v>121</v>
      </c>
      <c r="G15" s="305" t="s">
        <v>361</v>
      </c>
      <c r="H15" s="302"/>
      <c r="I15" s="301"/>
      <c r="J15" s="301"/>
    </row>
    <row r="16" spans="1:10" ht="38.25" x14ac:dyDescent="0.2">
      <c r="B16" s="48"/>
      <c r="C16" s="48"/>
      <c r="D16" s="48"/>
      <c r="E16" s="275" t="s">
        <v>292</v>
      </c>
      <c r="F16" s="61" t="s">
        <v>121</v>
      </c>
      <c r="G16" s="305" t="s">
        <v>588</v>
      </c>
      <c r="H16" s="302" t="s">
        <v>1360</v>
      </c>
      <c r="I16" s="301"/>
      <c r="J16" s="301"/>
    </row>
    <row r="17" spans="2:10" ht="63.75" x14ac:dyDescent="0.2">
      <c r="B17" s="48"/>
      <c r="C17" s="48"/>
      <c r="D17" s="48"/>
      <c r="E17" s="275" t="s">
        <v>292</v>
      </c>
      <c r="F17" s="61" t="s">
        <v>121</v>
      </c>
      <c r="G17" s="305" t="s">
        <v>704</v>
      </c>
      <c r="H17" s="302"/>
      <c r="I17" s="301"/>
      <c r="J17" s="301"/>
    </row>
    <row r="18" spans="2:10" x14ac:dyDescent="0.2">
      <c r="B18" s="48"/>
      <c r="C18" s="48"/>
      <c r="D18" s="48"/>
      <c r="E18" s="275" t="s">
        <v>292</v>
      </c>
      <c r="F18" s="61" t="s">
        <v>121</v>
      </c>
      <c r="G18" s="305" t="s">
        <v>718</v>
      </c>
      <c r="H18" s="302" t="s">
        <v>1360</v>
      </c>
      <c r="I18" s="301"/>
      <c r="J18" s="301"/>
    </row>
    <row r="19" spans="2:10" x14ac:dyDescent="0.2">
      <c r="B19" s="48"/>
      <c r="C19" s="48"/>
      <c r="D19" s="48"/>
      <c r="E19" s="275" t="s">
        <v>292</v>
      </c>
      <c r="F19" s="61" t="s">
        <v>121</v>
      </c>
      <c r="G19" s="305" t="s">
        <v>749</v>
      </c>
      <c r="H19" s="302" t="s">
        <v>1361</v>
      </c>
      <c r="I19" s="301"/>
      <c r="J19" s="301"/>
    </row>
    <row r="20" spans="2:10" x14ac:dyDescent="0.2">
      <c r="B20" s="48"/>
      <c r="C20" s="48"/>
      <c r="D20" s="48"/>
      <c r="E20" s="275" t="s">
        <v>292</v>
      </c>
      <c r="F20" s="61" t="s">
        <v>121</v>
      </c>
      <c r="G20" s="305" t="s">
        <v>786</v>
      </c>
      <c r="H20" s="302"/>
      <c r="I20" s="301"/>
      <c r="J20" s="301"/>
    </row>
    <row r="21" spans="2:10" x14ac:dyDescent="0.2">
      <c r="B21" s="48"/>
      <c r="C21" s="48"/>
      <c r="D21" s="48"/>
      <c r="E21" s="275" t="s">
        <v>292</v>
      </c>
      <c r="F21" s="61" t="s">
        <v>121</v>
      </c>
      <c r="G21" s="305" t="s">
        <v>844</v>
      </c>
      <c r="H21" s="302"/>
      <c r="I21" s="301"/>
      <c r="J21" s="301"/>
    </row>
    <row r="22" spans="2:10" ht="25.5" x14ac:dyDescent="0.2">
      <c r="B22" s="48"/>
      <c r="C22" s="48"/>
      <c r="D22" s="48"/>
      <c r="E22" s="275" t="s">
        <v>292</v>
      </c>
      <c r="F22" s="61" t="s">
        <v>121</v>
      </c>
      <c r="G22" s="305" t="s">
        <v>883</v>
      </c>
      <c r="H22" s="302"/>
      <c r="I22" s="301"/>
      <c r="J22" s="301"/>
    </row>
    <row r="23" spans="2:10" ht="25.5" x14ac:dyDescent="0.2">
      <c r="B23" s="48"/>
      <c r="C23" s="48"/>
      <c r="D23" s="48"/>
      <c r="E23" s="70" t="s">
        <v>292</v>
      </c>
      <c r="F23" s="60" t="s">
        <v>125</v>
      </c>
      <c r="G23" s="221" t="s">
        <v>321</v>
      </c>
      <c r="H23" s="302"/>
      <c r="I23" s="301"/>
      <c r="J23" s="301"/>
    </row>
    <row r="24" spans="2:10" x14ac:dyDescent="0.2">
      <c r="B24" s="48"/>
      <c r="C24" s="48"/>
      <c r="D24" s="48"/>
      <c r="E24" s="70" t="s">
        <v>292</v>
      </c>
      <c r="F24" s="60" t="s">
        <v>125</v>
      </c>
      <c r="G24" s="221" t="s">
        <v>333</v>
      </c>
      <c r="H24" s="302" t="s">
        <v>1361</v>
      </c>
      <c r="I24" s="301"/>
      <c r="J24" s="301"/>
    </row>
    <row r="25" spans="2:10" x14ac:dyDescent="0.2">
      <c r="B25" s="48"/>
      <c r="C25" s="48"/>
      <c r="D25" s="48"/>
      <c r="E25" s="70" t="s">
        <v>292</v>
      </c>
      <c r="F25" s="60" t="s">
        <v>125</v>
      </c>
      <c r="G25" s="221" t="s">
        <v>427</v>
      </c>
      <c r="H25" s="302" t="s">
        <v>1361</v>
      </c>
      <c r="I25" s="301"/>
      <c r="J25" s="301"/>
    </row>
    <row r="26" spans="2:10" x14ac:dyDescent="0.2">
      <c r="B26" s="48"/>
      <c r="C26" s="48"/>
      <c r="D26" s="48"/>
      <c r="E26" s="70" t="s">
        <v>292</v>
      </c>
      <c r="F26" s="60" t="s">
        <v>125</v>
      </c>
      <c r="G26" s="221" t="s">
        <v>525</v>
      </c>
      <c r="H26" s="302" t="s">
        <v>1361</v>
      </c>
      <c r="I26" s="301"/>
      <c r="J26" s="301"/>
    </row>
    <row r="27" spans="2:10" x14ac:dyDescent="0.2">
      <c r="B27" s="48"/>
      <c r="C27" s="48"/>
      <c r="D27" s="48"/>
      <c r="E27" s="70" t="s">
        <v>292</v>
      </c>
      <c r="F27" s="60" t="s">
        <v>125</v>
      </c>
      <c r="G27" s="221" t="s">
        <v>570</v>
      </c>
      <c r="H27" s="302" t="s">
        <v>1361</v>
      </c>
      <c r="I27" s="301"/>
      <c r="J27" s="301"/>
    </row>
    <row r="28" spans="2:10" ht="114.75" x14ac:dyDescent="0.2">
      <c r="B28" s="48"/>
      <c r="C28" s="48"/>
      <c r="D28" s="48"/>
      <c r="E28" s="70" t="s">
        <v>292</v>
      </c>
      <c r="F28" s="60" t="s">
        <v>125</v>
      </c>
      <c r="G28" s="221" t="s">
        <v>577</v>
      </c>
      <c r="H28" s="302"/>
      <c r="I28" s="301"/>
      <c r="J28" s="301"/>
    </row>
    <row r="29" spans="2:10" ht="76.5" x14ac:dyDescent="0.2">
      <c r="B29" s="48"/>
      <c r="C29" s="48"/>
      <c r="D29" s="48"/>
      <c r="E29" s="70" t="s">
        <v>292</v>
      </c>
      <c r="F29" s="60" t="s">
        <v>125</v>
      </c>
      <c r="G29" s="221" t="s">
        <v>792</v>
      </c>
      <c r="H29" s="302"/>
      <c r="I29" s="301"/>
      <c r="J29" s="301"/>
    </row>
    <row r="30" spans="2:10" x14ac:dyDescent="0.2">
      <c r="B30" s="48"/>
      <c r="C30" s="48"/>
      <c r="D30" s="48"/>
      <c r="E30" s="70" t="s">
        <v>292</v>
      </c>
      <c r="F30" s="60" t="s">
        <v>125</v>
      </c>
      <c r="G30" s="221" t="s">
        <v>826</v>
      </c>
      <c r="H30" s="302" t="s">
        <v>1361</v>
      </c>
      <c r="I30" s="301"/>
      <c r="J30" s="301"/>
    </row>
    <row r="31" spans="2:10" x14ac:dyDescent="0.2">
      <c r="B31" s="48"/>
      <c r="C31" s="48"/>
      <c r="D31" s="48"/>
      <c r="E31" s="70" t="s">
        <v>292</v>
      </c>
      <c r="F31" s="60" t="s">
        <v>125</v>
      </c>
      <c r="G31" s="221" t="s">
        <v>865</v>
      </c>
      <c r="H31" s="302" t="s">
        <v>1361</v>
      </c>
      <c r="I31" s="301"/>
      <c r="J31" s="301"/>
    </row>
    <row r="32" spans="2:10" ht="25.5" x14ac:dyDescent="0.2">
      <c r="B32" s="48"/>
      <c r="C32" s="48"/>
      <c r="D32" s="48"/>
      <c r="E32" s="70" t="s">
        <v>292</v>
      </c>
      <c r="F32" s="60" t="s">
        <v>125</v>
      </c>
      <c r="G32" s="221" t="s">
        <v>898</v>
      </c>
      <c r="H32" s="302" t="s">
        <v>1361</v>
      </c>
      <c r="I32" s="301"/>
      <c r="J32" s="301"/>
    </row>
    <row r="33" spans="2:10" x14ac:dyDescent="0.2">
      <c r="B33" s="48"/>
      <c r="C33" s="48"/>
      <c r="D33" s="48"/>
      <c r="E33" s="275" t="s">
        <v>292</v>
      </c>
      <c r="F33" s="61" t="s">
        <v>124</v>
      </c>
      <c r="G33" s="305" t="s">
        <v>303</v>
      </c>
      <c r="H33" s="302" t="s">
        <v>1361</v>
      </c>
      <c r="I33" s="301"/>
      <c r="J33" s="301"/>
    </row>
    <row r="34" spans="2:10" x14ac:dyDescent="0.2">
      <c r="B34" s="48"/>
      <c r="C34" s="48"/>
      <c r="D34" s="48"/>
      <c r="E34" s="275" t="s">
        <v>292</v>
      </c>
      <c r="F34" s="61" t="s">
        <v>124</v>
      </c>
      <c r="G34" s="305" t="s">
        <v>307</v>
      </c>
      <c r="H34" s="302"/>
      <c r="I34" s="301"/>
      <c r="J34" s="301"/>
    </row>
    <row r="35" spans="2:10" ht="38.25" x14ac:dyDescent="0.2">
      <c r="B35" s="48"/>
      <c r="C35" s="48"/>
      <c r="D35" s="48"/>
      <c r="E35" s="275" t="s">
        <v>292</v>
      </c>
      <c r="F35" s="61" t="s">
        <v>124</v>
      </c>
      <c r="G35" s="305" t="s">
        <v>398</v>
      </c>
      <c r="H35" s="302" t="s">
        <v>1361</v>
      </c>
      <c r="I35" s="301"/>
      <c r="J35" s="301"/>
    </row>
    <row r="36" spans="2:10" ht="51" x14ac:dyDescent="0.2">
      <c r="B36" s="48"/>
      <c r="C36" s="48"/>
      <c r="D36" s="48"/>
      <c r="E36" s="275" t="s">
        <v>292</v>
      </c>
      <c r="F36" s="61" t="s">
        <v>124</v>
      </c>
      <c r="G36" s="305" t="s">
        <v>451</v>
      </c>
      <c r="H36" s="302" t="s">
        <v>1360</v>
      </c>
      <c r="I36" s="301"/>
      <c r="J36" s="301"/>
    </row>
    <row r="37" spans="2:10" ht="76.5" x14ac:dyDescent="0.2">
      <c r="B37" s="48"/>
      <c r="C37" s="48"/>
      <c r="D37" s="48"/>
      <c r="E37" s="275" t="s">
        <v>292</v>
      </c>
      <c r="F37" s="61" t="s">
        <v>124</v>
      </c>
      <c r="G37" s="305" t="s">
        <v>511</v>
      </c>
      <c r="H37" s="302"/>
      <c r="I37" s="301"/>
      <c r="J37" s="301"/>
    </row>
    <row r="38" spans="2:10" x14ac:dyDescent="0.2">
      <c r="B38" s="48"/>
      <c r="C38" s="48"/>
      <c r="D38" s="48"/>
      <c r="E38" s="275" t="s">
        <v>292</v>
      </c>
      <c r="F38" s="61" t="s">
        <v>124</v>
      </c>
      <c r="G38" s="305" t="s">
        <v>535</v>
      </c>
      <c r="H38" s="302" t="s">
        <v>1361</v>
      </c>
      <c r="I38" s="301"/>
      <c r="J38" s="301"/>
    </row>
    <row r="39" spans="2:10" ht="76.5" x14ac:dyDescent="0.2">
      <c r="B39" s="48"/>
      <c r="C39" s="48"/>
      <c r="D39" s="48"/>
      <c r="E39" s="275" t="s">
        <v>292</v>
      </c>
      <c r="F39" s="61" t="s">
        <v>124</v>
      </c>
      <c r="G39" s="305" t="s">
        <v>549</v>
      </c>
      <c r="H39" s="302" t="s">
        <v>1361</v>
      </c>
      <c r="I39" s="301"/>
      <c r="J39" s="301"/>
    </row>
    <row r="40" spans="2:10" x14ac:dyDescent="0.2">
      <c r="B40" s="48"/>
      <c r="C40" s="48"/>
      <c r="D40" s="48"/>
      <c r="E40" s="275" t="s">
        <v>292</v>
      </c>
      <c r="F40" s="61" t="s">
        <v>124</v>
      </c>
      <c r="G40" s="305" t="s">
        <v>553</v>
      </c>
      <c r="H40" s="302" t="s">
        <v>1361</v>
      </c>
      <c r="I40" s="301"/>
      <c r="J40" s="301"/>
    </row>
    <row r="41" spans="2:10" ht="51" x14ac:dyDescent="0.2">
      <c r="B41" s="48"/>
      <c r="C41" s="48"/>
      <c r="D41" s="48"/>
      <c r="E41" s="275" t="s">
        <v>292</v>
      </c>
      <c r="F41" s="61" t="s">
        <v>124</v>
      </c>
      <c r="G41" s="305" t="s">
        <v>560</v>
      </c>
      <c r="H41" s="302" t="s">
        <v>1361</v>
      </c>
      <c r="I41" s="301"/>
      <c r="J41" s="301"/>
    </row>
    <row r="42" spans="2:10" ht="51" x14ac:dyDescent="0.2">
      <c r="B42" s="48"/>
      <c r="C42" s="48"/>
      <c r="D42" s="48"/>
      <c r="E42" s="275" t="s">
        <v>292</v>
      </c>
      <c r="F42" s="61" t="s">
        <v>124</v>
      </c>
      <c r="G42" s="305" t="s">
        <v>574</v>
      </c>
      <c r="H42" s="302" t="s">
        <v>1361</v>
      </c>
      <c r="I42" s="301"/>
      <c r="J42" s="301"/>
    </row>
    <row r="43" spans="2:10" x14ac:dyDescent="0.2">
      <c r="B43" s="48"/>
      <c r="C43" s="48"/>
      <c r="D43" s="48"/>
      <c r="E43" s="275" t="s">
        <v>292</v>
      </c>
      <c r="F43" s="61" t="s">
        <v>124</v>
      </c>
      <c r="G43" s="305" t="s">
        <v>582</v>
      </c>
      <c r="H43" s="302" t="s">
        <v>1361</v>
      </c>
      <c r="I43" s="301"/>
      <c r="J43" s="301"/>
    </row>
    <row r="44" spans="2:10" x14ac:dyDescent="0.2">
      <c r="B44" s="48"/>
      <c r="C44" s="48"/>
      <c r="D44" s="48"/>
      <c r="E44" s="275" t="s">
        <v>292</v>
      </c>
      <c r="F44" s="61" t="s">
        <v>124</v>
      </c>
      <c r="G44" s="305" t="s">
        <v>608</v>
      </c>
      <c r="H44" s="302" t="s">
        <v>1360</v>
      </c>
      <c r="I44" s="301"/>
      <c r="J44" s="301"/>
    </row>
    <row r="45" spans="2:10" ht="25.5" x14ac:dyDescent="0.2">
      <c r="B45" s="48"/>
      <c r="C45" s="48"/>
      <c r="D45" s="48"/>
      <c r="E45" s="275" t="s">
        <v>292</v>
      </c>
      <c r="F45" s="61" t="s">
        <v>124</v>
      </c>
      <c r="G45" s="305" t="s">
        <v>618</v>
      </c>
      <c r="H45" s="302"/>
      <c r="I45" s="301"/>
      <c r="J45" s="301"/>
    </row>
    <row r="46" spans="2:10" x14ac:dyDescent="0.2">
      <c r="B46" s="48"/>
      <c r="C46" s="48"/>
      <c r="D46" s="48"/>
      <c r="E46" s="275" t="s">
        <v>292</v>
      </c>
      <c r="F46" s="61" t="s">
        <v>124</v>
      </c>
      <c r="G46" s="305" t="s">
        <v>735</v>
      </c>
      <c r="H46" s="302" t="s">
        <v>1361</v>
      </c>
      <c r="I46" s="301"/>
      <c r="J46" s="301"/>
    </row>
    <row r="47" spans="2:10" ht="51" x14ac:dyDescent="0.2">
      <c r="B47" s="48"/>
      <c r="C47" s="48"/>
      <c r="D47" s="48"/>
      <c r="E47" s="275" t="s">
        <v>292</v>
      </c>
      <c r="F47" s="61" t="s">
        <v>124</v>
      </c>
      <c r="G47" s="305" t="s">
        <v>742</v>
      </c>
      <c r="H47" s="302"/>
      <c r="I47" s="301"/>
      <c r="J47" s="301"/>
    </row>
    <row r="48" spans="2:10" ht="191.25" x14ac:dyDescent="0.2">
      <c r="B48" s="48"/>
      <c r="C48" s="48"/>
      <c r="D48" s="48"/>
      <c r="E48" s="275" t="s">
        <v>292</v>
      </c>
      <c r="F48" s="61" t="s">
        <v>124</v>
      </c>
      <c r="G48" s="305" t="s">
        <v>757</v>
      </c>
      <c r="H48" s="302"/>
      <c r="I48" s="301"/>
      <c r="J48" s="301"/>
    </row>
    <row r="49" spans="2:10" x14ac:dyDescent="0.2">
      <c r="B49" s="48"/>
      <c r="C49" s="48"/>
      <c r="D49" s="48"/>
      <c r="E49" s="275" t="s">
        <v>292</v>
      </c>
      <c r="F49" s="61" t="s">
        <v>124</v>
      </c>
      <c r="G49" s="305" t="s">
        <v>875</v>
      </c>
      <c r="H49" s="302" t="s">
        <v>1361</v>
      </c>
      <c r="I49" s="301"/>
      <c r="J49" s="301"/>
    </row>
    <row r="50" spans="2:10" ht="25.5" x14ac:dyDescent="0.2">
      <c r="B50" s="48"/>
      <c r="C50" s="48"/>
      <c r="D50" s="48"/>
      <c r="E50" s="275" t="s">
        <v>292</v>
      </c>
      <c r="F50" s="61" t="s">
        <v>124</v>
      </c>
      <c r="G50" s="305" t="s">
        <v>900</v>
      </c>
      <c r="H50" s="302" t="s">
        <v>1360</v>
      </c>
      <c r="I50" s="301"/>
      <c r="J50" s="301"/>
    </row>
    <row r="51" spans="2:10" x14ac:dyDescent="0.2">
      <c r="B51" s="48"/>
      <c r="C51" s="48"/>
      <c r="D51" s="48"/>
      <c r="E51" s="70" t="s">
        <v>322</v>
      </c>
      <c r="F51" s="60" t="s">
        <v>127</v>
      </c>
      <c r="G51" s="221" t="s">
        <v>397</v>
      </c>
      <c r="H51" s="302" t="s">
        <v>1361</v>
      </c>
      <c r="I51" s="301"/>
      <c r="J51" s="301"/>
    </row>
    <row r="52" spans="2:10" x14ac:dyDescent="0.2">
      <c r="B52" s="48"/>
      <c r="C52" s="48"/>
      <c r="D52" s="48"/>
      <c r="E52" s="70" t="s">
        <v>322</v>
      </c>
      <c r="F52" s="60" t="s">
        <v>127</v>
      </c>
      <c r="G52" s="221" t="s">
        <v>529</v>
      </c>
      <c r="H52" s="302" t="s">
        <v>1361</v>
      </c>
      <c r="I52" s="301"/>
      <c r="J52" s="301"/>
    </row>
    <row r="53" spans="2:10" ht="255" x14ac:dyDescent="0.2">
      <c r="B53" s="48"/>
      <c r="C53" s="48"/>
      <c r="D53" s="48"/>
      <c r="E53" s="70" t="s">
        <v>322</v>
      </c>
      <c r="F53" s="60" t="s">
        <v>127</v>
      </c>
      <c r="G53" s="221" t="s">
        <v>763</v>
      </c>
      <c r="H53" s="302" t="s">
        <v>1361</v>
      </c>
      <c r="I53" s="301"/>
      <c r="J53" s="301"/>
    </row>
    <row r="54" spans="2:10" x14ac:dyDescent="0.2">
      <c r="B54" s="48"/>
      <c r="C54" s="48"/>
      <c r="D54" s="48"/>
      <c r="E54" s="70" t="s">
        <v>322</v>
      </c>
      <c r="F54" s="60" t="s">
        <v>127</v>
      </c>
      <c r="G54" s="221" t="s">
        <v>815</v>
      </c>
      <c r="H54" s="302"/>
      <c r="I54" s="301"/>
      <c r="J54" s="301"/>
    </row>
    <row r="55" spans="2:10" ht="51" x14ac:dyDescent="0.2">
      <c r="B55" s="48"/>
      <c r="C55" s="48"/>
      <c r="D55" s="48"/>
      <c r="E55" s="70" t="s">
        <v>322</v>
      </c>
      <c r="F55" s="60" t="s">
        <v>127</v>
      </c>
      <c r="G55" s="221" t="s">
        <v>849</v>
      </c>
      <c r="H55" s="302" t="s">
        <v>1361</v>
      </c>
      <c r="I55" s="301"/>
      <c r="J55" s="301"/>
    </row>
    <row r="56" spans="2:10" x14ac:dyDescent="0.2">
      <c r="B56" s="48"/>
      <c r="C56" s="48"/>
      <c r="D56" s="48"/>
      <c r="E56" s="275" t="s">
        <v>291</v>
      </c>
      <c r="F56" s="61" t="s">
        <v>120</v>
      </c>
      <c r="G56" s="305" t="s">
        <v>293</v>
      </c>
      <c r="H56" s="302" t="s">
        <v>1360</v>
      </c>
      <c r="I56" s="301"/>
      <c r="J56" s="301"/>
    </row>
    <row r="57" spans="2:10" ht="25.5" x14ac:dyDescent="0.2">
      <c r="B57" s="48"/>
      <c r="C57" s="48"/>
      <c r="D57" s="48"/>
      <c r="E57" s="275" t="s">
        <v>291</v>
      </c>
      <c r="F57" s="61" t="s">
        <v>120</v>
      </c>
      <c r="G57" s="305" t="s">
        <v>603</v>
      </c>
      <c r="H57" s="302" t="s">
        <v>1361</v>
      </c>
      <c r="I57" s="301"/>
      <c r="J57" s="301"/>
    </row>
    <row r="58" spans="2:10" ht="63.75" x14ac:dyDescent="0.2">
      <c r="B58" s="48"/>
      <c r="C58" s="48"/>
      <c r="D58" s="48"/>
      <c r="E58" s="70" t="s">
        <v>291</v>
      </c>
      <c r="F58" s="60" t="s">
        <v>123</v>
      </c>
      <c r="G58" s="221" t="s">
        <v>346</v>
      </c>
      <c r="H58" s="302"/>
      <c r="I58" s="301"/>
      <c r="J58" s="301"/>
    </row>
    <row r="59" spans="2:10" ht="25.5" x14ac:dyDescent="0.2">
      <c r="B59" s="48"/>
      <c r="C59" s="48"/>
      <c r="D59" s="48"/>
      <c r="E59" s="70" t="s">
        <v>291</v>
      </c>
      <c r="F59" s="60" t="s">
        <v>123</v>
      </c>
      <c r="G59" s="221" t="s">
        <v>613</v>
      </c>
      <c r="H59" s="302" t="s">
        <v>1361</v>
      </c>
      <c r="I59" s="301"/>
      <c r="J59" s="301"/>
    </row>
    <row r="60" spans="2:10" ht="25.5" x14ac:dyDescent="0.2">
      <c r="B60" s="48"/>
      <c r="C60" s="48"/>
      <c r="D60" s="48"/>
      <c r="E60" s="70" t="s">
        <v>291</v>
      </c>
      <c r="F60" s="60" t="s">
        <v>123</v>
      </c>
      <c r="G60" s="221" t="s">
        <v>615</v>
      </c>
      <c r="H60" s="302"/>
      <c r="I60" s="301"/>
      <c r="J60" s="301"/>
    </row>
    <row r="61" spans="2:10" x14ac:dyDescent="0.2">
      <c r="B61" s="48"/>
      <c r="C61" s="48"/>
      <c r="D61" s="48"/>
      <c r="E61" s="275" t="s">
        <v>291</v>
      </c>
      <c r="F61" s="61" t="s">
        <v>126</v>
      </c>
      <c r="G61" s="305" t="s">
        <v>375</v>
      </c>
      <c r="H61" s="302" t="s">
        <v>1360</v>
      </c>
      <c r="I61" s="301"/>
      <c r="J61" s="301"/>
    </row>
    <row r="62" spans="2:10" ht="25.5" x14ac:dyDescent="0.2">
      <c r="B62" s="48"/>
      <c r="C62" s="48"/>
      <c r="D62" s="48"/>
      <c r="E62" s="275" t="s">
        <v>291</v>
      </c>
      <c r="F62" s="61" t="s">
        <v>126</v>
      </c>
      <c r="G62" s="305" t="s">
        <v>444</v>
      </c>
      <c r="H62" s="302" t="s">
        <v>1361</v>
      </c>
      <c r="I62" s="301"/>
      <c r="J62" s="301"/>
    </row>
    <row r="63" spans="2:10" ht="38.25" x14ac:dyDescent="0.2">
      <c r="B63" s="48"/>
      <c r="C63" s="48"/>
      <c r="D63" s="48"/>
      <c r="E63" s="275" t="s">
        <v>291</v>
      </c>
      <c r="F63" s="61" t="s">
        <v>126</v>
      </c>
      <c r="G63" s="305" t="s">
        <v>597</v>
      </c>
      <c r="H63" s="302"/>
      <c r="I63" s="301"/>
      <c r="J63" s="301"/>
    </row>
    <row r="64" spans="2:10" x14ac:dyDescent="0.2">
      <c r="B64" s="48"/>
      <c r="C64" s="48"/>
      <c r="D64" s="48"/>
      <c r="E64" s="275" t="s">
        <v>291</v>
      </c>
      <c r="F64" s="61" t="s">
        <v>126</v>
      </c>
      <c r="G64" s="305" t="s">
        <v>703</v>
      </c>
      <c r="H64" s="302" t="s">
        <v>1361</v>
      </c>
      <c r="I64" s="301"/>
      <c r="J64" s="301"/>
    </row>
    <row r="65" spans="2:10" ht="25.5" x14ac:dyDescent="0.2">
      <c r="B65" s="48"/>
      <c r="C65" s="48"/>
      <c r="D65" s="48"/>
      <c r="E65" s="70" t="s">
        <v>328</v>
      </c>
      <c r="F65" s="60" t="s">
        <v>128</v>
      </c>
      <c r="G65" s="221" t="s">
        <v>492</v>
      </c>
      <c r="H65" s="302" t="s">
        <v>1361</v>
      </c>
      <c r="I65" s="301"/>
      <c r="J65" s="301"/>
    </row>
    <row r="66" spans="2:10" ht="25.5" x14ac:dyDescent="0.2">
      <c r="B66" s="48"/>
      <c r="C66" s="48"/>
      <c r="D66" s="48"/>
      <c r="E66" s="70" t="s">
        <v>328</v>
      </c>
      <c r="F66" s="60" t="s">
        <v>128</v>
      </c>
      <c r="G66" s="221" t="s">
        <v>802</v>
      </c>
      <c r="H66" s="302" t="s">
        <v>1361</v>
      </c>
      <c r="I66" s="301"/>
      <c r="J66" s="301"/>
    </row>
    <row r="67" spans="2:10" ht="25.5" x14ac:dyDescent="0.2">
      <c r="B67" s="48"/>
      <c r="C67" s="48"/>
      <c r="D67" s="48"/>
      <c r="E67" s="275" t="s">
        <v>399</v>
      </c>
      <c r="F67" s="61" t="s">
        <v>130</v>
      </c>
      <c r="G67" s="305" t="s">
        <v>294</v>
      </c>
      <c r="H67" s="302" t="s">
        <v>1361</v>
      </c>
      <c r="I67" s="301"/>
      <c r="J67" s="301"/>
    </row>
    <row r="68" spans="2:10" ht="38.25" x14ac:dyDescent="0.2">
      <c r="B68" s="48"/>
      <c r="C68" s="48"/>
      <c r="D68" s="48"/>
      <c r="E68" s="275" t="s">
        <v>399</v>
      </c>
      <c r="F68" s="61" t="s">
        <v>130</v>
      </c>
      <c r="G68" s="305" t="s">
        <v>647</v>
      </c>
      <c r="H68" s="302"/>
      <c r="I68" s="301"/>
      <c r="J68" s="301"/>
    </row>
    <row r="69" spans="2:10" ht="51" x14ac:dyDescent="0.2">
      <c r="B69" s="48"/>
      <c r="C69" s="48"/>
      <c r="D69" s="48"/>
      <c r="E69" s="275" t="s">
        <v>399</v>
      </c>
      <c r="F69" s="61" t="s">
        <v>130</v>
      </c>
      <c r="G69" s="305" t="s">
        <v>675</v>
      </c>
      <c r="H69" s="302" t="s">
        <v>1361</v>
      </c>
      <c r="I69" s="301"/>
      <c r="J69" s="301"/>
    </row>
    <row r="70" spans="2:10" ht="25.5" x14ac:dyDescent="0.2">
      <c r="B70" s="48"/>
      <c r="C70" s="48"/>
      <c r="D70" s="48"/>
      <c r="E70" s="275" t="s">
        <v>399</v>
      </c>
      <c r="F70" s="61" t="s">
        <v>130</v>
      </c>
      <c r="G70" s="305" t="s">
        <v>774</v>
      </c>
      <c r="H70" s="302"/>
      <c r="I70" s="301"/>
      <c r="J70" s="301"/>
    </row>
    <row r="71" spans="2:10" ht="25.5" x14ac:dyDescent="0.2">
      <c r="B71" s="48"/>
      <c r="C71" s="48"/>
      <c r="D71" s="48"/>
      <c r="E71" s="70" t="s">
        <v>399</v>
      </c>
      <c r="F71" s="60" t="s">
        <v>129</v>
      </c>
      <c r="G71" s="221" t="s">
        <v>905</v>
      </c>
      <c r="H71" s="302" t="s">
        <v>1361</v>
      </c>
      <c r="I71" s="301"/>
      <c r="J71" s="301"/>
    </row>
    <row r="72" spans="2:10" x14ac:dyDescent="0.2">
      <c r="B72" s="48"/>
      <c r="C72" s="48"/>
      <c r="D72" s="48"/>
      <c r="E72" s="48"/>
      <c r="F72" s="48"/>
      <c r="G72" s="48"/>
      <c r="H72" s="48"/>
      <c r="I72" s="48"/>
      <c r="J72" s="48"/>
    </row>
    <row r="73" spans="2:10" x14ac:dyDescent="0.2"/>
    <row r="74" spans="2:10" x14ac:dyDescent="0.2"/>
    <row r="75" spans="2:10" x14ac:dyDescent="0.2"/>
  </sheetData>
  <sheetProtection algorithmName="SHA-512" hashValue="x4H4KsaVKLaBie5+ITDS+nuPfH9YghN/9YEppEWIHC2ic9kwJhWWt9U32aoghr2YGMfQoLYz8QblOR+E/QMSDg==" saltValue="xuXbDtEd+XvDZLtUiRgH2A==" spinCount="100000" sheet="1" objects="1" scenarios="1"/>
  <sortState ref="E5:H71">
    <sortCondition ref="E5:E71"/>
    <sortCondition ref="F5:F71"/>
  </sortState>
  <mergeCells count="2">
    <mergeCell ref="E3:G3"/>
    <mergeCell ref="C4:C15"/>
  </mergeCells>
  <pageMargins left="0.511811024" right="0.511811024" top="0.78740157499999996" bottom="0.78740157499999996" header="0.31496062000000002" footer="0.31496062000000002"/>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OL277"/>
  <sheetViews>
    <sheetView zoomScale="90" zoomScaleNormal="90" workbookViewId="0">
      <pane ySplit="2" topLeftCell="A3" activePane="bottomLeft" state="frozen"/>
      <selection pane="bottomLeft"/>
    </sheetView>
  </sheetViews>
  <sheetFormatPr defaultColWidth="14.42578125" defaultRowHeight="15.75" customHeight="1" x14ac:dyDescent="0.2"/>
  <cols>
    <col min="1" max="1" width="29.28515625" style="3" bestFit="1" customWidth="1"/>
    <col min="2" max="2" width="10.5703125" style="3" customWidth="1"/>
    <col min="3" max="3" width="4.5703125" style="3" customWidth="1"/>
    <col min="4" max="4" width="47.5703125" style="3" bestFit="1" customWidth="1"/>
    <col min="5" max="6" width="10.7109375" style="3" customWidth="1"/>
    <col min="7" max="7" width="66.42578125" style="3" bestFit="1" customWidth="1"/>
    <col min="8" max="9" width="10.7109375" style="3" customWidth="1"/>
    <col min="10" max="10" width="45.85546875" style="3" bestFit="1" customWidth="1"/>
    <col min="11" max="12" width="10.7109375" style="3" customWidth="1"/>
    <col min="13" max="13" width="42.42578125" style="3" bestFit="1" customWidth="1"/>
    <col min="14" max="15" width="10.7109375" style="3" customWidth="1"/>
    <col min="16" max="16" width="67.5703125" style="3" bestFit="1" customWidth="1"/>
    <col min="17" max="18" width="10.7109375" style="3" customWidth="1"/>
    <col min="19" max="19" width="98.5703125" style="3" bestFit="1" customWidth="1"/>
    <col min="20" max="21" width="10.7109375" style="3" customWidth="1"/>
    <col min="22" max="22" width="99.5703125" style="3" bestFit="1" customWidth="1"/>
    <col min="23" max="24" width="10.7109375" style="3" customWidth="1"/>
    <col min="25" max="25" width="110" style="3" bestFit="1" customWidth="1"/>
    <col min="26" max="27" width="10.7109375" style="3" customWidth="1"/>
    <col min="28" max="28" width="111" style="3" bestFit="1" customWidth="1"/>
    <col min="29" max="30" width="10.7109375" style="3" customWidth="1"/>
    <col min="31" max="31" width="63.140625" style="3" bestFit="1" customWidth="1"/>
    <col min="32" max="33" width="10.7109375" style="3" customWidth="1"/>
    <col min="34" max="34" width="69.85546875" style="3" bestFit="1" customWidth="1"/>
    <col min="35" max="36" width="10.7109375" style="3" customWidth="1"/>
    <col min="37" max="37" width="28.42578125" style="3" bestFit="1" customWidth="1"/>
    <col min="38" max="39" width="10.7109375" style="3" customWidth="1"/>
    <col min="40" max="40" width="57.85546875" style="3" bestFit="1" customWidth="1"/>
    <col min="41" max="42" width="10.7109375" style="3" customWidth="1"/>
    <col min="43" max="43" width="82.28515625" style="3" bestFit="1" customWidth="1"/>
    <col min="44" max="45" width="10.7109375" style="3" customWidth="1"/>
    <col min="46" max="46" width="44.42578125" style="3" bestFit="1" customWidth="1"/>
    <col min="47" max="48" width="10.7109375" style="3" customWidth="1"/>
    <col min="49" max="49" width="66.7109375" style="3" bestFit="1" customWidth="1"/>
    <col min="50" max="51" width="10.7109375" style="3" customWidth="1"/>
    <col min="52" max="52" width="63" style="3" bestFit="1" customWidth="1"/>
    <col min="53" max="54" width="10.7109375" style="3" customWidth="1"/>
    <col min="55" max="55" width="84.85546875" style="3" bestFit="1" customWidth="1"/>
    <col min="56" max="57" width="10.7109375" style="3" customWidth="1"/>
    <col min="58" max="58" width="50" style="3" bestFit="1" customWidth="1"/>
    <col min="59" max="60" width="10.7109375" style="3" customWidth="1"/>
    <col min="61" max="61" width="53.140625" style="3" bestFit="1" customWidth="1"/>
    <col min="62" max="63" width="10.7109375" style="3" customWidth="1"/>
    <col min="64" max="64" width="53.140625" style="3" bestFit="1" customWidth="1"/>
    <col min="65" max="67" width="10.7109375" style="3" customWidth="1"/>
    <col min="68" max="68" width="38.42578125" style="3" bestFit="1" customWidth="1"/>
    <col min="69" max="69" width="70.85546875" style="3" customWidth="1"/>
    <col min="70" max="70" width="74.5703125" style="3" customWidth="1"/>
    <col min="71" max="72" width="10.7109375" style="3" customWidth="1"/>
    <col min="73" max="73" width="108.5703125" style="3" bestFit="1" customWidth="1"/>
    <col min="74" max="75" width="10.7109375" style="3" customWidth="1"/>
    <col min="76" max="76" width="78.7109375" style="3" bestFit="1" customWidth="1"/>
    <col min="77" max="78" width="10.7109375" style="3" customWidth="1"/>
    <col min="79" max="79" width="35.28515625" style="3" bestFit="1" customWidth="1"/>
    <col min="80" max="81" width="10.7109375" style="3" customWidth="1"/>
    <col min="82" max="82" width="89" style="3" bestFit="1" customWidth="1"/>
    <col min="83" max="83" width="15.42578125" style="3" bestFit="1" customWidth="1"/>
    <col min="84" max="84" width="10.7109375" style="3" customWidth="1"/>
    <col min="85" max="85" width="90.5703125" style="3" bestFit="1" customWidth="1"/>
    <col min="86" max="87" width="10.7109375" style="3" customWidth="1"/>
    <col min="88" max="88" width="112.85546875" style="3" bestFit="1" customWidth="1"/>
    <col min="89" max="90" width="10.7109375" style="3" customWidth="1"/>
    <col min="91" max="91" width="41.85546875" style="3" bestFit="1" customWidth="1"/>
    <col min="92" max="93" width="10.7109375" style="3" customWidth="1"/>
    <col min="94" max="94" width="83.140625" style="3" bestFit="1" customWidth="1"/>
    <col min="95" max="96" width="10.7109375" style="3" customWidth="1"/>
    <col min="97" max="97" width="73.7109375" style="3" bestFit="1" customWidth="1"/>
    <col min="98" max="99" width="10.7109375" style="3" customWidth="1"/>
    <col min="100" max="100" width="50.42578125" style="3" bestFit="1" customWidth="1"/>
    <col min="101" max="102" width="10.7109375" style="3" customWidth="1"/>
    <col min="103" max="104" width="54.28515625" style="3" bestFit="1" customWidth="1"/>
    <col min="105" max="105" width="54.28515625" style="3" customWidth="1"/>
    <col min="106" max="107" width="10.7109375" style="3" customWidth="1"/>
    <col min="108" max="108" width="59.5703125" style="3" bestFit="1" customWidth="1"/>
    <col min="109" max="109" width="15.42578125" style="3" bestFit="1" customWidth="1"/>
    <col min="110" max="110" width="10.7109375" style="3" customWidth="1"/>
    <col min="111" max="111" width="75.7109375" style="3" bestFit="1" customWidth="1"/>
    <col min="112" max="113" width="10.7109375" style="3" customWidth="1"/>
    <col min="114" max="114" width="120.140625" style="3" bestFit="1" customWidth="1"/>
    <col min="115" max="116" width="10.7109375" style="3" customWidth="1"/>
    <col min="117" max="117" width="107.28515625" style="3" bestFit="1" customWidth="1"/>
    <col min="118" max="119" width="10.7109375" style="3" customWidth="1"/>
    <col min="120" max="120" width="56.85546875" style="3" bestFit="1" customWidth="1"/>
    <col min="121" max="122" width="10.7109375" style="3" customWidth="1"/>
    <col min="123" max="123" width="86.5703125" style="3" bestFit="1" customWidth="1"/>
    <col min="124" max="125" width="10.7109375" style="3" customWidth="1"/>
    <col min="126" max="126" width="109.140625" style="3" bestFit="1" customWidth="1"/>
    <col min="127" max="128" width="10.7109375" style="3" customWidth="1"/>
    <col min="129" max="129" width="40.42578125" style="3" bestFit="1" customWidth="1"/>
    <col min="130" max="131" width="10.7109375" style="3" customWidth="1"/>
    <col min="132" max="132" width="56.5703125" style="3" bestFit="1" customWidth="1"/>
    <col min="133" max="134" width="10.7109375" style="3" customWidth="1"/>
    <col min="135" max="135" width="88.42578125" style="3" bestFit="1" customWidth="1"/>
    <col min="136" max="137" width="10.7109375" style="3" customWidth="1"/>
    <col min="138" max="138" width="48.5703125" style="3" bestFit="1" customWidth="1"/>
    <col min="139" max="140" width="10.7109375" style="3" customWidth="1"/>
    <col min="141" max="142" width="40.5703125" style="3" bestFit="1" customWidth="1"/>
    <col min="143" max="143" width="40.5703125" style="3" customWidth="1"/>
    <col min="144" max="145" width="10.7109375" style="3" customWidth="1"/>
    <col min="146" max="146" width="49.7109375" style="3" bestFit="1" customWidth="1"/>
    <col min="147" max="148" width="10.7109375" style="3" customWidth="1"/>
    <col min="149" max="149" width="42.85546875" style="3" bestFit="1" customWidth="1"/>
    <col min="150" max="151" width="10.7109375" style="3" customWidth="1"/>
    <col min="152" max="152" width="42.85546875" style="3" bestFit="1" customWidth="1"/>
    <col min="153" max="154" width="10.7109375" style="3" customWidth="1"/>
    <col min="155" max="155" width="33.28515625" style="3" bestFit="1" customWidth="1"/>
    <col min="156" max="157" width="10.7109375" style="3" customWidth="1"/>
    <col min="158" max="158" width="43.42578125" style="3" bestFit="1" customWidth="1"/>
    <col min="159" max="160" width="10.7109375" style="3" customWidth="1"/>
    <col min="161" max="161" width="21" style="3" bestFit="1" customWidth="1"/>
    <col min="162" max="163" width="10.7109375" style="3" customWidth="1"/>
    <col min="164" max="164" width="24.5703125" style="3" bestFit="1" customWidth="1"/>
    <col min="165" max="166" width="10.7109375" style="3" customWidth="1"/>
    <col min="167" max="167" width="34.28515625" style="3" bestFit="1" customWidth="1"/>
    <col min="168" max="169" width="10.7109375" style="3" customWidth="1"/>
    <col min="170" max="170" width="48" style="3" bestFit="1" customWidth="1"/>
    <col min="171" max="172" width="10.7109375" style="3" customWidth="1"/>
    <col min="173" max="173" width="50.42578125" style="3" bestFit="1" customWidth="1"/>
    <col min="174" max="175" width="10.7109375" style="3" customWidth="1"/>
    <col min="176" max="176" width="41.85546875" style="3" bestFit="1" customWidth="1"/>
    <col min="177" max="178" width="10.7109375" style="3" customWidth="1"/>
    <col min="179" max="179" width="51.140625" style="3" bestFit="1" customWidth="1"/>
    <col min="180" max="181" width="10.7109375" style="3" customWidth="1"/>
    <col min="182" max="182" width="61" style="3" bestFit="1" customWidth="1"/>
    <col min="183" max="184" width="10.7109375" style="3" customWidth="1"/>
    <col min="185" max="185" width="63.5703125" style="3" bestFit="1" customWidth="1"/>
    <col min="186" max="187" width="10.7109375" style="3" customWidth="1"/>
    <col min="188" max="188" width="60.28515625" style="3" bestFit="1" customWidth="1"/>
    <col min="189" max="190" width="10.7109375" style="3" customWidth="1"/>
    <col min="191" max="191" width="55.140625" style="3" bestFit="1" customWidth="1"/>
    <col min="192" max="193" width="10.7109375" style="3" customWidth="1"/>
    <col min="194" max="194" width="33.28515625" style="3" bestFit="1" customWidth="1"/>
    <col min="195" max="196" width="10.7109375" style="3" customWidth="1"/>
    <col min="197" max="197" width="43.42578125" style="3" bestFit="1" customWidth="1"/>
    <col min="198" max="199" width="10.7109375" style="3" customWidth="1"/>
    <col min="200" max="200" width="21" style="3" bestFit="1" customWidth="1"/>
    <col min="201" max="202" width="10.7109375" style="3" customWidth="1"/>
    <col min="203" max="203" width="24.5703125" style="3" bestFit="1" customWidth="1"/>
    <col min="204" max="205" width="10.7109375" style="3" customWidth="1"/>
    <col min="206" max="206" width="34.28515625" style="3" bestFit="1" customWidth="1"/>
    <col min="207" max="208" width="10.7109375" style="3" customWidth="1"/>
    <col min="209" max="209" width="48" style="3" bestFit="1" customWidth="1"/>
    <col min="210" max="211" width="10.7109375" style="3" customWidth="1"/>
    <col min="212" max="212" width="50.42578125" style="3" bestFit="1" customWidth="1"/>
    <col min="213" max="214" width="10.7109375" style="3" customWidth="1"/>
    <col min="215" max="215" width="41.85546875" style="3" bestFit="1" customWidth="1"/>
    <col min="216" max="217" width="10.7109375" style="3" customWidth="1"/>
    <col min="218" max="218" width="51.140625" style="3" bestFit="1" customWidth="1"/>
    <col min="219" max="220" width="10.7109375" style="3" customWidth="1"/>
    <col min="221" max="221" width="61" style="3" bestFit="1" customWidth="1"/>
    <col min="222" max="223" width="10.7109375" style="3" customWidth="1"/>
    <col min="224" max="224" width="63.5703125" style="3" bestFit="1" customWidth="1"/>
    <col min="225" max="226" width="10.7109375" style="3" customWidth="1"/>
    <col min="227" max="227" width="60.28515625" style="3" bestFit="1" customWidth="1"/>
    <col min="228" max="229" width="10.7109375" style="3" customWidth="1"/>
    <col min="230" max="230" width="55.140625" style="3" bestFit="1" customWidth="1"/>
    <col min="231" max="232" width="10.7109375" style="3" customWidth="1"/>
    <col min="233" max="233" width="72" style="3" bestFit="1" customWidth="1"/>
    <col min="234" max="235" width="10.7109375" style="3" customWidth="1"/>
    <col min="236" max="236" width="75.7109375" style="3" bestFit="1" customWidth="1"/>
    <col min="237" max="238" width="10.7109375" style="3" customWidth="1"/>
    <col min="239" max="239" width="90" style="3" bestFit="1" customWidth="1"/>
    <col min="240" max="241" width="10.7109375" style="3" customWidth="1"/>
    <col min="242" max="242" width="42.42578125" style="3" bestFit="1" customWidth="1"/>
    <col min="243" max="244" width="10.7109375" style="3" customWidth="1"/>
    <col min="245" max="245" width="35.5703125" style="3" bestFit="1" customWidth="1"/>
    <col min="246" max="247" width="10.7109375" style="3" customWidth="1"/>
    <col min="248" max="248" width="53.42578125" style="3" bestFit="1" customWidth="1"/>
    <col min="249" max="250" width="10.7109375" style="3" customWidth="1"/>
    <col min="251" max="251" width="42.7109375" style="3" bestFit="1" customWidth="1"/>
    <col min="252" max="253" width="10.7109375" style="3" customWidth="1"/>
    <col min="254" max="254" width="63.42578125" style="3" bestFit="1" customWidth="1"/>
    <col min="255" max="256" width="10.7109375" style="3" customWidth="1"/>
    <col min="257" max="257" width="14" style="3" bestFit="1" customWidth="1"/>
    <col min="258" max="259" width="10.7109375" style="3" customWidth="1"/>
    <col min="260" max="260" width="17.140625" style="3" bestFit="1" customWidth="1"/>
    <col min="261" max="262" width="10.7109375" style="3" customWidth="1"/>
    <col min="263" max="263" width="34.85546875" style="3" bestFit="1" customWidth="1"/>
    <col min="264" max="265" width="10.7109375" style="3" customWidth="1"/>
    <col min="266" max="266" width="14" style="3" bestFit="1" customWidth="1"/>
    <col min="267" max="268" width="10.7109375" style="3" customWidth="1"/>
    <col min="269" max="269" width="18.28515625" style="3" bestFit="1" customWidth="1"/>
    <col min="270" max="271" width="10.7109375" style="3" customWidth="1"/>
    <col min="272" max="272" width="18.28515625" style="3" bestFit="1" customWidth="1"/>
    <col min="273" max="274" width="10.7109375" style="3" customWidth="1"/>
    <col min="275" max="275" width="20.28515625" style="3" bestFit="1" customWidth="1"/>
    <col min="276" max="277" width="10.7109375" style="3" customWidth="1"/>
    <col min="278" max="278" width="43.5703125" style="3" bestFit="1" customWidth="1"/>
    <col min="279" max="280" width="10.7109375" style="3" customWidth="1"/>
    <col min="281" max="281" width="52.85546875" style="3" bestFit="1" customWidth="1"/>
    <col min="282" max="283" width="10.7109375" style="3" customWidth="1"/>
    <col min="284" max="284" width="30.7109375" style="3" bestFit="1" customWidth="1"/>
    <col min="285" max="286" width="10.7109375" style="3" customWidth="1"/>
    <col min="287" max="287" width="26.140625" style="3" bestFit="1" customWidth="1"/>
    <col min="288" max="289" width="10.7109375" style="3" customWidth="1"/>
    <col min="290" max="290" width="29.140625" style="3" bestFit="1" customWidth="1"/>
    <col min="291" max="292" width="10.7109375" style="3" customWidth="1"/>
    <col min="293" max="293" width="35.28515625" style="3" bestFit="1" customWidth="1"/>
    <col min="294" max="295" width="10.7109375" style="3" customWidth="1"/>
    <col min="296" max="296" width="35.42578125" style="3" bestFit="1" customWidth="1"/>
    <col min="297" max="298" width="10.7109375" style="3" customWidth="1"/>
    <col min="299" max="299" width="31.28515625" style="3" bestFit="1" customWidth="1"/>
    <col min="300" max="301" width="10.7109375" style="3" customWidth="1"/>
    <col min="302" max="302" width="41.42578125" style="3" bestFit="1" customWidth="1"/>
    <col min="303" max="304" width="10.7109375" style="3" customWidth="1"/>
    <col min="305" max="305" width="101.42578125" style="3" bestFit="1" customWidth="1"/>
    <col min="306" max="307" width="10.7109375" style="3" customWidth="1"/>
    <col min="308" max="308" width="81" style="3" bestFit="1" customWidth="1"/>
    <col min="309" max="310" width="10.7109375" style="3" customWidth="1"/>
    <col min="311" max="311" width="52.85546875" style="3" bestFit="1" customWidth="1"/>
    <col min="312" max="313" width="10.7109375" style="3" customWidth="1"/>
    <col min="314" max="314" width="116.7109375" style="3" bestFit="1" customWidth="1"/>
    <col min="315" max="316" width="10.7109375" style="3" customWidth="1"/>
    <col min="317" max="317" width="81.42578125" style="3" bestFit="1" customWidth="1"/>
    <col min="318" max="319" width="10.7109375" style="3" customWidth="1"/>
    <col min="320" max="320" width="115" style="3" bestFit="1" customWidth="1"/>
    <col min="321" max="322" width="10.7109375" style="3" customWidth="1"/>
    <col min="323" max="323" width="117.140625" style="3" bestFit="1" customWidth="1"/>
    <col min="324" max="325" width="10.7109375" style="3" customWidth="1"/>
    <col min="326" max="326" width="67.7109375" style="3" bestFit="1" customWidth="1"/>
    <col min="327" max="328" width="10.7109375" style="3" customWidth="1"/>
    <col min="329" max="329" width="108.85546875" style="3" bestFit="1" customWidth="1"/>
    <col min="330" max="331" width="10.7109375" style="3" customWidth="1"/>
    <col min="332" max="332" width="19.85546875" style="3" bestFit="1" customWidth="1"/>
    <col min="333" max="334" width="10.7109375" style="3" customWidth="1"/>
    <col min="335" max="335" width="20" style="3" customWidth="1"/>
    <col min="336" max="337" width="10.7109375" style="3" customWidth="1"/>
    <col min="338" max="338" width="19.5703125" style="3" bestFit="1" customWidth="1"/>
    <col min="339" max="340" width="10.7109375" style="3" customWidth="1"/>
    <col min="341" max="341" width="57.42578125" style="3" bestFit="1" customWidth="1"/>
    <col min="342" max="342" width="57.42578125" style="3" customWidth="1"/>
    <col min="343" max="344" width="10.7109375" style="3" customWidth="1"/>
    <col min="345" max="345" width="49.5703125" style="3" bestFit="1" customWidth="1"/>
    <col min="346" max="346" width="49.5703125" style="3" customWidth="1"/>
    <col min="347" max="348" width="10.7109375" style="3" customWidth="1"/>
    <col min="349" max="349" width="39.85546875" style="3" bestFit="1" customWidth="1"/>
    <col min="350" max="350" width="39.85546875" style="3" customWidth="1"/>
    <col min="351" max="352" width="10.7109375" style="3" customWidth="1"/>
    <col min="353" max="353" width="97.5703125" style="3" bestFit="1" customWidth="1"/>
    <col min="354" max="355" width="10.7109375" style="3" customWidth="1"/>
    <col min="356" max="356" width="99.140625" style="3" bestFit="1" customWidth="1"/>
    <col min="357" max="358" width="10.7109375" style="3" customWidth="1"/>
    <col min="359" max="359" width="107.7109375" style="3" bestFit="1" customWidth="1"/>
    <col min="360" max="361" width="10.7109375" style="3" customWidth="1"/>
    <col min="362" max="362" width="104.85546875" style="3" bestFit="1" customWidth="1"/>
    <col min="363" max="364" width="10.7109375" style="3" customWidth="1"/>
    <col min="365" max="365" width="106.42578125" style="3" bestFit="1" customWidth="1"/>
    <col min="366" max="367" width="10.7109375" style="3" customWidth="1"/>
    <col min="368" max="368" width="115" style="3" bestFit="1" customWidth="1"/>
    <col min="369" max="370" width="10.7109375" style="3" customWidth="1"/>
    <col min="371" max="371" width="56" style="3" bestFit="1" customWidth="1"/>
    <col min="372" max="373" width="10.7109375" style="3" customWidth="1"/>
    <col min="374" max="374" width="35.5703125" style="3" bestFit="1" customWidth="1"/>
    <col min="375" max="376" width="10.7109375" style="3" customWidth="1"/>
    <col min="377" max="377" width="19.85546875" style="3" bestFit="1" customWidth="1"/>
    <col min="378" max="379" width="10.7109375" style="3" customWidth="1"/>
    <col min="380" max="380" width="44.7109375" style="3" bestFit="1" customWidth="1"/>
    <col min="381" max="382" width="10.7109375" style="3" customWidth="1"/>
    <col min="383" max="383" width="45.5703125" style="3" bestFit="1" customWidth="1"/>
    <col min="384" max="385" width="10.7109375" style="3" customWidth="1"/>
    <col min="386" max="386" width="55.28515625" style="3" bestFit="1" customWidth="1"/>
    <col min="387" max="387" width="44.42578125" style="3" bestFit="1" customWidth="1"/>
    <col min="388" max="388" width="34.7109375" style="3" bestFit="1" customWidth="1"/>
    <col min="389" max="389" width="43.7109375" style="3" bestFit="1" customWidth="1"/>
    <col min="390" max="390" width="59.7109375" style="3" bestFit="1" customWidth="1"/>
    <col min="391" max="392" width="10.7109375" style="3" customWidth="1"/>
    <col min="393" max="393" width="104.28515625" style="3" bestFit="1" customWidth="1"/>
    <col min="394" max="395" width="10.7109375" style="3" customWidth="1"/>
    <col min="396" max="396" width="207.140625" style="3" customWidth="1"/>
    <col min="397" max="397" width="42.85546875" style="3" bestFit="1" customWidth="1"/>
    <col min="398" max="402" width="21.5703125" style="3" customWidth="1"/>
    <col min="403" max="16384" width="14.42578125" style="3"/>
  </cols>
  <sheetData>
    <row r="1" spans="1:402" ht="15.75" customHeight="1" x14ac:dyDescent="0.2">
      <c r="A1" s="13">
        <v>2</v>
      </c>
      <c r="D1" s="13">
        <v>3</v>
      </c>
      <c r="G1" s="13">
        <v>4</v>
      </c>
      <c r="J1" s="13">
        <v>5</v>
      </c>
      <c r="M1" s="13">
        <v>6</v>
      </c>
      <c r="P1" s="13">
        <v>7</v>
      </c>
      <c r="S1" s="13">
        <v>8</v>
      </c>
      <c r="V1" s="13">
        <v>9</v>
      </c>
      <c r="Y1" s="13">
        <v>10</v>
      </c>
      <c r="AB1" s="13">
        <v>11</v>
      </c>
      <c r="AE1" s="13">
        <v>12</v>
      </c>
      <c r="AH1" s="13">
        <v>13</v>
      </c>
      <c r="AK1" s="13">
        <v>14</v>
      </c>
      <c r="AN1" s="13">
        <v>15</v>
      </c>
      <c r="AQ1" s="13">
        <v>16</v>
      </c>
      <c r="AT1" s="13">
        <v>17</v>
      </c>
      <c r="AW1" s="13">
        <v>18</v>
      </c>
      <c r="AZ1" s="13">
        <v>19</v>
      </c>
      <c r="BC1" s="13">
        <v>20</v>
      </c>
      <c r="BF1" s="13">
        <v>21</v>
      </c>
      <c r="BI1" s="13">
        <v>22</v>
      </c>
      <c r="BL1" s="13">
        <v>23</v>
      </c>
      <c r="BQ1" s="13">
        <v>24</v>
      </c>
      <c r="BR1" s="13"/>
      <c r="BU1" s="13">
        <v>25</v>
      </c>
      <c r="BX1" s="13">
        <v>26</v>
      </c>
      <c r="CA1" s="13">
        <v>27</v>
      </c>
      <c r="CD1" s="13">
        <v>28</v>
      </c>
      <c r="CG1" s="13">
        <v>29</v>
      </c>
      <c r="CJ1" s="13">
        <v>30</v>
      </c>
      <c r="CM1" s="13">
        <v>31</v>
      </c>
      <c r="CP1" s="13">
        <v>32</v>
      </c>
      <c r="CS1" s="13">
        <v>33</v>
      </c>
      <c r="CV1" s="13">
        <v>34</v>
      </c>
      <c r="CY1" s="13"/>
      <c r="CZ1" s="13">
        <v>35</v>
      </c>
      <c r="DA1" s="13"/>
      <c r="DD1" s="13">
        <v>36</v>
      </c>
      <c r="DG1" s="13">
        <v>37</v>
      </c>
      <c r="DJ1" s="13">
        <v>38</v>
      </c>
      <c r="DM1" s="13">
        <v>39</v>
      </c>
      <c r="DP1" s="13">
        <v>40</v>
      </c>
      <c r="DS1" s="13">
        <v>41</v>
      </c>
      <c r="DV1" s="13">
        <v>42</v>
      </c>
      <c r="DY1" s="13">
        <v>43</v>
      </c>
      <c r="EB1" s="13">
        <v>44</v>
      </c>
      <c r="EE1" s="13">
        <v>45</v>
      </c>
      <c r="EH1" s="13">
        <v>46</v>
      </c>
      <c r="EK1" s="13"/>
      <c r="EL1" s="13">
        <v>47</v>
      </c>
      <c r="EM1" s="13"/>
      <c r="EP1" s="13">
        <v>48</v>
      </c>
      <c r="ES1" s="13">
        <v>49</v>
      </c>
      <c r="EV1" s="13">
        <v>50</v>
      </c>
      <c r="EY1" s="13">
        <v>51</v>
      </c>
      <c r="FB1" s="13">
        <v>52</v>
      </c>
      <c r="FE1" s="13">
        <v>53</v>
      </c>
      <c r="FH1" s="13">
        <v>54</v>
      </c>
      <c r="FK1" s="13">
        <v>55</v>
      </c>
      <c r="FN1" s="13">
        <v>56</v>
      </c>
      <c r="FQ1" s="13">
        <v>57</v>
      </c>
      <c r="FT1" s="13">
        <v>58</v>
      </c>
      <c r="FW1" s="13">
        <v>59</v>
      </c>
      <c r="FZ1" s="13">
        <v>60</v>
      </c>
      <c r="GC1" s="13">
        <v>61</v>
      </c>
      <c r="GF1" s="13">
        <v>62</v>
      </c>
      <c r="GI1" s="13">
        <v>63</v>
      </c>
      <c r="GL1" s="13">
        <v>64</v>
      </c>
      <c r="GO1" s="13">
        <v>65</v>
      </c>
      <c r="GR1" s="13">
        <v>66</v>
      </c>
      <c r="GU1" s="13">
        <v>67</v>
      </c>
      <c r="GX1" s="13">
        <v>68</v>
      </c>
      <c r="HA1" s="13">
        <v>69</v>
      </c>
      <c r="HD1" s="13">
        <v>70</v>
      </c>
      <c r="HG1" s="13">
        <v>71</v>
      </c>
      <c r="HJ1" s="13">
        <v>72</v>
      </c>
      <c r="HM1" s="13">
        <v>73</v>
      </c>
      <c r="HP1" s="13">
        <v>74</v>
      </c>
      <c r="HS1" s="13">
        <v>75</v>
      </c>
      <c r="HV1" s="13">
        <v>76</v>
      </c>
      <c r="HY1" s="13">
        <v>77</v>
      </c>
      <c r="IB1" s="13">
        <v>78</v>
      </c>
      <c r="IE1" s="13">
        <v>79</v>
      </c>
      <c r="IH1" s="13">
        <v>80</v>
      </c>
      <c r="IK1" s="13">
        <v>81</v>
      </c>
      <c r="IN1" s="13">
        <v>82</v>
      </c>
      <c r="IQ1" s="13">
        <v>83</v>
      </c>
      <c r="IT1" s="13">
        <v>84</v>
      </c>
      <c r="IW1" s="13">
        <v>85</v>
      </c>
      <c r="IZ1" s="13">
        <v>86</v>
      </c>
      <c r="JC1" s="13">
        <v>87</v>
      </c>
      <c r="JF1" s="13">
        <v>88</v>
      </c>
      <c r="JI1" s="13">
        <v>89</v>
      </c>
      <c r="JL1" s="13">
        <v>90</v>
      </c>
      <c r="JO1" s="13">
        <v>91</v>
      </c>
      <c r="JR1" s="13">
        <v>92</v>
      </c>
      <c r="JU1" s="13">
        <v>93</v>
      </c>
      <c r="JX1" s="13">
        <v>94</v>
      </c>
      <c r="KA1" s="13">
        <v>95</v>
      </c>
      <c r="KD1" s="13">
        <v>96</v>
      </c>
      <c r="KG1" s="13">
        <v>97</v>
      </c>
      <c r="KJ1" s="13">
        <v>98</v>
      </c>
      <c r="KM1" s="13">
        <v>99</v>
      </c>
      <c r="KP1" s="13">
        <v>100</v>
      </c>
      <c r="KS1" s="13">
        <v>101</v>
      </c>
      <c r="KV1" s="13">
        <v>102</v>
      </c>
      <c r="KY1" s="13">
        <v>103</v>
      </c>
      <c r="LB1" s="13">
        <v>104</v>
      </c>
      <c r="LE1" s="13">
        <v>105</v>
      </c>
      <c r="LH1" s="13">
        <v>106</v>
      </c>
      <c r="LK1" s="13">
        <v>107</v>
      </c>
      <c r="LN1" s="13">
        <v>108</v>
      </c>
      <c r="LQ1" s="13">
        <v>109</v>
      </c>
      <c r="LT1" s="13">
        <v>110</v>
      </c>
      <c r="LW1" s="13">
        <v>111</v>
      </c>
      <c r="LZ1" s="13">
        <v>112</v>
      </c>
      <c r="MC1" s="13">
        <v>113</v>
      </c>
      <c r="MD1" s="13"/>
      <c r="MG1" s="13">
        <v>114</v>
      </c>
      <c r="MH1" s="13"/>
      <c r="MK1" s="13">
        <v>115</v>
      </c>
      <c r="ML1" s="13"/>
      <c r="MO1" s="13">
        <v>116</v>
      </c>
      <c r="MR1" s="13">
        <v>117</v>
      </c>
      <c r="MU1" s="13">
        <v>118</v>
      </c>
      <c r="MX1" s="13">
        <v>119</v>
      </c>
      <c r="NA1" s="13">
        <v>120</v>
      </c>
      <c r="ND1" s="13">
        <v>121</v>
      </c>
      <c r="NG1" s="13">
        <v>122</v>
      </c>
      <c r="NJ1" s="13">
        <v>123</v>
      </c>
      <c r="NM1" s="13">
        <v>124</v>
      </c>
      <c r="NP1" s="13">
        <v>125</v>
      </c>
      <c r="NS1" s="13">
        <v>126</v>
      </c>
      <c r="NV1" s="13">
        <v>127</v>
      </c>
      <c r="NW1" s="13">
        <v>128</v>
      </c>
      <c r="NX1" s="13">
        <v>129</v>
      </c>
      <c r="NY1" s="13">
        <v>130</v>
      </c>
      <c r="NZ1" s="13">
        <v>131</v>
      </c>
      <c r="OC1" s="13">
        <v>132</v>
      </c>
      <c r="OF1" s="13">
        <v>133</v>
      </c>
      <c r="OG1" s="13">
        <v>134</v>
      </c>
      <c r="OJ1" s="13">
        <v>135</v>
      </c>
    </row>
    <row r="2" spans="1:402" s="12" customFormat="1" ht="15.75" customHeight="1" x14ac:dyDescent="0.2">
      <c r="A2" s="10" t="s">
        <v>1</v>
      </c>
      <c r="B2" s="11" t="s">
        <v>131</v>
      </c>
      <c r="C2" s="10"/>
      <c r="D2" s="10" t="s">
        <v>2</v>
      </c>
      <c r="E2" s="11" t="s">
        <v>131</v>
      </c>
      <c r="F2" s="11" t="s">
        <v>132</v>
      </c>
      <c r="G2" s="10" t="s">
        <v>3</v>
      </c>
      <c r="H2" s="11" t="s">
        <v>131</v>
      </c>
      <c r="I2" s="11" t="s">
        <v>132</v>
      </c>
      <c r="J2" s="10" t="s">
        <v>4</v>
      </c>
      <c r="K2" s="11" t="s">
        <v>131</v>
      </c>
      <c r="L2" s="11" t="s">
        <v>132</v>
      </c>
      <c r="M2" s="10" t="s">
        <v>5</v>
      </c>
      <c r="N2" s="11" t="s">
        <v>131</v>
      </c>
      <c r="O2" s="11" t="s">
        <v>132</v>
      </c>
      <c r="P2" s="10" t="s">
        <v>6</v>
      </c>
      <c r="Q2" s="11" t="s">
        <v>131</v>
      </c>
      <c r="R2" s="11" t="s">
        <v>132</v>
      </c>
      <c r="S2" s="10" t="s">
        <v>7</v>
      </c>
      <c r="T2" s="11" t="s">
        <v>131</v>
      </c>
      <c r="U2" s="11" t="s">
        <v>132</v>
      </c>
      <c r="V2" s="10" t="s">
        <v>8</v>
      </c>
      <c r="W2" s="11" t="s">
        <v>131</v>
      </c>
      <c r="X2" s="11" t="s">
        <v>132</v>
      </c>
      <c r="Y2" s="10" t="s">
        <v>9</v>
      </c>
      <c r="Z2" s="11" t="s">
        <v>131</v>
      </c>
      <c r="AA2" s="11" t="s">
        <v>132</v>
      </c>
      <c r="AB2" s="10" t="s">
        <v>10</v>
      </c>
      <c r="AC2" s="11" t="s">
        <v>131</v>
      </c>
      <c r="AD2" s="11" t="s">
        <v>132</v>
      </c>
      <c r="AE2" s="10" t="s">
        <v>11</v>
      </c>
      <c r="AF2" s="11" t="s">
        <v>131</v>
      </c>
      <c r="AG2" s="11" t="s">
        <v>132</v>
      </c>
      <c r="AH2" s="14" t="s">
        <v>12</v>
      </c>
      <c r="AI2" s="15" t="s">
        <v>131</v>
      </c>
      <c r="AJ2" s="15" t="s">
        <v>132</v>
      </c>
      <c r="AK2" s="10" t="s">
        <v>13</v>
      </c>
      <c r="AL2" s="11" t="s">
        <v>131</v>
      </c>
      <c r="AM2" s="11" t="s">
        <v>132</v>
      </c>
      <c r="AN2" s="10" t="s">
        <v>14</v>
      </c>
      <c r="AO2" s="11" t="s">
        <v>131</v>
      </c>
      <c r="AP2" s="11" t="s">
        <v>132</v>
      </c>
      <c r="AQ2" s="10" t="s">
        <v>15</v>
      </c>
      <c r="AR2" s="11" t="s">
        <v>131</v>
      </c>
      <c r="AS2" s="11" t="s">
        <v>132</v>
      </c>
      <c r="AT2" s="10" t="s">
        <v>16</v>
      </c>
      <c r="AU2" s="11" t="s">
        <v>131</v>
      </c>
      <c r="AV2" s="11" t="s">
        <v>132</v>
      </c>
      <c r="AW2" s="10" t="s">
        <v>17</v>
      </c>
      <c r="AX2" s="11" t="s">
        <v>131</v>
      </c>
      <c r="AY2" s="11" t="s">
        <v>132</v>
      </c>
      <c r="AZ2" s="10" t="s">
        <v>18</v>
      </c>
      <c r="BA2" s="11" t="s">
        <v>131</v>
      </c>
      <c r="BB2" s="11" t="s">
        <v>132</v>
      </c>
      <c r="BC2" s="10" t="s">
        <v>19</v>
      </c>
      <c r="BD2" s="11" t="s">
        <v>131</v>
      </c>
      <c r="BE2" s="11" t="s">
        <v>132</v>
      </c>
      <c r="BF2" s="10" t="s">
        <v>20</v>
      </c>
      <c r="BG2" s="11" t="s">
        <v>131</v>
      </c>
      <c r="BH2" s="11" t="s">
        <v>132</v>
      </c>
      <c r="BI2" s="10" t="s">
        <v>21</v>
      </c>
      <c r="BJ2" s="11" t="s">
        <v>131</v>
      </c>
      <c r="BK2" s="11" t="s">
        <v>132</v>
      </c>
      <c r="BL2" s="10" t="s">
        <v>21</v>
      </c>
      <c r="BM2" s="11" t="s">
        <v>131</v>
      </c>
      <c r="BN2" s="11" t="s">
        <v>132</v>
      </c>
      <c r="BO2" s="11"/>
      <c r="BP2" s="15" t="s">
        <v>620</v>
      </c>
      <c r="BQ2" s="14" t="s">
        <v>22</v>
      </c>
      <c r="BR2" s="15" t="s">
        <v>1108</v>
      </c>
      <c r="BS2" s="15" t="s">
        <v>131</v>
      </c>
      <c r="BT2" s="15" t="s">
        <v>132</v>
      </c>
      <c r="BU2" s="10" t="s">
        <v>23</v>
      </c>
      <c r="BV2" s="11" t="s">
        <v>131</v>
      </c>
      <c r="BW2" s="11" t="s">
        <v>132</v>
      </c>
      <c r="BX2" s="14" t="s">
        <v>24</v>
      </c>
      <c r="BY2" s="15" t="s">
        <v>131</v>
      </c>
      <c r="BZ2" s="15" t="s">
        <v>132</v>
      </c>
      <c r="CA2" s="10" t="s">
        <v>25</v>
      </c>
      <c r="CB2" s="11" t="s">
        <v>131</v>
      </c>
      <c r="CC2" s="11" t="s">
        <v>132</v>
      </c>
      <c r="CD2" s="14" t="s">
        <v>26</v>
      </c>
      <c r="CE2" s="15" t="s">
        <v>131</v>
      </c>
      <c r="CF2" s="15" t="s">
        <v>132</v>
      </c>
      <c r="CG2" s="10" t="s">
        <v>27</v>
      </c>
      <c r="CH2" s="11" t="s">
        <v>131</v>
      </c>
      <c r="CI2" s="11" t="s">
        <v>132</v>
      </c>
      <c r="CJ2" s="10" t="s">
        <v>28</v>
      </c>
      <c r="CK2" s="11" t="s">
        <v>131</v>
      </c>
      <c r="CL2" s="11" t="s">
        <v>132</v>
      </c>
      <c r="CM2" s="10" t="s">
        <v>29</v>
      </c>
      <c r="CN2" s="11" t="s">
        <v>131</v>
      </c>
      <c r="CO2" s="11" t="s">
        <v>132</v>
      </c>
      <c r="CP2" s="10" t="s">
        <v>30</v>
      </c>
      <c r="CQ2" s="11" t="s">
        <v>131</v>
      </c>
      <c r="CR2" s="11" t="s">
        <v>132</v>
      </c>
      <c r="CS2" s="17" t="s">
        <v>31</v>
      </c>
      <c r="CT2" s="18" t="s">
        <v>131</v>
      </c>
      <c r="CU2" s="18" t="s">
        <v>132</v>
      </c>
      <c r="CV2" s="10" t="s">
        <v>32</v>
      </c>
      <c r="CW2" s="11" t="s">
        <v>131</v>
      </c>
      <c r="CX2" s="11" t="s">
        <v>132</v>
      </c>
      <c r="CY2" s="14" t="s">
        <v>620</v>
      </c>
      <c r="CZ2" s="14" t="s">
        <v>33</v>
      </c>
      <c r="DA2" s="15" t="s">
        <v>1108</v>
      </c>
      <c r="DB2" s="15" t="s">
        <v>131</v>
      </c>
      <c r="DC2" s="15" t="s">
        <v>132</v>
      </c>
      <c r="DD2" s="14" t="s">
        <v>34</v>
      </c>
      <c r="DE2" s="15" t="s">
        <v>131</v>
      </c>
      <c r="DF2" s="15" t="s">
        <v>132</v>
      </c>
      <c r="DG2" s="10" t="s">
        <v>35</v>
      </c>
      <c r="DH2" s="11" t="s">
        <v>131</v>
      </c>
      <c r="DI2" s="11" t="s">
        <v>132</v>
      </c>
      <c r="DJ2" s="10" t="s">
        <v>36</v>
      </c>
      <c r="DK2" s="11" t="s">
        <v>131</v>
      </c>
      <c r="DL2" s="11" t="s">
        <v>132</v>
      </c>
      <c r="DM2" s="10" t="s">
        <v>37</v>
      </c>
      <c r="DN2" s="11" t="s">
        <v>131</v>
      </c>
      <c r="DO2" s="11" t="s">
        <v>132</v>
      </c>
      <c r="DP2" s="10" t="s">
        <v>38</v>
      </c>
      <c r="DQ2" s="11" t="s">
        <v>131</v>
      </c>
      <c r="DR2" s="11" t="s">
        <v>132</v>
      </c>
      <c r="DS2" s="10" t="s">
        <v>39</v>
      </c>
      <c r="DT2" s="11" t="s">
        <v>131</v>
      </c>
      <c r="DU2" s="11" t="s">
        <v>132</v>
      </c>
      <c r="DV2" s="10" t="s">
        <v>40</v>
      </c>
      <c r="DW2" s="11" t="s">
        <v>131</v>
      </c>
      <c r="DX2" s="11" t="s">
        <v>132</v>
      </c>
      <c r="DY2" s="10" t="s">
        <v>41</v>
      </c>
      <c r="DZ2" s="11" t="s">
        <v>131</v>
      </c>
      <c r="EA2" s="11" t="s">
        <v>132</v>
      </c>
      <c r="EB2" s="10" t="s">
        <v>42</v>
      </c>
      <c r="EC2" s="11" t="s">
        <v>131</v>
      </c>
      <c r="ED2" s="11" t="s">
        <v>132</v>
      </c>
      <c r="EE2" s="10" t="s">
        <v>43</v>
      </c>
      <c r="EF2" s="11" t="s">
        <v>131</v>
      </c>
      <c r="EG2" s="11" t="s">
        <v>132</v>
      </c>
      <c r="EH2" s="10" t="s">
        <v>44</v>
      </c>
      <c r="EI2" s="11" t="s">
        <v>131</v>
      </c>
      <c r="EJ2" s="11" t="s">
        <v>132</v>
      </c>
      <c r="EK2" s="14" t="s">
        <v>620</v>
      </c>
      <c r="EL2" s="10" t="s">
        <v>45</v>
      </c>
      <c r="EM2" s="14" t="s">
        <v>45</v>
      </c>
      <c r="EN2" s="15" t="s">
        <v>131</v>
      </c>
      <c r="EO2" s="15" t="s">
        <v>132</v>
      </c>
      <c r="EP2" s="10" t="s">
        <v>46</v>
      </c>
      <c r="EQ2" s="11" t="s">
        <v>131</v>
      </c>
      <c r="ER2" s="11" t="s">
        <v>132</v>
      </c>
      <c r="ES2" s="10" t="s">
        <v>47</v>
      </c>
      <c r="ET2" s="11" t="s">
        <v>131</v>
      </c>
      <c r="EU2" s="11" t="s">
        <v>132</v>
      </c>
      <c r="EV2" s="10" t="s">
        <v>47</v>
      </c>
      <c r="EW2" s="11" t="s">
        <v>131</v>
      </c>
      <c r="EX2" s="11" t="s">
        <v>132</v>
      </c>
      <c r="EY2" s="10" t="s">
        <v>48</v>
      </c>
      <c r="EZ2" s="11" t="s">
        <v>131</v>
      </c>
      <c r="FA2" s="11" t="s">
        <v>132</v>
      </c>
      <c r="FB2" s="10" t="s">
        <v>49</v>
      </c>
      <c r="FC2" s="11" t="s">
        <v>131</v>
      </c>
      <c r="FD2" s="11" t="s">
        <v>132</v>
      </c>
      <c r="FE2" s="10" t="s">
        <v>50</v>
      </c>
      <c r="FF2" s="11" t="s">
        <v>131</v>
      </c>
      <c r="FG2" s="11" t="s">
        <v>132</v>
      </c>
      <c r="FH2" s="10" t="s">
        <v>51</v>
      </c>
      <c r="FI2" s="11" t="s">
        <v>131</v>
      </c>
      <c r="FJ2" s="11" t="s">
        <v>132</v>
      </c>
      <c r="FK2" s="10" t="s">
        <v>52</v>
      </c>
      <c r="FL2" s="11" t="s">
        <v>131</v>
      </c>
      <c r="FM2" s="11" t="s">
        <v>132</v>
      </c>
      <c r="FN2" s="10" t="s">
        <v>53</v>
      </c>
      <c r="FO2" s="11" t="s">
        <v>131</v>
      </c>
      <c r="FP2" s="11" t="s">
        <v>132</v>
      </c>
      <c r="FQ2" s="10" t="s">
        <v>54</v>
      </c>
      <c r="FR2" s="11" t="s">
        <v>131</v>
      </c>
      <c r="FS2" s="11" t="s">
        <v>132</v>
      </c>
      <c r="FT2" s="10" t="s">
        <v>55</v>
      </c>
      <c r="FU2" s="11" t="s">
        <v>131</v>
      </c>
      <c r="FV2" s="11" t="s">
        <v>132</v>
      </c>
      <c r="FW2" s="10" t="s">
        <v>56</v>
      </c>
      <c r="FX2" s="11" t="s">
        <v>131</v>
      </c>
      <c r="FY2" s="11" t="s">
        <v>132</v>
      </c>
      <c r="FZ2" s="10" t="s">
        <v>57</v>
      </c>
      <c r="GA2" s="11" t="s">
        <v>131</v>
      </c>
      <c r="GB2" s="11" t="s">
        <v>132</v>
      </c>
      <c r="GC2" s="10" t="s">
        <v>58</v>
      </c>
      <c r="GD2" s="11" t="s">
        <v>131</v>
      </c>
      <c r="GE2" s="11" t="s">
        <v>132</v>
      </c>
      <c r="GF2" s="10" t="s">
        <v>59</v>
      </c>
      <c r="GG2" s="11" t="s">
        <v>131</v>
      </c>
      <c r="GH2" s="11" t="s">
        <v>132</v>
      </c>
      <c r="GI2" s="10" t="s">
        <v>60</v>
      </c>
      <c r="GJ2" s="11" t="s">
        <v>131</v>
      </c>
      <c r="GK2" s="11" t="s">
        <v>132</v>
      </c>
      <c r="GL2" s="10" t="s">
        <v>48</v>
      </c>
      <c r="GM2" s="11" t="s">
        <v>131</v>
      </c>
      <c r="GN2" s="11" t="s">
        <v>132</v>
      </c>
      <c r="GO2" s="10" t="s">
        <v>49</v>
      </c>
      <c r="GP2" s="11" t="s">
        <v>131</v>
      </c>
      <c r="GQ2" s="11" t="s">
        <v>132</v>
      </c>
      <c r="GR2" s="10" t="s">
        <v>50</v>
      </c>
      <c r="GS2" s="11" t="s">
        <v>131</v>
      </c>
      <c r="GT2" s="11" t="s">
        <v>132</v>
      </c>
      <c r="GU2" s="10" t="s">
        <v>51</v>
      </c>
      <c r="GV2" s="11" t="s">
        <v>131</v>
      </c>
      <c r="GW2" s="11" t="s">
        <v>132</v>
      </c>
      <c r="GX2" s="10" t="s">
        <v>52</v>
      </c>
      <c r="GY2" s="11" t="s">
        <v>131</v>
      </c>
      <c r="GZ2" s="11" t="s">
        <v>132</v>
      </c>
      <c r="HA2" s="10" t="s">
        <v>53</v>
      </c>
      <c r="HB2" s="11" t="s">
        <v>131</v>
      </c>
      <c r="HC2" s="11" t="s">
        <v>132</v>
      </c>
      <c r="HD2" s="10" t="s">
        <v>54</v>
      </c>
      <c r="HE2" s="11" t="s">
        <v>131</v>
      </c>
      <c r="HF2" s="11" t="s">
        <v>132</v>
      </c>
      <c r="HG2" s="10" t="s">
        <v>55</v>
      </c>
      <c r="HH2" s="11" t="s">
        <v>131</v>
      </c>
      <c r="HI2" s="11" t="s">
        <v>132</v>
      </c>
      <c r="HJ2" s="10" t="s">
        <v>56</v>
      </c>
      <c r="HK2" s="11" t="s">
        <v>131</v>
      </c>
      <c r="HL2" s="11" t="s">
        <v>132</v>
      </c>
      <c r="HM2" s="10" t="s">
        <v>57</v>
      </c>
      <c r="HN2" s="11" t="s">
        <v>131</v>
      </c>
      <c r="HO2" s="11" t="s">
        <v>132</v>
      </c>
      <c r="HP2" s="10" t="s">
        <v>58</v>
      </c>
      <c r="HQ2" s="11" t="s">
        <v>131</v>
      </c>
      <c r="HR2" s="11" t="s">
        <v>132</v>
      </c>
      <c r="HS2" s="10" t="s">
        <v>59</v>
      </c>
      <c r="HT2" s="11" t="s">
        <v>131</v>
      </c>
      <c r="HU2" s="11" t="s">
        <v>132</v>
      </c>
      <c r="HV2" s="10" t="s">
        <v>60</v>
      </c>
      <c r="HW2" s="11" t="s">
        <v>131</v>
      </c>
      <c r="HX2" s="11" t="s">
        <v>132</v>
      </c>
      <c r="HY2" s="10" t="s">
        <v>61</v>
      </c>
      <c r="HZ2" s="11" t="s">
        <v>131</v>
      </c>
      <c r="IA2" s="11" t="s">
        <v>132</v>
      </c>
      <c r="IB2" s="10" t="s">
        <v>62</v>
      </c>
      <c r="IC2" s="11" t="s">
        <v>131</v>
      </c>
      <c r="ID2" s="11" t="s">
        <v>132</v>
      </c>
      <c r="IE2" s="10" t="s">
        <v>63</v>
      </c>
      <c r="IF2" s="11" t="s">
        <v>131</v>
      </c>
      <c r="IG2" s="11" t="s">
        <v>132</v>
      </c>
      <c r="IH2" s="10" t="s">
        <v>64</v>
      </c>
      <c r="II2" s="11" t="s">
        <v>131</v>
      </c>
      <c r="IJ2" s="11" t="s">
        <v>132</v>
      </c>
      <c r="IK2" s="10" t="s">
        <v>65</v>
      </c>
      <c r="IL2" s="11" t="s">
        <v>131</v>
      </c>
      <c r="IM2" s="11" t="s">
        <v>132</v>
      </c>
      <c r="IN2" s="10" t="s">
        <v>66</v>
      </c>
      <c r="IO2" s="11" t="s">
        <v>131</v>
      </c>
      <c r="IP2" s="11" t="s">
        <v>132</v>
      </c>
      <c r="IQ2" s="10" t="s">
        <v>67</v>
      </c>
      <c r="IR2" s="11" t="s">
        <v>131</v>
      </c>
      <c r="IS2" s="11" t="s">
        <v>132</v>
      </c>
      <c r="IT2" s="10" t="s">
        <v>68</v>
      </c>
      <c r="IU2" s="11" t="s">
        <v>131</v>
      </c>
      <c r="IV2" s="11" t="s">
        <v>132</v>
      </c>
      <c r="IW2" s="10" t="s">
        <v>69</v>
      </c>
      <c r="IX2" s="11" t="s">
        <v>131</v>
      </c>
      <c r="IY2" s="11" t="s">
        <v>132</v>
      </c>
      <c r="IZ2" s="10" t="s">
        <v>70</v>
      </c>
      <c r="JA2" s="11" t="s">
        <v>131</v>
      </c>
      <c r="JB2" s="11" t="s">
        <v>132</v>
      </c>
      <c r="JC2" s="10" t="s">
        <v>71</v>
      </c>
      <c r="JD2" s="11" t="s">
        <v>131</v>
      </c>
      <c r="JE2" s="11" t="s">
        <v>132</v>
      </c>
      <c r="JF2" s="10" t="s">
        <v>72</v>
      </c>
      <c r="JG2" s="11" t="s">
        <v>131</v>
      </c>
      <c r="JH2" s="11" t="s">
        <v>132</v>
      </c>
      <c r="JI2" s="10" t="s">
        <v>73</v>
      </c>
      <c r="JJ2" s="11" t="s">
        <v>131</v>
      </c>
      <c r="JK2" s="11" t="s">
        <v>132</v>
      </c>
      <c r="JL2" s="10" t="s">
        <v>74</v>
      </c>
      <c r="JM2" s="11" t="s">
        <v>131</v>
      </c>
      <c r="JN2" s="11" t="s">
        <v>132</v>
      </c>
      <c r="JO2" s="10" t="s">
        <v>75</v>
      </c>
      <c r="JP2" s="11" t="s">
        <v>131</v>
      </c>
      <c r="JQ2" s="11" t="s">
        <v>132</v>
      </c>
      <c r="JR2" s="10" t="s">
        <v>76</v>
      </c>
      <c r="JS2" s="11" t="s">
        <v>131</v>
      </c>
      <c r="JT2" s="11" t="s">
        <v>132</v>
      </c>
      <c r="JU2" s="10" t="s">
        <v>77</v>
      </c>
      <c r="JV2" s="11" t="s">
        <v>131</v>
      </c>
      <c r="JW2" s="11" t="s">
        <v>132</v>
      </c>
      <c r="JX2" s="10" t="s">
        <v>78</v>
      </c>
      <c r="JY2" s="11" t="s">
        <v>131</v>
      </c>
      <c r="JZ2" s="11" t="s">
        <v>132</v>
      </c>
      <c r="KA2" s="10" t="s">
        <v>79</v>
      </c>
      <c r="KB2" s="11" t="s">
        <v>131</v>
      </c>
      <c r="KC2" s="11" t="s">
        <v>132</v>
      </c>
      <c r="KD2" s="10" t="s">
        <v>80</v>
      </c>
      <c r="KE2" s="11" t="s">
        <v>131</v>
      </c>
      <c r="KF2" s="11" t="s">
        <v>132</v>
      </c>
      <c r="KG2" s="10" t="s">
        <v>81</v>
      </c>
      <c r="KH2" s="11" t="s">
        <v>131</v>
      </c>
      <c r="KI2" s="11" t="s">
        <v>132</v>
      </c>
      <c r="KJ2" s="10" t="s">
        <v>82</v>
      </c>
      <c r="KK2" s="11" t="s">
        <v>131</v>
      </c>
      <c r="KL2" s="11" t="s">
        <v>132</v>
      </c>
      <c r="KM2" s="10" t="s">
        <v>83</v>
      </c>
      <c r="KN2" s="11" t="s">
        <v>131</v>
      </c>
      <c r="KO2" s="11" t="s">
        <v>132</v>
      </c>
      <c r="KP2" s="10" t="s">
        <v>84</v>
      </c>
      <c r="KQ2" s="11" t="s">
        <v>131</v>
      </c>
      <c r="KR2" s="11" t="s">
        <v>132</v>
      </c>
      <c r="KS2" s="10" t="s">
        <v>85</v>
      </c>
      <c r="KT2" s="11" t="s">
        <v>131</v>
      </c>
      <c r="KU2" s="11" t="s">
        <v>132</v>
      </c>
      <c r="KV2" s="10" t="s">
        <v>86</v>
      </c>
      <c r="KW2" s="11" t="s">
        <v>131</v>
      </c>
      <c r="KX2" s="11" t="s">
        <v>132</v>
      </c>
      <c r="KY2" s="10" t="s">
        <v>87</v>
      </c>
      <c r="KZ2" s="11" t="s">
        <v>131</v>
      </c>
      <c r="LA2" s="11" t="s">
        <v>132</v>
      </c>
      <c r="LB2" s="10" t="s">
        <v>88</v>
      </c>
      <c r="LC2" s="11" t="s">
        <v>131</v>
      </c>
      <c r="LD2" s="11" t="s">
        <v>132</v>
      </c>
      <c r="LE2" s="10" t="s">
        <v>89</v>
      </c>
      <c r="LF2" s="11" t="s">
        <v>131</v>
      </c>
      <c r="LG2" s="11" t="s">
        <v>132</v>
      </c>
      <c r="LH2" s="10" t="s">
        <v>90</v>
      </c>
      <c r="LI2" s="11" t="s">
        <v>131</v>
      </c>
      <c r="LJ2" s="11" t="s">
        <v>132</v>
      </c>
      <c r="LK2" s="10" t="s">
        <v>91</v>
      </c>
      <c r="LL2" s="11" t="s">
        <v>131</v>
      </c>
      <c r="LM2" s="11" t="s">
        <v>132</v>
      </c>
      <c r="LN2" s="10" t="s">
        <v>92</v>
      </c>
      <c r="LO2" s="11" t="s">
        <v>131</v>
      </c>
      <c r="LP2" s="11" t="s">
        <v>132</v>
      </c>
      <c r="LQ2" s="10" t="s">
        <v>93</v>
      </c>
      <c r="LR2" s="11" t="s">
        <v>131</v>
      </c>
      <c r="LS2" s="11" t="s">
        <v>132</v>
      </c>
      <c r="LT2" s="10" t="s">
        <v>94</v>
      </c>
      <c r="LU2" s="11" t="s">
        <v>131</v>
      </c>
      <c r="LV2" s="11" t="s">
        <v>132</v>
      </c>
      <c r="LW2" s="10" t="s">
        <v>95</v>
      </c>
      <c r="LX2" s="11" t="s">
        <v>131</v>
      </c>
      <c r="LY2" s="11" t="s">
        <v>132</v>
      </c>
      <c r="LZ2" s="10" t="s">
        <v>96</v>
      </c>
      <c r="MA2" s="11" t="s">
        <v>131</v>
      </c>
      <c r="MB2" s="11" t="s">
        <v>132</v>
      </c>
      <c r="MC2" s="14" t="s">
        <v>97</v>
      </c>
      <c r="MD2" s="15" t="s">
        <v>1310</v>
      </c>
      <c r="ME2" s="15" t="s">
        <v>131</v>
      </c>
      <c r="MF2" s="15" t="s">
        <v>132</v>
      </c>
      <c r="MG2" s="14" t="s">
        <v>98</v>
      </c>
      <c r="MH2" s="15" t="s">
        <v>1318</v>
      </c>
      <c r="MI2" s="15" t="s">
        <v>131</v>
      </c>
      <c r="MJ2" s="15" t="s">
        <v>132</v>
      </c>
      <c r="MK2" s="14" t="s">
        <v>99</v>
      </c>
      <c r="ML2" s="15" t="s">
        <v>1319</v>
      </c>
      <c r="MM2" s="15" t="s">
        <v>131</v>
      </c>
      <c r="MN2" s="15" t="s">
        <v>132</v>
      </c>
      <c r="MO2" s="10" t="s">
        <v>100</v>
      </c>
      <c r="MP2" s="11" t="s">
        <v>131</v>
      </c>
      <c r="MQ2" s="11" t="s">
        <v>132</v>
      </c>
      <c r="MR2" s="10" t="s">
        <v>101</v>
      </c>
      <c r="MS2" s="11" t="s">
        <v>131</v>
      </c>
      <c r="MT2" s="11" t="s">
        <v>132</v>
      </c>
      <c r="MU2" s="10" t="s">
        <v>102</v>
      </c>
      <c r="MV2" s="11" t="s">
        <v>131</v>
      </c>
      <c r="MW2" s="11" t="s">
        <v>132</v>
      </c>
      <c r="MX2" s="10" t="s">
        <v>103</v>
      </c>
      <c r="MY2" s="11" t="s">
        <v>131</v>
      </c>
      <c r="MZ2" s="11" t="s">
        <v>132</v>
      </c>
      <c r="NA2" s="10" t="s">
        <v>104</v>
      </c>
      <c r="NB2" s="11" t="s">
        <v>131</v>
      </c>
      <c r="NC2" s="11" t="s">
        <v>132</v>
      </c>
      <c r="ND2" s="10" t="s">
        <v>105</v>
      </c>
      <c r="NE2" s="11" t="s">
        <v>131</v>
      </c>
      <c r="NF2" s="11" t="s">
        <v>132</v>
      </c>
      <c r="NG2" s="10" t="s">
        <v>106</v>
      </c>
      <c r="NH2" s="11" t="s">
        <v>131</v>
      </c>
      <c r="NI2" s="11" t="s">
        <v>132</v>
      </c>
      <c r="NJ2" s="10" t="s">
        <v>107</v>
      </c>
      <c r="NK2" s="11" t="s">
        <v>131</v>
      </c>
      <c r="NL2" s="11" t="s">
        <v>132</v>
      </c>
      <c r="NM2" s="10" t="s">
        <v>108</v>
      </c>
      <c r="NN2" s="11" t="s">
        <v>131</v>
      </c>
      <c r="NO2" s="11" t="s">
        <v>132</v>
      </c>
      <c r="NP2" s="10" t="s">
        <v>109</v>
      </c>
      <c r="NQ2" s="11" t="s">
        <v>131</v>
      </c>
      <c r="NR2" s="11" t="s">
        <v>132</v>
      </c>
      <c r="NS2" s="10" t="s">
        <v>110</v>
      </c>
      <c r="NT2" s="11" t="s">
        <v>131</v>
      </c>
      <c r="NU2" s="11" t="s">
        <v>132</v>
      </c>
      <c r="NV2" s="14" t="s">
        <v>111</v>
      </c>
      <c r="NW2" s="14" t="s">
        <v>112</v>
      </c>
      <c r="NX2" s="14" t="s">
        <v>113</v>
      </c>
      <c r="NY2" s="14" t="s">
        <v>114</v>
      </c>
      <c r="NZ2" s="10" t="s">
        <v>115</v>
      </c>
      <c r="OA2" s="11" t="s">
        <v>131</v>
      </c>
      <c r="OB2" s="11" t="s">
        <v>132</v>
      </c>
      <c r="OC2" s="10" t="s">
        <v>116</v>
      </c>
      <c r="OD2" s="11" t="s">
        <v>131</v>
      </c>
      <c r="OE2" s="11" t="s">
        <v>132</v>
      </c>
      <c r="OF2" s="14" t="s">
        <v>117</v>
      </c>
      <c r="OG2" s="10" t="s">
        <v>637</v>
      </c>
      <c r="OH2" s="11" t="s">
        <v>131</v>
      </c>
      <c r="OI2" s="11" t="s">
        <v>132</v>
      </c>
      <c r="OJ2" s="11" t="str">
        <f>Respostas_Formatadas!FF2</f>
        <v>IRA</v>
      </c>
      <c r="OK2" s="11" t="s">
        <v>131</v>
      </c>
      <c r="OL2" s="11" t="s">
        <v>132</v>
      </c>
    </row>
    <row r="3" spans="1:402" ht="15.75" customHeight="1" x14ac:dyDescent="0.2">
      <c r="BP3" s="3" t="str">
        <f>Respostas_Formatadas!C3</f>
        <v>Bacharelado em Sistemas de Informação</v>
      </c>
      <c r="BQ3" s="3" t="str">
        <f>Respostas_Formatadas!AD3</f>
        <v>Técnico de Tecnologia da Informação</v>
      </c>
      <c r="BR3" s="3" t="s">
        <v>289</v>
      </c>
      <c r="BS3" s="25">
        <f>COUNTIF($BR$3:$BR$273,BR3)</f>
        <v>2</v>
      </c>
      <c r="CY3" s="3" t="str">
        <f>BP3</f>
        <v>Bacharelado em Sistemas de Informação</v>
      </c>
      <c r="CZ3" s="3" t="str">
        <f>Respostas_Formatadas!AP3</f>
        <v>Técnico de Tecnologia da Informação</v>
      </c>
      <c r="DA3" s="3" t="s">
        <v>289</v>
      </c>
      <c r="DB3" s="25">
        <f>COUNTIF($DA$3:$DA$273,DA3)</f>
        <v>2</v>
      </c>
      <c r="EK3" s="3" t="s">
        <v>120</v>
      </c>
      <c r="EL3" s="3" t="str">
        <f>Respostas_Formatadas!BC3</f>
        <v>Aracaju</v>
      </c>
      <c r="EM3" s="3" t="s">
        <v>292</v>
      </c>
      <c r="EN3" s="25">
        <f>COUNTIF(Respostas_Formatadas!$BC:$BC,Tabulacao!EM3)</f>
        <v>76</v>
      </c>
      <c r="MC3" s="3" t="s">
        <v>291</v>
      </c>
      <c r="MD3" s="3" t="s">
        <v>292</v>
      </c>
      <c r="ME3" s="25">
        <v>106</v>
      </c>
      <c r="MF3" s="19">
        <f>ME3/271</f>
        <v>0.39114391143911437</v>
      </c>
      <c r="MG3" s="3" t="s">
        <v>291</v>
      </c>
      <c r="MH3" s="3" t="s">
        <v>292</v>
      </c>
      <c r="MI3" s="25">
        <v>151</v>
      </c>
      <c r="MJ3" s="19">
        <f>MI3/271</f>
        <v>0.55719557195571956</v>
      </c>
      <c r="MK3" s="3" t="s">
        <v>292</v>
      </c>
      <c r="ML3" s="3" t="s">
        <v>292</v>
      </c>
      <c r="MM3" s="25">
        <v>128</v>
      </c>
      <c r="MN3" s="19">
        <f>MM3/271</f>
        <v>0.47232472324723246</v>
      </c>
      <c r="OG3" s="25"/>
      <c r="OJ3" s="25"/>
    </row>
    <row r="4" spans="1:402" ht="15.75" customHeight="1" x14ac:dyDescent="0.2">
      <c r="A4" s="4" t="s">
        <v>118</v>
      </c>
      <c r="B4" s="6">
        <f>COUNTA(Respostas_Formatadas!$C:$C)-2</f>
        <v>271</v>
      </c>
      <c r="C4" s="5"/>
      <c r="D4" s="4" t="s">
        <v>119</v>
      </c>
      <c r="E4" s="6">
        <f>COUNTIF(Respostas_Formatadas!$C:$C,Tabulacao!$D4)</f>
        <v>48</v>
      </c>
      <c r="F4" s="19">
        <f>IFERROR(E4/SUM($E$4:$E$15),"%")</f>
        <v>0.17712177121771217</v>
      </c>
      <c r="G4" s="4" t="s">
        <v>133</v>
      </c>
      <c r="H4" s="6">
        <f>COUNTIF(Respostas_Formatadas!$D:$D,Tabulacao!$G4)</f>
        <v>103</v>
      </c>
      <c r="I4" s="19">
        <f>IFERROR(H4/SUM($H$4:$H$5),"%")</f>
        <v>0.38007380073800739</v>
      </c>
      <c r="J4" s="4" t="s">
        <v>135</v>
      </c>
      <c r="K4" s="6">
        <f>COUNTIF(Respostas_Formatadas!$E:$G,Tabulacao!$J4)</f>
        <v>53</v>
      </c>
      <c r="L4" s="19">
        <f>IFERROR(K4/$H$4,"%")</f>
        <v>0.5145631067961165</v>
      </c>
      <c r="M4" s="3" t="s">
        <v>141</v>
      </c>
      <c r="N4" s="6">
        <f>COUNTIF(Respostas_Formatadas!$H:$L,Tabulacao!$M4)</f>
        <v>20</v>
      </c>
      <c r="O4" s="19">
        <f>IFERROR(N4/$H$4,"%")</f>
        <v>0.1941747572815534</v>
      </c>
      <c r="P4" s="3" t="s">
        <v>146</v>
      </c>
      <c r="Q4" s="6">
        <f>COUNTIF(Respostas_Formatadas!$M:$M,Tabulacao!$P4)</f>
        <v>175</v>
      </c>
      <c r="R4" s="19">
        <f>IFERROR(Q4/SUM($Q$4:$Q$9),"%")</f>
        <v>0.64575645756457567</v>
      </c>
      <c r="S4" s="4" t="s">
        <v>133</v>
      </c>
      <c r="T4" s="6">
        <f>COUNTIF(Respostas_Formatadas!$N:$N,Tabulacao!$S4)</f>
        <v>62</v>
      </c>
      <c r="U4" s="19">
        <f>IFERROR(T4/SUM($T$4:$T$5),"%")</f>
        <v>0.22878228782287824</v>
      </c>
      <c r="V4" s="4" t="s">
        <v>133</v>
      </c>
      <c r="W4" s="6">
        <f>COUNTIF(Respostas_Formatadas!$O:$O,Tabulacao!$V4)</f>
        <v>183</v>
      </c>
      <c r="X4" s="19">
        <f>IFERROR(W4/SUM($W$4:$W$5),"%")</f>
        <v>0.67527675276752763</v>
      </c>
      <c r="Y4" s="4" t="s">
        <v>133</v>
      </c>
      <c r="Z4" s="6">
        <f>COUNTIF(Respostas_Formatadas!$P:$P,Tabulacao!$Y4)</f>
        <v>151</v>
      </c>
      <c r="AA4" s="19">
        <f>IFERROR(Z4/SUM(Z$4:Z$5),"%")</f>
        <v>0.55719557195571956</v>
      </c>
      <c r="AB4" s="4" t="s">
        <v>133</v>
      </c>
      <c r="AC4" s="6">
        <f>COUNTIF(Respostas_Formatadas!$Q:$Q,Tabulacao!$AB4)</f>
        <v>123</v>
      </c>
      <c r="AD4" s="19">
        <f>IFERROR(AC4/SUM(AC$4:AC$5),"%")</f>
        <v>0.45387453874538747</v>
      </c>
      <c r="AE4" s="3" t="s">
        <v>151</v>
      </c>
      <c r="AF4" s="6">
        <f>COUNTIF(Respostas_Formatadas!$R:$R,Tabulacao!$AE4)</f>
        <v>213</v>
      </c>
      <c r="AG4" s="19">
        <f>IFERROR(AF4/SUM(AF$4:AF$6),"%")</f>
        <v>0.7859778597785978</v>
      </c>
      <c r="AH4" s="3" t="s">
        <v>390</v>
      </c>
      <c r="AI4" s="6">
        <f>IFERROR(COUNTIF(Respostas_Formatadas!$S:$S,$AH4),"-")</f>
        <v>5</v>
      </c>
      <c r="AJ4" s="19">
        <f t="shared" ref="AJ4:AJ35" si="0">IFERROR(AI4/SUM(AI$4:AI$35),"%")</f>
        <v>8.771929824561403E-2</v>
      </c>
      <c r="AK4" s="3" t="s">
        <v>154</v>
      </c>
      <c r="AL4" s="6">
        <f>COUNTIF(Respostas_Formatadas!$T:$T,Tabulacao!$AK4)</f>
        <v>48</v>
      </c>
      <c r="AM4" s="19">
        <f>IFERROR(AL4/SUM(AL$4:AL$5),"%")</f>
        <v>0.82758620689655171</v>
      </c>
      <c r="AN4" s="3" t="s">
        <v>156</v>
      </c>
      <c r="AO4" s="6">
        <f>COUNTIF(Respostas_Formatadas!$U:$U,Tabulacao!$AN4)</f>
        <v>10</v>
      </c>
      <c r="AP4" s="19">
        <f>IFERROR(AO4/SUM(AO$4:AO$8),"%")</f>
        <v>0.17241379310344829</v>
      </c>
      <c r="AQ4" s="16">
        <v>1</v>
      </c>
      <c r="AR4" s="6">
        <f>COUNTIF(Respostas_Formatadas!$V:$V,Tabulacao!$AQ4)</f>
        <v>16</v>
      </c>
      <c r="AS4" s="19">
        <f>IFERROR(AR4/SUM(AR$4:AR$8),"%")</f>
        <v>0.27586206896551724</v>
      </c>
      <c r="AT4" s="16">
        <v>1</v>
      </c>
      <c r="AU4" s="6">
        <f>COUNTIF(Respostas_Formatadas!$W:$W,Tabulacao!$AT4)</f>
        <v>19</v>
      </c>
      <c r="AV4" s="19">
        <f>IFERROR(AU4/SUM(AU$4:AU$8),"%")</f>
        <v>0.32758620689655171</v>
      </c>
      <c r="AW4" s="16">
        <v>1</v>
      </c>
      <c r="AX4" s="6">
        <f>COUNTIF(Respostas_Formatadas!$X:$X,Tabulacao!$AW4)</f>
        <v>7</v>
      </c>
      <c r="AY4" s="19">
        <f>IFERROR(AX4/SUM(AX$4:AX$8),"%")</f>
        <v>0.1206896551724138</v>
      </c>
      <c r="AZ4" s="3" t="s">
        <v>134</v>
      </c>
      <c r="BA4" s="6">
        <f>COUNTIF(Respostas_Formatadas!$Y:$Y,Tabulacao!$AZ4)</f>
        <v>97</v>
      </c>
      <c r="BB4" s="19">
        <f>IFERROR(BA4/SUM(BA$4:BA$6),"%")</f>
        <v>0.35793357933579334</v>
      </c>
      <c r="BC4" s="3" t="s">
        <v>167</v>
      </c>
      <c r="BD4" s="6">
        <f>COUNTIF(Respostas_Formatadas!$Z:$Z,Tabulacao!$BC4)</f>
        <v>52</v>
      </c>
      <c r="BE4" s="19">
        <f>IFERROR(BD4/SUM(BD$4:BD$7),"%")</f>
        <v>0.52</v>
      </c>
      <c r="BF4" s="3" t="s">
        <v>171</v>
      </c>
      <c r="BG4" s="6">
        <f>COUNTIF(Respostas_Formatadas!$AA:$AA,Tabulacao!$BF4)</f>
        <v>24</v>
      </c>
      <c r="BH4" s="19">
        <f>IFERROR(BG4/SUM(BG$4:BG$7),"%")</f>
        <v>0.24</v>
      </c>
      <c r="BI4" s="3" t="s">
        <v>175</v>
      </c>
      <c r="BJ4" s="6">
        <f>COUNTIF(Respostas_Formatadas!$AB:$AB,Tabulacao!$BI4)</f>
        <v>2</v>
      </c>
      <c r="BK4" s="19">
        <f>IFERROR(BJ4/SUM(BJ$4:BJ$14),"%")</f>
        <v>0.02</v>
      </c>
      <c r="BL4" s="3" t="s">
        <v>175</v>
      </c>
      <c r="BM4" s="6">
        <f>COUNTIF(Respostas_Formatadas!$AC:$AC,Tabulacao!$BL4)</f>
        <v>2</v>
      </c>
      <c r="BN4" s="19">
        <f>IFERROR(BM4/SUM(BM$4:BM$13),"%")</f>
        <v>2.7027027027027029E-2</v>
      </c>
      <c r="BO4" s="19"/>
      <c r="BP4" s="3" t="str">
        <f>Respostas_Formatadas!C4</f>
        <v>Tecnologia em Agroecologia</v>
      </c>
      <c r="BQ4" s="3">
        <f>Respostas_Formatadas!AD4</f>
        <v>0</v>
      </c>
      <c r="BS4" s="25"/>
      <c r="BT4" s="7"/>
      <c r="BU4" s="16">
        <v>1</v>
      </c>
      <c r="BV4" s="6">
        <f>COUNTIF(Respostas_Formatadas!$AE:$AE,Tabulacao!$BU4)</f>
        <v>34</v>
      </c>
      <c r="BW4" s="19">
        <f>IFERROR(BV4/SUM(BV$4:BV$8),"%")</f>
        <v>0.19540229885057472</v>
      </c>
      <c r="BX4" s="3" t="s">
        <v>187</v>
      </c>
      <c r="BY4" s="6">
        <f>COUNTIF(Respostas_Formatadas!$AG:$AG,Tabulacao!$BX4)</f>
        <v>25</v>
      </c>
      <c r="BZ4" s="19">
        <f>IFERROR(BY4/SUM(BY$4:BY$8),"%")</f>
        <v>0.14367816091954022</v>
      </c>
      <c r="CA4" s="3" t="s">
        <v>134</v>
      </c>
      <c r="CB4" s="6">
        <f>COUNTIF(Respostas_Formatadas!$AH:$AH,Tabulacao!$CA4)</f>
        <v>142</v>
      </c>
      <c r="CC4" s="19">
        <f>IFERROR(CB4/SUM(CB$4:CB$5),"%")</f>
        <v>0.81609195402298851</v>
      </c>
      <c r="CD4" s="3" t="s">
        <v>160</v>
      </c>
      <c r="CE4" s="67">
        <f>IFERROR(AVERAGE(Respostas_Formatadas!$AI$3:$AI$470),"-")</f>
        <v>1982.6707317073171</v>
      </c>
      <c r="CF4" s="7"/>
      <c r="CG4" s="16">
        <v>1</v>
      </c>
      <c r="CH4" s="6">
        <f>COUNTIF(Respostas_Formatadas!$AJ:$AJ,Tabulacao!$CG4)</f>
        <v>17</v>
      </c>
      <c r="CI4" s="19">
        <f>IFERROR(CH4/SUM(CH$4:CH$8),"%")</f>
        <v>9.7701149425287362E-2</v>
      </c>
      <c r="CJ4" s="16">
        <v>1</v>
      </c>
      <c r="CK4" s="6">
        <f>COUNTIF(Respostas_Formatadas!$AK:$AK,Tabulacao!$CJ4)</f>
        <v>27</v>
      </c>
      <c r="CL4" s="19">
        <f>IFERROR(CK4/SUM(CK$4:CK$8),"%")</f>
        <v>0.15517241379310345</v>
      </c>
      <c r="CM4" s="3" t="s">
        <v>133</v>
      </c>
      <c r="CN4" s="6">
        <f>COUNTIF(Respostas_Formatadas!$AL:$AL,Tabulacao!$CM4)</f>
        <v>95</v>
      </c>
      <c r="CO4" s="19">
        <f>IFERROR(CN4/SUM(CN$4:CN$5),"%")</f>
        <v>0.54597701149425293</v>
      </c>
      <c r="CP4" s="3" t="s">
        <v>167</v>
      </c>
      <c r="CQ4" s="6">
        <f>COUNTIF(Respostas_Formatadas!$AM:$AM,Tabulacao!$CP4)</f>
        <v>14</v>
      </c>
      <c r="CR4" s="19">
        <f>IFERROR(CQ4/SUM(CQ$4:CQ$7),"%")</f>
        <v>0.17721518987341772</v>
      </c>
      <c r="CS4" s="3" t="s">
        <v>160</v>
      </c>
      <c r="CT4" s="6">
        <f>AVERAGE(Respostas_Formatadas!$AN$3:$AN$273)</f>
        <v>2.3194444444444446</v>
      </c>
      <c r="CU4" s="7"/>
      <c r="CV4" s="3" t="s">
        <v>133</v>
      </c>
      <c r="CW4" s="6">
        <f>COUNTIF(Respostas_Formatadas!$AO:$AO,Tabulacao!$CV4)</f>
        <v>55</v>
      </c>
      <c r="CX4" s="19">
        <f>IFERROR(CW4/SUM(CW$4:CW$6),"%")</f>
        <v>0.69620253164556967</v>
      </c>
      <c r="CY4" s="3" t="str">
        <f t="shared" ref="CY4:CY67" si="1">BP4</f>
        <v>Tecnologia em Agroecologia</v>
      </c>
      <c r="CZ4" s="3">
        <f>Respostas_Formatadas!AP4</f>
        <v>0</v>
      </c>
      <c r="DB4" s="6"/>
      <c r="DC4" s="7"/>
      <c r="DD4" s="3" t="s">
        <v>160</v>
      </c>
      <c r="DE4" s="67">
        <f>IFERROR(AVERAGE(Respostas_Formatadas!$AQ$3:$AQ$273),"-")</f>
        <v>2845.6081081081079</v>
      </c>
      <c r="DF4" s="7"/>
      <c r="DG4" s="16">
        <v>1</v>
      </c>
      <c r="DH4" s="6">
        <f>COUNTIF(Respostas_Formatadas!$AR:$AR,Tabulacao!$DG4)</f>
        <v>23</v>
      </c>
      <c r="DI4" s="19">
        <f>IFERROR(DH4/SUM(DH$4:DH$8),"%")</f>
        <v>0.1464968152866242</v>
      </c>
      <c r="DJ4" s="16">
        <v>1</v>
      </c>
      <c r="DK4" s="6">
        <f>COUNTIF(Respostas_Formatadas!$AS:$AS,Tabulacao!$DJ4)</f>
        <v>19</v>
      </c>
      <c r="DL4" s="19">
        <f>IFERROR(DK4/SUM(DK$4:DK$8),"%")</f>
        <v>0.12101910828025478</v>
      </c>
      <c r="DM4" s="16">
        <v>1</v>
      </c>
      <c r="DN4" s="6">
        <f>COUNTIF(Respostas_Formatadas!$AT:$AT,Tabulacao!$DM4)</f>
        <v>30</v>
      </c>
      <c r="DO4" s="19">
        <f>IFERROR(DN4/SUM(DN$4:DN$8),"%")</f>
        <v>0.19108280254777071</v>
      </c>
      <c r="DP4" s="16">
        <v>1</v>
      </c>
      <c r="DQ4" s="6">
        <f>COUNTIF(Respostas_Formatadas!$AU:$AU,Tabulacao!$DP4)</f>
        <v>11</v>
      </c>
      <c r="DR4" s="19">
        <f>IFERROR(DQ4/SUM(DQ$4:DQ$8),"%")</f>
        <v>7.0063694267515922E-2</v>
      </c>
      <c r="DS4" s="16">
        <v>1</v>
      </c>
      <c r="DT4" s="6">
        <f>COUNTIF(Respostas_Formatadas!$AV:$AV,Tabulacao!$DS4)</f>
        <v>17</v>
      </c>
      <c r="DU4" s="19">
        <f>IFERROR(DT4/SUM(DT$4:DT$8),"%")</f>
        <v>0.10828025477707007</v>
      </c>
      <c r="DV4" s="3" t="s">
        <v>192</v>
      </c>
      <c r="DW4" s="6">
        <f>COUNTIF(Respostas_Formatadas!$AW:$AW,Tabulacao!$DV4)</f>
        <v>77</v>
      </c>
      <c r="DX4" s="19">
        <f>IFERROR(DW4/SUM(DW$4:DW$14),"%")</f>
        <v>0.54225352112676062</v>
      </c>
      <c r="DY4" s="3" t="s">
        <v>203</v>
      </c>
      <c r="DZ4" s="6">
        <f>COUNTIF(Respostas_Formatadas!$AX:$AX,Tabulacao!$DY4)</f>
        <v>15</v>
      </c>
      <c r="EA4" s="19">
        <f>IFERROR(DZ4/SUM(DZ$4:DZ$8),"%")</f>
        <v>9.5541401273885357E-2</v>
      </c>
      <c r="EB4" s="3" t="s">
        <v>208</v>
      </c>
      <c r="EC4" s="6">
        <f>COUNTIF(Respostas_Formatadas!$AY:$AY,Tabulacao!$EB4)</f>
        <v>37</v>
      </c>
      <c r="ED4" s="19">
        <f>IFERROR(EC4/SUM(EC$4:EC$8),"%")</f>
        <v>0.25</v>
      </c>
      <c r="EE4" s="3" t="s">
        <v>134</v>
      </c>
      <c r="EF4" s="6">
        <f>COUNTIF(Respostas_Formatadas!$AZ:$AZ,Tabulacao!$EE4)</f>
        <v>50</v>
      </c>
      <c r="EG4" s="19">
        <f>IFERROR(EF4/SUM(EF$4:EF$5),"%")</f>
        <v>0.34722222222222221</v>
      </c>
      <c r="EH4" s="3" t="s">
        <v>167</v>
      </c>
      <c r="EI4" s="6">
        <f>COUNTIF(Respostas_Formatadas!$BA:$BA,Tabulacao!$EH4)</f>
        <v>19</v>
      </c>
      <c r="EJ4" s="19">
        <f>IFERROR(EI4/SUM(EI$4:EI$7),"%")</f>
        <v>0.13194444444444445</v>
      </c>
      <c r="EK4" s="3" t="s">
        <v>130</v>
      </c>
      <c r="EM4" s="3" t="s">
        <v>328</v>
      </c>
      <c r="EN4" s="25">
        <f>COUNTIF(Respostas_Formatadas!$BC:$BC,Tabulacao!EM4)</f>
        <v>10</v>
      </c>
      <c r="EO4" s="7"/>
      <c r="EP4" s="3" t="s">
        <v>187</v>
      </c>
      <c r="EQ4" s="6">
        <f>COUNTIF(Respostas_Formatadas!$BD:$BD,Tabulacao!$EP4)</f>
        <v>19</v>
      </c>
      <c r="ER4" s="19">
        <f>IFERROR(EQ4/SUM(EQ$4:EQ$7),"%")</f>
        <v>0.13194444444444445</v>
      </c>
      <c r="ES4" s="3" t="s">
        <v>214</v>
      </c>
      <c r="ET4" s="6">
        <f>COUNTIF(Respostas_Formatadas!$BE:$BE,Tabulacao!$ES4)</f>
        <v>2</v>
      </c>
      <c r="EU4" s="19">
        <f>IFERROR(ET4/SUM(ET$4:ET$7),"%")</f>
        <v>0.10526315789473684</v>
      </c>
      <c r="EV4" s="3" t="s">
        <v>218</v>
      </c>
      <c r="EW4" s="6">
        <f>IFERROR(COUNTIF(Respostas_Formatadas!$BF:$BF,Tabulacao!$EV4),"-")</f>
        <v>13</v>
      </c>
      <c r="EX4" s="19">
        <f>IFERROR(EW4/SUM(EW$4:EW$7),"%")</f>
        <v>0.21311475409836064</v>
      </c>
      <c r="EY4" s="16">
        <v>1</v>
      </c>
      <c r="EZ4" s="6">
        <f>IFERROR(COUNTIF(Respostas_Formatadas!$BG:$BG,Tabulacao!EY4),"-")</f>
        <v>19</v>
      </c>
      <c r="FA4" s="19">
        <f>IFERROR(EZ4/SUM(EZ$4:EZ$8),"%")</f>
        <v>0.12101910828025478</v>
      </c>
      <c r="FB4" s="16">
        <v>1</v>
      </c>
      <c r="FC4" s="6">
        <f>IFERROR(COUNTIF(Respostas_Formatadas!$BH:$BH,Tabulacao!FB4),"-")</f>
        <v>13</v>
      </c>
      <c r="FD4" s="19">
        <f>IFERROR(FC4/SUM(FC$4:FC$8),"%")</f>
        <v>8.2802547770700632E-2</v>
      </c>
      <c r="FE4" s="16">
        <v>1</v>
      </c>
      <c r="FF4" s="6">
        <f>IFERROR(COUNTIF(Respostas_Formatadas!$BI:$BI,Tabulacao!FE4),"-")</f>
        <v>2</v>
      </c>
      <c r="FG4" s="19">
        <f>IFERROR(FF4/SUM(FF$4:FF$8),"%")</f>
        <v>1.2738853503184714E-2</v>
      </c>
      <c r="FH4" s="16">
        <v>1</v>
      </c>
      <c r="FI4" s="6">
        <f>IFERROR(COUNTIF(Respostas_Formatadas!$BJ:$BJ,Tabulacao!FH4),"-")</f>
        <v>16</v>
      </c>
      <c r="FJ4" s="19">
        <f>IFERROR(FI4/SUM(FI$4:FI$8),"%")</f>
        <v>0.10191082802547771</v>
      </c>
      <c r="FK4" s="16">
        <v>1</v>
      </c>
      <c r="FL4" s="6">
        <f>IFERROR(COUNTIF(Respostas_Formatadas!$BK:$BK,Tabulacao!FK4),"-")</f>
        <v>3</v>
      </c>
      <c r="FM4" s="19">
        <f>IFERROR(FL4/SUM(FL$4:FL$8),"%")</f>
        <v>1.9108280254777069E-2</v>
      </c>
      <c r="FN4" s="16">
        <v>1</v>
      </c>
      <c r="FO4" s="6">
        <f>IFERROR(COUNTIF(Respostas_Formatadas!$BL:$BL,Tabulacao!FN4),"-")</f>
        <v>3</v>
      </c>
      <c r="FP4" s="19">
        <f>IFERROR(FO4/SUM(FO$4:FO$8),"%")</f>
        <v>1.9108280254777069E-2</v>
      </c>
      <c r="FQ4" s="16">
        <v>1</v>
      </c>
      <c r="FR4" s="6">
        <f>IFERROR(COUNTIF(Respostas_Formatadas!$BM:$BM,Tabulacao!FQ4),"-")</f>
        <v>4</v>
      </c>
      <c r="FS4" s="19">
        <f>IFERROR(FR4/SUM(FR$4:FR$8),"%")</f>
        <v>2.5477707006369428E-2</v>
      </c>
      <c r="FT4" s="16">
        <v>1</v>
      </c>
      <c r="FU4" s="6">
        <f>IFERROR(COUNTIF(Respostas_Formatadas!$BN:$BN,Tabulacao!FT4),"-")</f>
        <v>4</v>
      </c>
      <c r="FV4" s="19">
        <f>IFERROR(FU4/SUM(FU$4:FU$8),"%")</f>
        <v>2.5477707006369428E-2</v>
      </c>
      <c r="FW4" s="16">
        <v>1</v>
      </c>
      <c r="FX4" s="6">
        <f>IFERROR(COUNTIF(Respostas_Formatadas!$BO:$BO,Tabulacao!FW4),"-")</f>
        <v>5</v>
      </c>
      <c r="FY4" s="19">
        <f>IFERROR(FX4/SUM(FX$4:FX$8),"%")</f>
        <v>3.1847133757961783E-2</v>
      </c>
      <c r="FZ4" s="16">
        <v>1</v>
      </c>
      <c r="GA4" s="6">
        <f>IFERROR(COUNTIF(Respostas_Formatadas!$BP:$BP,Tabulacao!FZ4),"-")</f>
        <v>5</v>
      </c>
      <c r="GB4" s="19">
        <f>IFERROR(GA4/SUM(GA$4:GA$8),"%")</f>
        <v>3.1847133757961783E-2</v>
      </c>
      <c r="GC4" s="16">
        <v>1</v>
      </c>
      <c r="GD4" s="6">
        <f>IFERROR(COUNTIF(Respostas_Formatadas!$BQ:$BQ,Tabulacao!GC4),"-")</f>
        <v>20</v>
      </c>
      <c r="GE4" s="19">
        <f>IFERROR(GD4/SUM(GD$4:GD$8),"%")</f>
        <v>0.12738853503184713</v>
      </c>
      <c r="GF4" s="16">
        <v>1</v>
      </c>
      <c r="GG4" s="6">
        <f>IFERROR(COUNTIF(Respostas_Formatadas!$BR:$BR,Tabulacao!GF4),"-")</f>
        <v>19</v>
      </c>
      <c r="GH4" s="19">
        <f>IFERROR(GG4/SUM(GG$4:GG$8),"%")</f>
        <v>0.12101910828025478</v>
      </c>
      <c r="GI4" s="16">
        <v>1</v>
      </c>
      <c r="GJ4" s="6">
        <f>IFERROR(COUNTIF(Respostas_Formatadas!$BS:$BS,Tabulacao!GI4),"-")</f>
        <v>77</v>
      </c>
      <c r="GK4" s="19">
        <f>IFERROR(GJ4/SUM(GJ$4:GJ$8),"%")</f>
        <v>0.49044585987261147</v>
      </c>
      <c r="GL4" s="16">
        <v>1</v>
      </c>
      <c r="GM4" s="6">
        <f>IFERROR(COUNTIF(Respostas_Formatadas!$BT:$BT,Tabulacao!GL4),"-")</f>
        <v>6</v>
      </c>
      <c r="GN4" s="19">
        <f>IFERROR(GM4/SUM(GM$4:GM$8),"%")</f>
        <v>2.2140221402214021E-2</v>
      </c>
      <c r="GO4" s="16">
        <v>1</v>
      </c>
      <c r="GP4" s="6">
        <f>IFERROR(COUNTIF(Respostas_Formatadas!$BU:$BU,Tabulacao!GO4),"-")</f>
        <v>6</v>
      </c>
      <c r="GQ4" s="19">
        <f>IFERROR(GP4/SUM(GP$4:GP$8),"%")</f>
        <v>2.2140221402214021E-2</v>
      </c>
      <c r="GR4" s="16">
        <v>1</v>
      </c>
      <c r="GS4" s="6">
        <f>IFERROR(COUNTIF(Respostas_Formatadas!$BV:$BV,Tabulacao!GR4),"-")</f>
        <v>3</v>
      </c>
      <c r="GT4" s="19">
        <f>IFERROR(GS4/SUM(GS$4:GS$8),"%")</f>
        <v>1.107011070110701E-2</v>
      </c>
      <c r="GU4" s="16">
        <v>1</v>
      </c>
      <c r="GV4" s="6">
        <f>IFERROR(COUNTIF(Respostas_Formatadas!$BW:$BW,Tabulacao!GU4),"-")</f>
        <v>10</v>
      </c>
      <c r="GW4" s="19">
        <f>IFERROR(GV4/SUM(GV$4:GV$8),"%")</f>
        <v>3.6900369003690037E-2</v>
      </c>
      <c r="GX4" s="16">
        <v>1</v>
      </c>
      <c r="GY4" s="6">
        <f>IFERROR(COUNTIF(Respostas_Formatadas!$BX:$BX,Tabulacao!GX4),"-")</f>
        <v>3</v>
      </c>
      <c r="GZ4" s="19">
        <f>IFERROR(GY4/SUM(GY$4:GY$8),"%")</f>
        <v>1.107011070110701E-2</v>
      </c>
      <c r="HA4" s="16">
        <v>1</v>
      </c>
      <c r="HB4" s="6">
        <f>COUNTIF(Respostas_Formatadas!$BY:$BY,Tabulacao!$HA4)</f>
        <v>2</v>
      </c>
      <c r="HC4" s="19">
        <f>IFERROR(HB4/SUM(HB$4:HB$8),"%")</f>
        <v>7.3800738007380072E-3</v>
      </c>
      <c r="HD4" s="16">
        <v>1</v>
      </c>
      <c r="HE4" s="6">
        <f>COUNTIF(Respostas_Formatadas!$BZ:$BZ,Tabulacao!$HD4)</f>
        <v>1</v>
      </c>
      <c r="HF4" s="19">
        <f>IFERROR(HE4/SUM(HE$4:HE$8),"%")</f>
        <v>3.6900369003690036E-3</v>
      </c>
      <c r="HG4" s="16">
        <v>1</v>
      </c>
      <c r="HH4" s="6">
        <f>COUNTIF(Respostas_Formatadas!$CA:$CA,Tabulacao!$HG4)</f>
        <v>3</v>
      </c>
      <c r="HI4" s="19">
        <f>IFERROR(HH4/SUM(HH$4:HH$8),"%")</f>
        <v>1.107011070110701E-2</v>
      </c>
      <c r="HJ4" s="16">
        <v>1</v>
      </c>
      <c r="HK4" s="6">
        <f>COUNTIF(Respostas_Formatadas!$CB:$CB,Tabulacao!$HJ4)</f>
        <v>1</v>
      </c>
      <c r="HL4" s="19">
        <f>IFERROR(HK4/SUM(HK$4:HK$8),"%")</f>
        <v>3.6900369003690036E-3</v>
      </c>
      <c r="HM4" s="16">
        <v>1</v>
      </c>
      <c r="HN4" s="6">
        <f>COUNTIF(Respostas_Formatadas!$CC:$CC,Tabulacao!$HM4)</f>
        <v>3</v>
      </c>
      <c r="HO4" s="19">
        <f>IFERROR(HN4/SUM(HN$4:HN$8),"%")</f>
        <v>1.107011070110701E-2</v>
      </c>
      <c r="HP4" s="16">
        <v>1</v>
      </c>
      <c r="HQ4" s="6">
        <f>COUNTIF(Respostas_Formatadas!$CD:$CD,Tabulacao!$HP4)</f>
        <v>10</v>
      </c>
      <c r="HR4" s="19">
        <f>IFERROR(HQ4/SUM(HQ$4:HQ$8),"%")</f>
        <v>3.6900369003690037E-2</v>
      </c>
      <c r="HS4" s="16">
        <v>1</v>
      </c>
      <c r="HT4" s="6">
        <f>COUNTIF(Respostas_Formatadas!$CE:$CE,Tabulacao!$HS4)</f>
        <v>7</v>
      </c>
      <c r="HU4" s="19">
        <f>IFERROR(HT4/SUM(HT$4:HT$8),"%")</f>
        <v>2.5830258302583026E-2</v>
      </c>
      <c r="HV4" s="16">
        <v>1</v>
      </c>
      <c r="HW4" s="6">
        <f>COUNTIF(Respostas_Formatadas!$CF:$CF,Tabulacao!$HV4)</f>
        <v>82</v>
      </c>
      <c r="HX4" s="19">
        <f>IFERROR(HW4/SUM(HW$4:HW$8),"%")</f>
        <v>0.30258302583025831</v>
      </c>
      <c r="HY4" s="16">
        <v>1</v>
      </c>
      <c r="HZ4" s="6">
        <f>COUNTIF(Respostas_Formatadas!$CG:$CG,Tabulacao!$HY4)</f>
        <v>32</v>
      </c>
      <c r="IA4" s="19">
        <f>IFERROR(HZ4/SUM(HZ$4:HZ$8),"%")</f>
        <v>0.11808118081180811</v>
      </c>
      <c r="IB4" s="3" t="s">
        <v>222</v>
      </c>
      <c r="IC4" s="6">
        <f>COUNTIF(Respostas_Formatadas!$CH:$CJ,Tabulacao!$IB4)</f>
        <v>152</v>
      </c>
      <c r="ID4" s="19">
        <f>IFERROR(IC4/271,"%")</f>
        <v>0.56088560885608851</v>
      </c>
      <c r="IE4" s="3" t="s">
        <v>232</v>
      </c>
      <c r="IF4" s="6">
        <f>COUNTIF(Respostas_Formatadas!$CK:$CM,Tabulacao!$IE4)</f>
        <v>26</v>
      </c>
      <c r="IG4" s="19">
        <f>IFERROR(IF4/271,"%")</f>
        <v>9.5940959409594101E-2</v>
      </c>
      <c r="IH4" s="3" t="s">
        <v>241</v>
      </c>
      <c r="II4" s="6">
        <f>COUNTIF(Respostas_Formatadas!$CN:$CN,Tabulacao!$IH4)</f>
        <v>76</v>
      </c>
      <c r="IJ4" s="19">
        <f>IFERROR(II4/SUM(II$4:II$10),"%")</f>
        <v>0.28044280442804426</v>
      </c>
      <c r="IK4" s="3" t="s">
        <v>134</v>
      </c>
      <c r="IL4" s="6">
        <f>COUNTIF(Respostas_Formatadas!$CO:$CO,Tabulacao!$IK4)</f>
        <v>217</v>
      </c>
      <c r="IM4" s="19">
        <f>IFERROR(IL4/SUM(IL$4:IL$5),"%")</f>
        <v>0.80669144981412644</v>
      </c>
      <c r="IN4" s="16">
        <v>1</v>
      </c>
      <c r="IO4" s="6">
        <f>COUNTIF(Respostas_Formatadas!$CP:$CP,Tabulacao!$IN4)</f>
        <v>54</v>
      </c>
      <c r="IP4" s="19">
        <f>IFERROR(IO4/SUM(IO$4:IO$8),"%")</f>
        <v>0.19926199261992619</v>
      </c>
      <c r="IQ4" s="16">
        <v>1</v>
      </c>
      <c r="IR4" s="6">
        <f>COUNTIF(Respostas_Formatadas!$CQ:$CQ,Tabulacao!$IQ4)</f>
        <v>4</v>
      </c>
      <c r="IS4" s="19">
        <f>IFERROR(IR4/SUM(IR$4:IR$8),"%")</f>
        <v>1.4760147601476014E-2</v>
      </c>
      <c r="IT4" s="3" t="s">
        <v>248</v>
      </c>
      <c r="IU4" s="6">
        <f>COUNTIF(Respostas_Formatadas!$CR:$CR,Tabulacao!$IT4)</f>
        <v>174</v>
      </c>
      <c r="IV4" s="19">
        <f>IFERROR(IU4/SUM(IU$4:IU$5),"%")</f>
        <v>0.64206642066420661</v>
      </c>
      <c r="IW4" s="16">
        <v>1</v>
      </c>
      <c r="IX4" s="6">
        <f>COUNTIF(Respostas_Formatadas!$CS:$CS,Tabulacao!$IW4)</f>
        <v>15</v>
      </c>
      <c r="IY4" s="19">
        <f>IFERROR(IX4/SUM(IX$4:IX$8),"%")</f>
        <v>5.5350553505535055E-2</v>
      </c>
      <c r="IZ4" s="16">
        <v>1</v>
      </c>
      <c r="JA4" s="6">
        <f>COUNTIF(Respostas_Formatadas!$CT:$CT,Tabulacao!$IZ4)</f>
        <v>37</v>
      </c>
      <c r="JB4" s="19">
        <f>IFERROR(JA4/SUM(JA$4:JA$8),"%")</f>
        <v>0.13653136531365315</v>
      </c>
      <c r="JC4" s="16">
        <v>1</v>
      </c>
      <c r="JD4" s="6">
        <f>COUNTIF(Respostas_Formatadas!$CU:$CU,Tabulacao!$JC4)</f>
        <v>37</v>
      </c>
      <c r="JE4" s="19">
        <f>IFERROR(JD4/SUM(JD$4:JD$8),"%")</f>
        <v>0.13653136531365315</v>
      </c>
      <c r="JF4" s="16">
        <v>1</v>
      </c>
      <c r="JG4" s="6">
        <f>COUNTIF(Respostas_Formatadas!$CV:$CV,Tabulacao!$JF4)</f>
        <v>83</v>
      </c>
      <c r="JH4" s="19">
        <f>IFERROR(JG4/SUM(JG$4:JG$8),"%")</f>
        <v>0.30627306273062732</v>
      </c>
      <c r="JI4" s="16">
        <v>1</v>
      </c>
      <c r="JJ4" s="6">
        <f>COUNTIF(Respostas_Formatadas!$CW:$CW,Tabulacao!$JI4)</f>
        <v>17</v>
      </c>
      <c r="JK4" s="19">
        <f>IFERROR(JJ4/SUM(JJ$4:JJ$8),"%")</f>
        <v>6.273062730627306E-2</v>
      </c>
      <c r="JL4" s="16">
        <v>1</v>
      </c>
      <c r="JM4" s="6">
        <f>COUNTIF(Respostas_Formatadas!$CX:$CX,Tabulacao!$JL4)</f>
        <v>0</v>
      </c>
      <c r="JN4" s="19">
        <f>IFERROR(JM4/SUM(JM$4:JM$8),"%")</f>
        <v>0</v>
      </c>
      <c r="JO4" s="16">
        <v>1</v>
      </c>
      <c r="JP4" s="6">
        <f>COUNTIF(Respostas_Formatadas!$CY:$CY,Tabulacao!$JO4)</f>
        <v>1</v>
      </c>
      <c r="JQ4" s="19">
        <f>IFERROR(JP4/SUM(JP$4:JP$8),"%")</f>
        <v>3.6900369003690036E-3</v>
      </c>
      <c r="JR4" s="16">
        <v>1</v>
      </c>
      <c r="JS4" s="6">
        <f>COUNTIF(Respostas_Formatadas!$CZ:$CZ,Tabulacao!$JR4)</f>
        <v>2</v>
      </c>
      <c r="JT4" s="19">
        <f>IFERROR(JS4/SUM(JS$4:JS$8),"%")</f>
        <v>7.3800738007380072E-3</v>
      </c>
      <c r="JU4" s="16">
        <v>1</v>
      </c>
      <c r="JV4" s="6">
        <f>COUNTIF(Respostas_Formatadas!$DA:$DA,Tabulacao!$JU4)</f>
        <v>35</v>
      </c>
      <c r="JW4" s="19">
        <f>IFERROR(JV4/SUM(JV$4:JV$8),"%")</f>
        <v>0.12915129151291513</v>
      </c>
      <c r="JX4" s="16">
        <v>1</v>
      </c>
      <c r="JY4" s="6">
        <f>COUNTIF(Respostas_Formatadas!$DB:$DB,Tabulacao!$JX4)</f>
        <v>20</v>
      </c>
      <c r="JZ4" s="19">
        <f>IFERROR(JY4/SUM(JY$4:JY$8),"%")</f>
        <v>7.3800738007380073E-2</v>
      </c>
      <c r="KA4" s="16">
        <v>1</v>
      </c>
      <c r="KB4" s="6">
        <f>COUNTIF(Respostas_Formatadas!$DC:$DC,Tabulacao!$KA4)</f>
        <v>24</v>
      </c>
      <c r="KC4" s="19">
        <f>IFERROR(KB4/SUM(KB$4:KB$8),"%")</f>
        <v>8.8560885608856083E-2</v>
      </c>
      <c r="KD4" s="16">
        <v>1</v>
      </c>
      <c r="KE4" s="6">
        <f>COUNTIF(Respostas_Formatadas!$DD:$DD,Tabulacao!$KD4)</f>
        <v>19</v>
      </c>
      <c r="KF4" s="19">
        <f>IFERROR(KE4/SUM(KE$4:KE$8),"%")</f>
        <v>7.0110701107011064E-2</v>
      </c>
      <c r="KG4" s="16">
        <v>1</v>
      </c>
      <c r="KH4" s="6">
        <f>COUNTIF(Respostas_Formatadas!$DE:$DE,Tabulacao!$KG4)</f>
        <v>26</v>
      </c>
      <c r="KI4" s="19">
        <f>IFERROR(KH4/SUM(KH$4:KH$8),"%")</f>
        <v>9.5940959409594101E-2</v>
      </c>
      <c r="KJ4" s="16">
        <v>1</v>
      </c>
      <c r="KK4" s="6">
        <f>COUNTIF(Respostas_Formatadas!$DF:$DF,Tabulacao!$KJ4)</f>
        <v>17</v>
      </c>
      <c r="KL4" s="19">
        <f>IFERROR(KK4/SUM(KK$4:KK$8),"%")</f>
        <v>6.273062730627306E-2</v>
      </c>
      <c r="KM4" s="16">
        <v>1</v>
      </c>
      <c r="KN4" s="6">
        <f>COUNTIF(Respostas_Formatadas!$DG:$DG,Tabulacao!$KM4)</f>
        <v>9</v>
      </c>
      <c r="KO4" s="19">
        <f>IFERROR(KN4/SUM(KN$4:KN$8),"%")</f>
        <v>3.3210332103321034E-2</v>
      </c>
      <c r="KP4" s="16">
        <v>1</v>
      </c>
      <c r="KQ4" s="6">
        <f>COUNTIF(Respostas_Formatadas!$DH:$DH,Tabulacao!$KP4)</f>
        <v>12</v>
      </c>
      <c r="KR4" s="19">
        <f>IFERROR(KQ4/SUM(KQ$4:KQ$8),"%")</f>
        <v>4.4280442804428041E-2</v>
      </c>
      <c r="KS4" s="3" t="s">
        <v>133</v>
      </c>
      <c r="KT4" s="6">
        <f>COUNTIF(Respostas_Formatadas!$DI:$DI,Tabulacao!$KS4)</f>
        <v>165</v>
      </c>
      <c r="KU4" s="19">
        <f>IFERROR(KT4/SUM(KT$4:KT$8),"%")</f>
        <v>0.60885608856088558</v>
      </c>
      <c r="KV4" s="3" t="s">
        <v>133</v>
      </c>
      <c r="KW4" s="6">
        <f>COUNTIF(Respostas_Formatadas!$DJ:$DJ,Tabulacao!$KV4)</f>
        <v>186</v>
      </c>
      <c r="KX4" s="19">
        <f>IFERROR(KW4/SUM(KW$4:KW$5),"%")</f>
        <v>0.68634686346863472</v>
      </c>
      <c r="KY4" s="3" t="s">
        <v>254</v>
      </c>
      <c r="KZ4" s="6">
        <f>COUNTIF(Respostas_Formatadas!$DK:$DP,Tabulacao!$KY4)</f>
        <v>79</v>
      </c>
      <c r="LA4" s="19">
        <f>IFERROR(KZ4/$KW$4,"%")</f>
        <v>0.42473118279569894</v>
      </c>
      <c r="LB4" s="16">
        <v>1</v>
      </c>
      <c r="LC4" s="6">
        <f>COUNTIF(Respostas_Formatadas!$DQ:$DQ,Tabulacao!$LB4)</f>
        <v>20</v>
      </c>
      <c r="LD4" s="19">
        <f>IFERROR(LC4/SUM(LC$4:LC$8),"%")</f>
        <v>0.10752688172043011</v>
      </c>
      <c r="LE4" s="3" t="s">
        <v>133</v>
      </c>
      <c r="LF4" s="6">
        <f>COUNTIF(Respostas_Formatadas!$DR:$DR,Tabulacao!$LE4)</f>
        <v>141</v>
      </c>
      <c r="LG4" s="19">
        <f>IFERROR(LF4/SUM(LF$4:LF$5),"%")</f>
        <v>0.52029520295202947</v>
      </c>
      <c r="LH4" s="3" t="s">
        <v>258</v>
      </c>
      <c r="LI4" s="6">
        <f>COUNTIF(Respostas_Formatadas!$DS:$DX,Tabulacao!$LH4)</f>
        <v>47</v>
      </c>
      <c r="LJ4" s="19">
        <f>IFERROR(LI4/$LF$4,"%")</f>
        <v>0.33333333333333331</v>
      </c>
      <c r="LK4" s="16">
        <v>1</v>
      </c>
      <c r="LL4" s="6">
        <f>COUNTIF(Respostas_Formatadas!$DY:$DY,Tabulacao!$LK4)</f>
        <v>7</v>
      </c>
      <c r="LM4" s="19">
        <f>IFERROR(LL4/SUM(LL$4:LL$8),"%")</f>
        <v>4.9645390070921988E-2</v>
      </c>
      <c r="LN4" s="3" t="s">
        <v>133</v>
      </c>
      <c r="LO4" s="6">
        <f>COUNTIF(Respostas_Formatadas!$DZ:$DZ,Tabulacao!$LN4)</f>
        <v>156</v>
      </c>
      <c r="LP4" s="19">
        <f>IFERROR(LO4/SUM(LO$4:LO$5),"%")</f>
        <v>0.57564575645756455</v>
      </c>
      <c r="LQ4" s="16">
        <v>1</v>
      </c>
      <c r="LR4" s="6">
        <f>COUNTIF(Respostas_Formatadas!$EA:$EA,Tabulacao!$LQ4)</f>
        <v>1</v>
      </c>
      <c r="LS4" s="19">
        <f>IFERROR(LR4/SUM(LR$4:LR$8),"%")</f>
        <v>6.41025641025641E-3</v>
      </c>
      <c r="LT4" s="3" t="s">
        <v>262</v>
      </c>
      <c r="LU4" s="6">
        <f>COUNTIF(Respostas_Formatadas!$EB:$EB,Tabulacao!$LT4)</f>
        <v>141</v>
      </c>
      <c r="LV4" s="19">
        <f>IFERROR(LU4/SUM(LU$4:LU$5),"%")</f>
        <v>0.52029520295202947</v>
      </c>
      <c r="LW4" s="3" t="s">
        <v>264</v>
      </c>
      <c r="LX4" s="6">
        <f>COUNTIF(Respostas_Formatadas!$EC:$EC,Tabulacao!$LW4)</f>
        <v>52</v>
      </c>
      <c r="LY4" s="19">
        <f>IFERROR(LX4/SUM(LX$4:LX$9),"%")</f>
        <v>0.1918819188191882</v>
      </c>
      <c r="LZ4" s="3" t="s">
        <v>160</v>
      </c>
      <c r="MA4" s="6">
        <f>IFERROR(AVERAGE(Respostas_Formatadas!$ED$3:$ED$470),"-")</f>
        <v>30.304832713754646</v>
      </c>
      <c r="MB4" s="7"/>
      <c r="MC4" s="3" t="s">
        <v>292</v>
      </c>
      <c r="MD4" s="3" t="s">
        <v>358</v>
      </c>
      <c r="ME4" s="25">
        <v>22</v>
      </c>
      <c r="MF4" s="19">
        <f t="shared" ref="MF4:MF66" si="2">ME4/271</f>
        <v>8.1180811808118078E-2</v>
      </c>
      <c r="MG4" s="3" t="s">
        <v>292</v>
      </c>
      <c r="MH4" s="3" t="s">
        <v>291</v>
      </c>
      <c r="MI4" s="25">
        <v>27</v>
      </c>
      <c r="MJ4" s="19">
        <f t="shared" ref="MJ4:MJ66" si="3">MI4/271</f>
        <v>9.9630996309963096E-2</v>
      </c>
      <c r="MK4" s="3" t="s">
        <v>292</v>
      </c>
      <c r="ML4" s="3" t="s">
        <v>358</v>
      </c>
      <c r="MM4" s="25">
        <v>21</v>
      </c>
      <c r="MN4" s="19">
        <f t="shared" ref="MN4:MN67" si="4">MM4/271</f>
        <v>7.7490774907749083E-2</v>
      </c>
      <c r="MO4" s="3" t="s">
        <v>270</v>
      </c>
      <c r="MP4" s="6">
        <f>COUNTIF(Respostas_Formatadas!$EK:$EK,Tabulacao!$MO4)</f>
        <v>1</v>
      </c>
      <c r="MQ4" s="19">
        <f>IFERROR(MP4/SUM(MP$4:MP$6),"%")</f>
        <v>3.6900369003690036E-3</v>
      </c>
      <c r="MR4" s="3" t="s">
        <v>270</v>
      </c>
      <c r="MS4" s="6">
        <f>COUNTIF(Respostas_Formatadas!$EL:$EL,Tabulacao!$MR4)</f>
        <v>3</v>
      </c>
      <c r="MT4" s="19">
        <f>IFERROR(MS4/SUM(MS$4:MS$6),"%")</f>
        <v>1.107011070110701E-2</v>
      </c>
      <c r="MU4" s="3" t="s">
        <v>270</v>
      </c>
      <c r="MV4" s="6">
        <f>COUNTIF(Respostas_Formatadas!$EM:$EM,Tabulacao!$MU4)</f>
        <v>1</v>
      </c>
      <c r="MW4" s="19">
        <f>IFERROR(MV4/SUM(MV$4:MV$6),"%")</f>
        <v>3.6900369003690036E-3</v>
      </c>
      <c r="MX4" s="3" t="s">
        <v>270</v>
      </c>
      <c r="MY4" s="6">
        <f>COUNTIF(Respostas_Formatadas!$EN:$EN,Tabulacao!$MX4)</f>
        <v>5</v>
      </c>
      <c r="MZ4" s="19">
        <f>IFERROR(MY4/SUM(MY$4:MY$6),"%")</f>
        <v>1.8450184501845018E-2</v>
      </c>
      <c r="NA4" s="3" t="s">
        <v>270</v>
      </c>
      <c r="NB4" s="6">
        <f>COUNTIF(Respostas_Formatadas!$EO:$EO,Tabulacao!$NA4)</f>
        <v>7</v>
      </c>
      <c r="NC4" s="19">
        <f>IFERROR(NB4/SUM(NB$4:NB$6),"%")</f>
        <v>2.5830258302583026E-2</v>
      </c>
      <c r="ND4" s="3" t="s">
        <v>270</v>
      </c>
      <c r="NE4" s="6">
        <f>COUNTIF(Respostas_Formatadas!$EP:$EP,Tabulacao!$ND4)</f>
        <v>3</v>
      </c>
      <c r="NF4" s="19">
        <f>IFERROR(NE4/SUM(NE$4:NE$6),"%")</f>
        <v>1.107011070110701E-2</v>
      </c>
      <c r="NG4" s="3" t="s">
        <v>272</v>
      </c>
      <c r="NH4" s="6">
        <f>COUNTIF(Respostas_Formatadas!$EQ:$EQ,Tabulacao!$NG4)</f>
        <v>27</v>
      </c>
      <c r="NI4" s="19">
        <f>IFERROR(NH4/SUM(NH$4:NH$9),"%")</f>
        <v>0.10931174089068826</v>
      </c>
      <c r="NJ4" s="3" t="s">
        <v>277</v>
      </c>
      <c r="NK4" s="6">
        <f>COUNTIF(Respostas_Formatadas!$ES:$ES,Tabulacao!$NJ4)</f>
        <v>31</v>
      </c>
      <c r="NL4" s="19">
        <f t="shared" ref="NL4:NL7" si="5">IFERROR(NK4/SUM(NK$4:NK$8),"%")</f>
        <v>0.1225296442687747</v>
      </c>
      <c r="NM4" s="3" t="s">
        <v>279</v>
      </c>
      <c r="NN4" s="6">
        <f>COUNTIF(Respostas_Formatadas!$EU:$EU,Tabulacao!$NM4)</f>
        <v>32</v>
      </c>
      <c r="NO4" s="19">
        <f>IFERROR(NN4/SUM(NN$4:NN$7),"%")</f>
        <v>0.11808118081180811</v>
      </c>
      <c r="NP4" s="3" t="s">
        <v>192</v>
      </c>
      <c r="NQ4" s="6">
        <f>COUNTIF(Respostas_Formatadas!$EV:$EV,Tabulacao!$NP4)</f>
        <v>34</v>
      </c>
      <c r="NR4" s="19">
        <f>IFERROR(NQ4/SUM(NQ$4:NQ$11),"%")</f>
        <v>0.12546125461254612</v>
      </c>
      <c r="NS4" s="3" t="s">
        <v>192</v>
      </c>
      <c r="NT4" s="6">
        <f>COUNTIF(Respostas_Formatadas!$EW:$EW,Tabulacao!$NS4)</f>
        <v>18</v>
      </c>
      <c r="NU4" s="19">
        <f>IFERROR(NT4/SUM(NT$4:NT$11),"%")</f>
        <v>6.6420664206642069E-2</v>
      </c>
      <c r="NZ4" s="3" t="s">
        <v>133</v>
      </c>
      <c r="OA4" s="6">
        <f>COUNTIF(Respostas_Formatadas!$FB:$FB,Tabulacao!$NZ4)</f>
        <v>0</v>
      </c>
      <c r="OB4" s="19" t="str">
        <f>IFERROR(OA4/SUM(OA$4:OA$5),"%")</f>
        <v>%</v>
      </c>
      <c r="OC4" s="3" t="s">
        <v>133</v>
      </c>
      <c r="OD4" s="6">
        <f>COUNTIF(Respostas_Formatadas!$FC:$FC,Tabulacao!$OC4)</f>
        <v>0</v>
      </c>
      <c r="OE4" s="19" t="str">
        <f>IFERROR(OD4/SUM(OD$4:OD$5),"%")</f>
        <v>%</v>
      </c>
      <c r="OG4" s="16">
        <v>2005</v>
      </c>
      <c r="OH4" s="25">
        <f>IFERROR(COUNTIF(Respostas_Formatadas!$FE:$FE,Tabulacao!$OG4),"-")</f>
        <v>2</v>
      </c>
      <c r="OI4" s="19">
        <f>OH4/SUM($OH$4:$OH$17)</f>
        <v>7.3800738007380072E-3</v>
      </c>
      <c r="OJ4" s="16" t="s">
        <v>160</v>
      </c>
      <c r="OK4" s="7">
        <f>IFERROR(AVERAGE(Respostas_Formatadas!$FF$3:$FF$273),"-")</f>
        <v>7.5154550387596908</v>
      </c>
      <c r="OL4" s="19"/>
    </row>
    <row r="5" spans="1:402" ht="15.75" customHeight="1" x14ac:dyDescent="0.2">
      <c r="A5" s="6"/>
      <c r="B5" s="6"/>
      <c r="C5" s="6"/>
      <c r="D5" s="4" t="s">
        <v>120</v>
      </c>
      <c r="E5" s="6">
        <f>COUNTIF(Respostas_Formatadas!$C:$C,Tabulacao!$D5)</f>
        <v>19</v>
      </c>
      <c r="F5" s="19">
        <f t="shared" ref="F5:F15" si="6">IFERROR(E5/SUM($E$4:$E$15),"%")</f>
        <v>7.0110701107011064E-2</v>
      </c>
      <c r="G5" s="4" t="s">
        <v>134</v>
      </c>
      <c r="H5" s="6">
        <f>COUNTIF(Respostas_Formatadas!$D:$D,Tabulacao!$G5)</f>
        <v>168</v>
      </c>
      <c r="I5" s="19">
        <f>IFERROR(H5/SUM($H$4:$H$5),"%")</f>
        <v>0.61992619926199266</v>
      </c>
      <c r="J5" s="3" t="s">
        <v>136</v>
      </c>
      <c r="K5" s="6">
        <f>COUNTIF(Respostas_Formatadas!$E:$G,Tabulacao!$J5)</f>
        <v>9</v>
      </c>
      <c r="L5" s="19">
        <f t="shared" ref="L5:L9" si="7">IFERROR(K5/$H$4,"%")</f>
        <v>8.7378640776699032E-2</v>
      </c>
      <c r="M5" s="3" t="s">
        <v>142</v>
      </c>
      <c r="N5" s="6">
        <f>COUNTIF(Respostas_Formatadas!$H:$L,Tabulacao!$M5)</f>
        <v>64</v>
      </c>
      <c r="O5" s="19">
        <f t="shared" ref="O5:O8" si="8">IFERROR(N5/$H$4,"%")</f>
        <v>0.62135922330097082</v>
      </c>
      <c r="P5" s="3" t="s">
        <v>147</v>
      </c>
      <c r="Q5" s="6">
        <f>COUNTIF(Respostas_Formatadas!$M:$M,Tabulacao!$P5)</f>
        <v>58</v>
      </c>
      <c r="R5" s="19">
        <f t="shared" ref="R5:R9" si="9">IFERROR(Q5/SUM($Q$4:$Q$9),"%")</f>
        <v>0.2140221402214022</v>
      </c>
      <c r="S5" s="4" t="s">
        <v>134</v>
      </c>
      <c r="T5" s="6">
        <f>COUNTIF(Respostas_Formatadas!$N:$N,Tabulacao!$S5)</f>
        <v>209</v>
      </c>
      <c r="U5" s="19">
        <f>IFERROR(T5/SUM($T$4:$T$5),"%")</f>
        <v>0.77121771217712176</v>
      </c>
      <c r="V5" s="4" t="s">
        <v>134</v>
      </c>
      <c r="W5" s="6">
        <f>COUNTIF(Respostas_Formatadas!$O:$O,Tabulacao!$V5)</f>
        <v>88</v>
      </c>
      <c r="X5" s="19">
        <f>IFERROR(W5/SUM($W$4:$W$5),"%")</f>
        <v>0.32472324723247231</v>
      </c>
      <c r="Y5" s="4" t="s">
        <v>134</v>
      </c>
      <c r="Z5" s="6">
        <f>COUNTIF(Respostas_Formatadas!$P:$P,Tabulacao!$Y5)</f>
        <v>120</v>
      </c>
      <c r="AA5" s="19">
        <f>IFERROR(Z5/SUM(Z$4:Z$5),"%")</f>
        <v>0.44280442804428044</v>
      </c>
      <c r="AB5" s="4" t="s">
        <v>134</v>
      </c>
      <c r="AC5" s="6">
        <f>COUNTIF(Respostas_Formatadas!$Q:$Q,Tabulacao!$AB5)</f>
        <v>148</v>
      </c>
      <c r="AD5" s="19">
        <f>IFERROR(AC5/SUM(AC$4:AC$5),"%")</f>
        <v>0.54612546125461259</v>
      </c>
      <c r="AE5" s="3" t="s">
        <v>152</v>
      </c>
      <c r="AF5" s="6">
        <f>COUNTIF(Respostas_Formatadas!$R:$R,Tabulacao!$AE5)</f>
        <v>19</v>
      </c>
      <c r="AG5" s="19">
        <f t="shared" ref="AG5:AG6" si="10">IFERROR(AF5/SUM(AF$4:AF$6),"%")</f>
        <v>7.0110701107011064E-2</v>
      </c>
      <c r="AH5" s="3" t="s">
        <v>641</v>
      </c>
      <c r="AI5" s="6">
        <f>IFERROR(COUNTIF(Respostas_Formatadas!$S:$S,$AH5),"-")</f>
        <v>1</v>
      </c>
      <c r="AJ5" s="19">
        <f t="shared" si="0"/>
        <v>1.7543859649122806E-2</v>
      </c>
      <c r="AK5" s="3" t="s">
        <v>155</v>
      </c>
      <c r="AL5" s="6">
        <f>COUNTIF(Respostas_Formatadas!$T:$T,Tabulacao!$AK5)</f>
        <v>10</v>
      </c>
      <c r="AM5" s="19">
        <f>IFERROR(AL5/SUM(AL$4:AL$5),"%")</f>
        <v>0.17241379310344829</v>
      </c>
      <c r="AN5" s="3" t="s">
        <v>157</v>
      </c>
      <c r="AO5" s="6">
        <f>COUNTIF(Respostas_Formatadas!$U:$U,Tabulacao!$AN5)</f>
        <v>25</v>
      </c>
      <c r="AP5" s="19">
        <f t="shared" ref="AP5:AP8" si="11">IFERROR(AO5/SUM(AO$4:AO$8),"%")</f>
        <v>0.43103448275862066</v>
      </c>
      <c r="AQ5" s="16">
        <v>2</v>
      </c>
      <c r="AR5" s="6">
        <f>COUNTIF(Respostas_Formatadas!$V:$V,Tabulacao!$AQ5)</f>
        <v>8</v>
      </c>
      <c r="AS5" s="19">
        <f t="shared" ref="AS5:AS8" si="12">IFERROR(AR5/SUM(AR$4:AR$8),"%")</f>
        <v>0.13793103448275862</v>
      </c>
      <c r="AT5" s="16">
        <v>2</v>
      </c>
      <c r="AU5" s="6">
        <f>COUNTIF(Respostas_Formatadas!$W:$W,Tabulacao!$AT5)</f>
        <v>9</v>
      </c>
      <c r="AV5" s="19">
        <f t="shared" ref="AV5:AV8" si="13">IFERROR(AU5/SUM(AU$4:AU$8),"%")</f>
        <v>0.15517241379310345</v>
      </c>
      <c r="AW5" s="16">
        <v>2</v>
      </c>
      <c r="AX5" s="6">
        <f>COUNTIF(Respostas_Formatadas!$X:$X,Tabulacao!$AW5)</f>
        <v>3</v>
      </c>
      <c r="AY5" s="19">
        <f t="shared" ref="AY5:AY8" si="14">IFERROR(AX5/SUM(AX$4:AX$8),"%")</f>
        <v>5.1724137931034482E-2</v>
      </c>
      <c r="AZ5" s="3" t="s">
        <v>165</v>
      </c>
      <c r="BA5" s="6">
        <f>COUNTIF(Respostas_Formatadas!$Y:$Y,Tabulacao!$AZ5)</f>
        <v>100</v>
      </c>
      <c r="BB5" s="19">
        <f t="shared" ref="BB5:BB6" si="15">IFERROR(BA5/SUM(BA$4:BA$6),"%")</f>
        <v>0.36900369003690037</v>
      </c>
      <c r="BC5" s="3" t="s">
        <v>168</v>
      </c>
      <c r="BD5" s="6">
        <f>COUNTIF(Respostas_Formatadas!$Z:$Z,Tabulacao!$BC5)</f>
        <v>28</v>
      </c>
      <c r="BE5" s="19">
        <f t="shared" ref="BE5:BE7" si="16">IFERROR(BD5/SUM(BD$4:BD$7),"%")</f>
        <v>0.28000000000000003</v>
      </c>
      <c r="BF5" s="3" t="s">
        <v>172</v>
      </c>
      <c r="BG5" s="6">
        <f>COUNTIF(Respostas_Formatadas!$AA:$AA,Tabulacao!$BF5)</f>
        <v>25</v>
      </c>
      <c r="BH5" s="19">
        <f t="shared" ref="BH5:BH7" si="17">IFERROR(BG5/SUM(BG$4:BG$7),"%")</f>
        <v>0.25</v>
      </c>
      <c r="BI5" s="3" t="s">
        <v>176</v>
      </c>
      <c r="BJ5" s="6">
        <f>COUNTIF(Respostas_Formatadas!$AB:$AB,Tabulacao!$BI5)</f>
        <v>2</v>
      </c>
      <c r="BK5" s="19">
        <f t="shared" ref="BK5:BK14" si="18">IFERROR(BJ5/SUM(BJ$4:BJ$14),"%")</f>
        <v>0.02</v>
      </c>
      <c r="BL5" s="3" t="s">
        <v>176</v>
      </c>
      <c r="BM5" s="6">
        <f>COUNTIF(Respostas_Formatadas!$AC:$AC,Tabulacao!$BL5)</f>
        <v>1</v>
      </c>
      <c r="BN5" s="19">
        <f t="shared" ref="BN5:BN13" si="19">IFERROR(BM5/SUM(BM$4:BM$13),"%")</f>
        <v>1.3513513513513514E-2</v>
      </c>
      <c r="BO5" s="19"/>
      <c r="BP5" s="3" t="str">
        <f>Respostas_Formatadas!C5</f>
        <v>Tecnologia em Gestão de Turismo</v>
      </c>
      <c r="BQ5" s="3">
        <f>Respostas_Formatadas!AD5</f>
        <v>0</v>
      </c>
      <c r="BS5" s="25"/>
      <c r="BT5" s="7"/>
      <c r="BU5" s="16">
        <v>2</v>
      </c>
      <c r="BV5" s="6">
        <f>COUNTIF(Respostas_Formatadas!$AE:$AE,Tabulacao!$BU5)</f>
        <v>11</v>
      </c>
      <c r="BW5" s="19">
        <f t="shared" ref="BW5:BW8" si="20">IFERROR(BV5/SUM(BV$4:BV$8),"%")</f>
        <v>6.3218390804597707E-2</v>
      </c>
      <c r="BX5" s="3" t="s">
        <v>188</v>
      </c>
      <c r="BY5" s="6">
        <f>COUNTIF(Respostas_Formatadas!$AG:$AG,Tabulacao!$BX5)</f>
        <v>18</v>
      </c>
      <c r="BZ5" s="19">
        <f t="shared" ref="BZ5:BZ8" si="21">IFERROR(BY5/SUM(BY$4:BY$8),"%")</f>
        <v>0.10344827586206896</v>
      </c>
      <c r="CA5" s="3" t="s">
        <v>133</v>
      </c>
      <c r="CB5" s="6">
        <f>COUNTIF(Respostas_Formatadas!$AH:$AH,Tabulacao!$CA5)</f>
        <v>32</v>
      </c>
      <c r="CC5" s="19">
        <f>IFERROR(CB5/SUM(CB$4:CB$5),"%")</f>
        <v>0.18390804597701149</v>
      </c>
      <c r="CD5" s="3" t="s">
        <v>161</v>
      </c>
      <c r="CE5" s="67">
        <f>IFERROR(_xlfn.MODE.SNGL(Respostas_Formatadas!$AI:$AI),"-")</f>
        <v>1500</v>
      </c>
      <c r="CF5" s="7"/>
      <c r="CG5" s="16">
        <v>2</v>
      </c>
      <c r="CH5" s="6">
        <f>COUNTIF(Respostas_Formatadas!$AJ:$AJ,Tabulacao!$CG5)</f>
        <v>17</v>
      </c>
      <c r="CI5" s="19">
        <f t="shared" ref="CI5:CI8" si="22">IFERROR(CH5/SUM(CH$4:CH$8),"%")</f>
        <v>9.7701149425287362E-2</v>
      </c>
      <c r="CJ5" s="16">
        <v>2</v>
      </c>
      <c r="CK5" s="6">
        <f>COUNTIF(Respostas_Formatadas!$AK:$AK,Tabulacao!$CJ5)</f>
        <v>27</v>
      </c>
      <c r="CL5" s="19">
        <f t="shared" ref="CL5:CL8" si="23">IFERROR(CK5/SUM(CK$4:CK$8),"%")</f>
        <v>0.15517241379310345</v>
      </c>
      <c r="CM5" s="3" t="s">
        <v>134</v>
      </c>
      <c r="CN5" s="6">
        <f>COUNTIF(Respostas_Formatadas!$AL:$AL,Tabulacao!$CM5)</f>
        <v>79</v>
      </c>
      <c r="CO5" s="19">
        <f>IFERROR(CN5/SUM(CN$4:CN$5),"%")</f>
        <v>0.45402298850574713</v>
      </c>
      <c r="CP5" s="3" t="s">
        <v>168</v>
      </c>
      <c r="CQ5" s="6">
        <f>COUNTIF(Respostas_Formatadas!$AM:$AM,Tabulacao!$CP5)</f>
        <v>19</v>
      </c>
      <c r="CR5" s="19">
        <f t="shared" ref="CR5:CR7" si="24">IFERROR(CQ5/SUM(CQ$4:CQ$7),"%")</f>
        <v>0.24050632911392406</v>
      </c>
      <c r="CS5" s="3" t="s">
        <v>161</v>
      </c>
      <c r="CT5" s="6">
        <f>_xlfn.MODE.SNGL(Respostas_Formatadas!$AN$3:$AN$273)</f>
        <v>2</v>
      </c>
      <c r="CU5" s="7"/>
      <c r="CV5" s="3" t="s">
        <v>191</v>
      </c>
      <c r="CW5" s="6">
        <f>COUNTIF(Respostas_Formatadas!$AO:$AO,Tabulacao!$CV5)</f>
        <v>7</v>
      </c>
      <c r="CX5" s="19">
        <f t="shared" ref="CX5:CX6" si="25">IFERROR(CW5/SUM(CW$4:CW$6),"%")</f>
        <v>8.8607594936708861E-2</v>
      </c>
      <c r="CY5" s="3" t="str">
        <f t="shared" si="1"/>
        <v>Tecnologia em Gestão de Turismo</v>
      </c>
      <c r="CZ5" s="3">
        <f>Respostas_Formatadas!AP5</f>
        <v>0</v>
      </c>
      <c r="DB5" s="6"/>
      <c r="DC5" s="7"/>
      <c r="DD5" s="3" t="s">
        <v>975</v>
      </c>
      <c r="DE5" s="67">
        <f>IFERROR(MAX(Respostas_Formatadas!$AQ$3:$AQ$273),"-")</f>
        <v>26100</v>
      </c>
      <c r="DF5" s="7"/>
      <c r="DG5" s="16">
        <v>2</v>
      </c>
      <c r="DH5" s="6">
        <f>COUNTIF(Respostas_Formatadas!$AR:$AR,Tabulacao!$DG5)</f>
        <v>27</v>
      </c>
      <c r="DI5" s="19">
        <f t="shared" ref="DI5:DI8" si="26">IFERROR(DH5/SUM(DH$4:DH$8),"%")</f>
        <v>0.17197452229299362</v>
      </c>
      <c r="DJ5" s="16">
        <v>2</v>
      </c>
      <c r="DK5" s="6">
        <f>COUNTIF(Respostas_Formatadas!$AS:$AS,Tabulacao!$DJ5)</f>
        <v>18</v>
      </c>
      <c r="DL5" s="19">
        <f t="shared" ref="DL5:DL8" si="27">IFERROR(DK5/SUM(DK$4:DK$8),"%")</f>
        <v>0.11464968152866242</v>
      </c>
      <c r="DM5" s="16">
        <v>2</v>
      </c>
      <c r="DN5" s="6">
        <f>COUNTIF(Respostas_Formatadas!$AT:$AT,Tabulacao!$DM5)</f>
        <v>24</v>
      </c>
      <c r="DO5" s="19">
        <f t="shared" ref="DO5:DO8" si="28">IFERROR(DN5/SUM(DN$4:DN$8),"%")</f>
        <v>0.15286624203821655</v>
      </c>
      <c r="DP5" s="16">
        <v>2</v>
      </c>
      <c r="DQ5" s="6">
        <f>COUNTIF(Respostas_Formatadas!$AU:$AU,Tabulacao!$DP5)</f>
        <v>11</v>
      </c>
      <c r="DR5" s="19">
        <f t="shared" ref="DR5:DR8" si="29">IFERROR(DQ5/SUM(DQ$4:DQ$8),"%")</f>
        <v>7.0063694267515922E-2</v>
      </c>
      <c r="DS5" s="16">
        <v>2</v>
      </c>
      <c r="DT5" s="6">
        <f>COUNTIF(Respostas_Formatadas!$AV:$AV,Tabulacao!$DS5)</f>
        <v>25</v>
      </c>
      <c r="DU5" s="19">
        <f>IFERROR(DT5/SUM(DT$4:DT$8),"%")</f>
        <v>0.15923566878980891</v>
      </c>
      <c r="DV5" s="3" t="s">
        <v>193</v>
      </c>
      <c r="DW5" s="6">
        <f>COUNTIF(Respostas_Formatadas!$AW:$AW,Tabulacao!$DV5)</f>
        <v>31</v>
      </c>
      <c r="DX5" s="19">
        <f t="shared" ref="DX5:DX14" si="30">IFERROR(DW5/SUM(DW$4:DW$14),"%")</f>
        <v>0.21830985915492956</v>
      </c>
      <c r="DY5" s="3" t="s">
        <v>204</v>
      </c>
      <c r="DZ5" s="6">
        <f>COUNTIF(Respostas_Formatadas!$AX:$AX,Tabulacao!$DY5)</f>
        <v>30</v>
      </c>
      <c r="EA5" s="19">
        <f t="shared" ref="EA5:EA8" si="31">IFERROR(DZ5/SUM(DZ$4:DZ$8),"%")</f>
        <v>0.19108280254777071</v>
      </c>
      <c r="EB5" s="3" t="s">
        <v>209</v>
      </c>
      <c r="EC5" s="6">
        <f>COUNTIF(Respostas_Formatadas!$AY:$AY,Tabulacao!$EB5)</f>
        <v>17</v>
      </c>
      <c r="ED5" s="19">
        <f t="shared" ref="ED5:ED8" si="32">IFERROR(EC5/SUM(EC$4:EC$8),"%")</f>
        <v>0.11486486486486487</v>
      </c>
      <c r="EE5" s="3" t="s">
        <v>133</v>
      </c>
      <c r="EF5" s="6">
        <f>COUNTIF(Respostas_Formatadas!$AZ:$AZ,Tabulacao!$EE5)</f>
        <v>94</v>
      </c>
      <c r="EG5" s="19">
        <f>IFERROR(EF5/SUM(EF$4:EF$5),"%")</f>
        <v>0.65277777777777779</v>
      </c>
      <c r="EH5" s="3" t="s">
        <v>212</v>
      </c>
      <c r="EI5" s="6">
        <f>COUNTIF(Respostas_Formatadas!$BA:$BA,Tabulacao!$EH5)</f>
        <v>20</v>
      </c>
      <c r="EJ5" s="19">
        <f t="shared" ref="EJ5:EJ7" si="33">IFERROR(EI5/SUM(EI$4:EI$7),"%")</f>
        <v>0.1388888888888889</v>
      </c>
      <c r="EK5" s="3" t="s">
        <v>125</v>
      </c>
      <c r="EM5" s="3" t="s">
        <v>291</v>
      </c>
      <c r="EN5" s="25">
        <f>COUNTIF(Respostas_Formatadas!$BC:$BC,Tabulacao!EM5)</f>
        <v>9</v>
      </c>
      <c r="EO5" s="7"/>
      <c r="EP5" s="3" t="s">
        <v>188</v>
      </c>
      <c r="EQ5" s="6">
        <f>COUNTIF(Respostas_Formatadas!$BD:$BD,Tabulacao!$EP5)</f>
        <v>14</v>
      </c>
      <c r="ER5" s="19">
        <f t="shared" ref="ER5:ER7" si="34">IFERROR(EQ5/SUM(EQ$4:EQ$7),"%")</f>
        <v>9.7222222222222224E-2</v>
      </c>
      <c r="ES5" s="3" t="s">
        <v>215</v>
      </c>
      <c r="ET5" s="6">
        <f>COUNTIF(Respostas_Formatadas!$BE:$BE,Tabulacao!$ES5)</f>
        <v>6</v>
      </c>
      <c r="EU5" s="19">
        <f t="shared" ref="EU5:EU7" si="35">IFERROR(ET5/SUM(ET$4:ET$7),"%")</f>
        <v>0.31578947368421051</v>
      </c>
      <c r="EV5" s="3" t="s">
        <v>219</v>
      </c>
      <c r="EW5" s="6">
        <f>IFERROR(COUNTIF(Respostas_Formatadas!$BF:$BF,Tabulacao!$EV5),"-")</f>
        <v>18</v>
      </c>
      <c r="EX5" s="19">
        <f t="shared" ref="EX5:EX7" si="36">IFERROR(EW5/SUM(EW$4:EW$7),"%")</f>
        <v>0.29508196721311475</v>
      </c>
      <c r="EY5" s="16">
        <v>2</v>
      </c>
      <c r="EZ5" s="6">
        <f>IFERROR(COUNTIF(Respostas_Formatadas!$BG:$BG,Tabulacao!EY5),"-")</f>
        <v>12</v>
      </c>
      <c r="FA5" s="19">
        <f t="shared" ref="FA5:FA8" si="37">IFERROR(EZ5/SUM(EZ$4:EZ$8),"%")</f>
        <v>7.6433121019108277E-2</v>
      </c>
      <c r="FB5" s="16">
        <v>2</v>
      </c>
      <c r="FC5" s="6">
        <f>IFERROR(COUNTIF(Respostas_Formatadas!$BH:$BH,Tabulacao!FB5),"-")</f>
        <v>10</v>
      </c>
      <c r="FD5" s="19">
        <f t="shared" ref="FD5:FD8" si="38">IFERROR(FC5/SUM(FC$4:FC$8),"%")</f>
        <v>6.3694267515923567E-2</v>
      </c>
      <c r="FE5" s="16">
        <v>2</v>
      </c>
      <c r="FF5" s="6">
        <f>IFERROR(COUNTIF(Respostas_Formatadas!$BI:$BI,Tabulacao!FE5),"-")</f>
        <v>10</v>
      </c>
      <c r="FG5" s="19">
        <f t="shared" ref="FG5:FG8" si="39">IFERROR(FF5/SUM(FF$4:FF$8),"%")</f>
        <v>6.3694267515923567E-2</v>
      </c>
      <c r="FH5" s="16">
        <v>2</v>
      </c>
      <c r="FI5" s="6">
        <f>IFERROR(COUNTIF(Respostas_Formatadas!$BJ:$BJ,Tabulacao!FH5),"-")</f>
        <v>19</v>
      </c>
      <c r="FJ5" s="19">
        <f t="shared" ref="FJ5:FJ8" si="40">IFERROR(FI5/SUM(FI$4:FI$8),"%")</f>
        <v>0.12101910828025478</v>
      </c>
      <c r="FK5" s="16">
        <v>2</v>
      </c>
      <c r="FL5" s="6">
        <f>IFERROR(COUNTIF(Respostas_Formatadas!$BK:$BK,Tabulacao!FK5),"-")</f>
        <v>7</v>
      </c>
      <c r="FM5" s="19">
        <f t="shared" ref="FM5:FM8" si="41">IFERROR(FL5/SUM(FL$4:FL$8),"%")</f>
        <v>4.4585987261146494E-2</v>
      </c>
      <c r="FN5" s="16">
        <v>2</v>
      </c>
      <c r="FO5" s="6">
        <f>IFERROR(COUNTIF(Respostas_Formatadas!$BL:$BL,Tabulacao!FN5),"-")</f>
        <v>4</v>
      </c>
      <c r="FP5" s="19">
        <f t="shared" ref="FP5:FP8" si="42">IFERROR(FO5/SUM(FO$4:FO$8),"%")</f>
        <v>2.5477707006369428E-2</v>
      </c>
      <c r="FQ5" s="16">
        <v>2</v>
      </c>
      <c r="FR5" s="6">
        <f>IFERROR(COUNTIF(Respostas_Formatadas!$BM:$BM,Tabulacao!FQ5),"-")</f>
        <v>3</v>
      </c>
      <c r="FS5" s="19">
        <f t="shared" ref="FS5:FS8" si="43">IFERROR(FR5/SUM(FR$4:FR$8),"%")</f>
        <v>1.9108280254777069E-2</v>
      </c>
      <c r="FT5" s="16">
        <v>2</v>
      </c>
      <c r="FU5" s="6">
        <f>IFERROR(COUNTIF(Respostas_Formatadas!$BN:$BN,Tabulacao!FT5),"-")</f>
        <v>2</v>
      </c>
      <c r="FV5" s="19">
        <f t="shared" ref="FV5:FV8" si="44">IFERROR(FU5/SUM(FU$4:FU$8),"%")</f>
        <v>1.2738853503184714E-2</v>
      </c>
      <c r="FW5" s="16">
        <v>2</v>
      </c>
      <c r="FX5" s="6">
        <f>IFERROR(COUNTIF(Respostas_Formatadas!$BO:$BO,Tabulacao!FW5),"-")</f>
        <v>8</v>
      </c>
      <c r="FY5" s="19">
        <f t="shared" ref="FY5:FY8" si="45">IFERROR(FX5/SUM(FX$4:FX$8),"%")</f>
        <v>5.0955414012738856E-2</v>
      </c>
      <c r="FZ5" s="16">
        <v>2</v>
      </c>
      <c r="GA5" s="6">
        <f>IFERROR(COUNTIF(Respostas_Formatadas!$BP:$BP,Tabulacao!FZ5),"-")</f>
        <v>12</v>
      </c>
      <c r="GB5" s="19">
        <f t="shared" ref="GB5:GB8" si="46">IFERROR(GA5/SUM(GA$4:GA$8),"%")</f>
        <v>7.6433121019108277E-2</v>
      </c>
      <c r="GC5" s="16">
        <v>2</v>
      </c>
      <c r="GD5" s="6">
        <f>IFERROR(COUNTIF(Respostas_Formatadas!$BQ:$BQ,Tabulacao!GC5),"-")</f>
        <v>16</v>
      </c>
      <c r="GE5" s="19">
        <f t="shared" ref="GE5:GE8" si="47">IFERROR(GD5/SUM(GD$4:GD$8),"%")</f>
        <v>0.10191082802547771</v>
      </c>
      <c r="GF5" s="16">
        <v>2</v>
      </c>
      <c r="GG5" s="6">
        <f>IFERROR(COUNTIF(Respostas_Formatadas!$BR:$BR,Tabulacao!GF5),"-")</f>
        <v>22</v>
      </c>
      <c r="GH5" s="19">
        <f t="shared" ref="GH5:GH8" si="48">IFERROR(GG5/SUM(GG$4:GG$8),"%")</f>
        <v>0.14012738853503184</v>
      </c>
      <c r="GI5" s="16">
        <v>2</v>
      </c>
      <c r="GJ5" s="6">
        <f>IFERROR(COUNTIF(Respostas_Formatadas!$BS:$BS,Tabulacao!GI5),"-")</f>
        <v>34</v>
      </c>
      <c r="GK5" s="19">
        <f t="shared" ref="GK5:GK8" si="49">IFERROR(GJ5/SUM(GJ$4:GJ$8),"%")</f>
        <v>0.21656050955414013</v>
      </c>
      <c r="GL5" s="16">
        <v>2</v>
      </c>
      <c r="GM5" s="6">
        <f>IFERROR(COUNTIF(Respostas_Formatadas!$BT:$BT,Tabulacao!GL5),"-")</f>
        <v>15</v>
      </c>
      <c r="GN5" s="19">
        <f t="shared" ref="GN5:GN8" si="50">IFERROR(GM5/SUM(GM$4:GM$8),"%")</f>
        <v>5.5350553505535055E-2</v>
      </c>
      <c r="GO5" s="16">
        <v>2</v>
      </c>
      <c r="GP5" s="6">
        <f>IFERROR(COUNTIF(Respostas_Formatadas!$BU:$BU,Tabulacao!GO5),"-")</f>
        <v>18</v>
      </c>
      <c r="GQ5" s="19">
        <f t="shared" ref="GQ5:GQ8" si="51">IFERROR(GP5/SUM(GP$4:GP$8),"%")</f>
        <v>6.6420664206642069E-2</v>
      </c>
      <c r="GR5" s="16">
        <v>2</v>
      </c>
      <c r="GS5" s="6">
        <f>IFERROR(COUNTIF(Respostas_Formatadas!$BV:$BV,Tabulacao!GR5),"-")</f>
        <v>10</v>
      </c>
      <c r="GT5" s="19">
        <f t="shared" ref="GT5:GT8" si="52">IFERROR(GS5/SUM(GS$4:GS$8),"%")</f>
        <v>3.6900369003690037E-2</v>
      </c>
      <c r="GU5" s="16">
        <v>2</v>
      </c>
      <c r="GV5" s="6">
        <f>IFERROR(COUNTIF(Respostas_Formatadas!$BW:$BW,Tabulacao!GU5),"-")</f>
        <v>22</v>
      </c>
      <c r="GW5" s="19">
        <f t="shared" ref="GW5:GW8" si="53">IFERROR(GV5/SUM(GV$4:GV$8),"%")</f>
        <v>8.1180811808118078E-2</v>
      </c>
      <c r="GX5" s="16">
        <v>2</v>
      </c>
      <c r="GY5" s="6">
        <f>IFERROR(COUNTIF(Respostas_Formatadas!$BX:$BX,Tabulacao!GX5),"-")</f>
        <v>9</v>
      </c>
      <c r="GZ5" s="19">
        <f t="shared" ref="GZ5:GZ8" si="54">IFERROR(GY5/SUM(GY$4:GY$8),"%")</f>
        <v>3.3210332103321034E-2</v>
      </c>
      <c r="HA5" s="16">
        <v>2</v>
      </c>
      <c r="HB5" s="6">
        <f>COUNTIF(Respostas_Formatadas!$BY:$BY,Tabulacao!$HA5)</f>
        <v>7</v>
      </c>
      <c r="HC5" s="19">
        <f t="shared" ref="HC5:HC8" si="55">IFERROR(HB5/SUM(HB$4:HB$8),"%")</f>
        <v>2.5830258302583026E-2</v>
      </c>
      <c r="HD5" s="16">
        <v>2</v>
      </c>
      <c r="HE5" s="6">
        <f>COUNTIF(Respostas_Formatadas!$BZ:$BZ,Tabulacao!$HD5)</f>
        <v>8</v>
      </c>
      <c r="HF5" s="19">
        <f t="shared" ref="HF5:HF8" si="56">IFERROR(HE5/SUM(HE$4:HE$8),"%")</f>
        <v>2.9520295202952029E-2</v>
      </c>
      <c r="HG5" s="16">
        <v>2</v>
      </c>
      <c r="HH5" s="6">
        <f>COUNTIF(Respostas_Formatadas!$CA:$CA,Tabulacao!$HG5)</f>
        <v>3</v>
      </c>
      <c r="HI5" s="19">
        <f t="shared" ref="HI5:HI8" si="57">IFERROR(HH5/SUM(HH$4:HH$8),"%")</f>
        <v>1.107011070110701E-2</v>
      </c>
      <c r="HJ5" s="16">
        <v>2</v>
      </c>
      <c r="HK5" s="6">
        <f>COUNTIF(Respostas_Formatadas!$CB:$CB,Tabulacao!$HJ5)</f>
        <v>7</v>
      </c>
      <c r="HL5" s="19">
        <f t="shared" ref="HL5:HL8" si="58">IFERROR(HK5/SUM(HK$4:HK$8),"%")</f>
        <v>2.5830258302583026E-2</v>
      </c>
      <c r="HM5" s="16">
        <v>2</v>
      </c>
      <c r="HN5" s="6">
        <f>COUNTIF(Respostas_Formatadas!$CC:$CC,Tabulacao!$HM5)</f>
        <v>8</v>
      </c>
      <c r="HO5" s="19">
        <f t="shared" ref="HO5:HO8" si="59">IFERROR(HN5/SUM(HN$4:HN$8),"%")</f>
        <v>2.9520295202952029E-2</v>
      </c>
      <c r="HP5" s="16">
        <v>2</v>
      </c>
      <c r="HQ5" s="6">
        <f>COUNTIF(Respostas_Formatadas!$CD:$CD,Tabulacao!$HP5)</f>
        <v>24</v>
      </c>
      <c r="HR5" s="19">
        <f t="shared" ref="HR5:HR8" si="60">IFERROR(HQ5/SUM(HQ$4:HQ$8),"%")</f>
        <v>8.8560885608856083E-2</v>
      </c>
      <c r="HS5" s="16">
        <v>2</v>
      </c>
      <c r="HT5" s="6">
        <f>COUNTIF(Respostas_Formatadas!$CE:$CE,Tabulacao!$HS5)</f>
        <v>20</v>
      </c>
      <c r="HU5" s="19">
        <f t="shared" ref="HU5:HU8" si="61">IFERROR(HT5/SUM(HT$4:HT$8),"%")</f>
        <v>7.3800738007380073E-2</v>
      </c>
      <c r="HV5" s="16">
        <v>2</v>
      </c>
      <c r="HW5" s="6">
        <f>COUNTIF(Respostas_Formatadas!$CF:$CF,Tabulacao!$HV5)</f>
        <v>59</v>
      </c>
      <c r="HX5" s="19">
        <f t="shared" ref="HX5:HX8" si="62">IFERROR(HW5/SUM(HW$4:HW$8),"%")</f>
        <v>0.21771217712177121</v>
      </c>
      <c r="HY5" s="16">
        <v>2</v>
      </c>
      <c r="HZ5" s="6">
        <f>COUNTIF(Respostas_Formatadas!$CG:$CG,Tabulacao!$HY5)</f>
        <v>45</v>
      </c>
      <c r="IA5" s="19">
        <f t="shared" ref="IA5:IA8" si="63">IFERROR(HZ5/SUM(HZ$4:HZ$8),"%")</f>
        <v>0.16605166051660517</v>
      </c>
      <c r="IB5" s="3" t="s">
        <v>223</v>
      </c>
      <c r="IC5" s="6">
        <f>COUNTIF(Respostas_Formatadas!$CH:$CJ,Tabulacao!$IB5)</f>
        <v>2</v>
      </c>
      <c r="ID5" s="19">
        <f t="shared" ref="ID5:ID14" si="64">IFERROR(IC5/271,"%")</f>
        <v>7.3800738007380072E-3</v>
      </c>
      <c r="IE5" s="3" t="s">
        <v>233</v>
      </c>
      <c r="IF5" s="6">
        <f>COUNTIF(Respostas_Formatadas!$CK:$CM,Tabulacao!$IE5)</f>
        <v>108</v>
      </c>
      <c r="IG5" s="19">
        <f t="shared" ref="IG5:IG15" si="65">IFERROR(IF5/271,"%")</f>
        <v>0.39852398523985239</v>
      </c>
      <c r="IH5" s="3" t="s">
        <v>242</v>
      </c>
      <c r="II5" s="6">
        <f>COUNTIF(Respostas_Formatadas!$CN:$CN,Tabulacao!$IH5)</f>
        <v>183</v>
      </c>
      <c r="IJ5" s="19">
        <f t="shared" ref="IJ5:IJ10" si="66">IFERROR(II5/SUM(II$4:II$10),"%")</f>
        <v>0.67527675276752763</v>
      </c>
      <c r="IK5" s="3" t="s">
        <v>133</v>
      </c>
      <c r="IL5" s="6">
        <f>COUNTIF(Respostas_Formatadas!$CO:$CO,Tabulacao!$IK5)</f>
        <v>52</v>
      </c>
      <c r="IM5" s="19">
        <f>IFERROR(IL5/SUM(IL$4:IL$5),"%")</f>
        <v>0.19330855018587362</v>
      </c>
      <c r="IN5" s="16">
        <v>2</v>
      </c>
      <c r="IO5" s="6">
        <f>COUNTIF(Respostas_Formatadas!$CP:$CP,Tabulacao!$IN5)</f>
        <v>58</v>
      </c>
      <c r="IP5" s="19">
        <f t="shared" ref="IP5:IP8" si="67">IFERROR(IO5/SUM(IO$4:IO$8),"%")</f>
        <v>0.2140221402214022</v>
      </c>
      <c r="IQ5" s="16">
        <v>2</v>
      </c>
      <c r="IR5" s="6">
        <f>COUNTIF(Respostas_Formatadas!$CQ:$CQ,Tabulacao!$IQ5)</f>
        <v>5</v>
      </c>
      <c r="IS5" s="19">
        <f t="shared" ref="IS5:IS8" si="68">IFERROR(IR5/SUM(IR$4:IR$8),"%")</f>
        <v>1.8450184501845018E-2</v>
      </c>
      <c r="IT5" s="3" t="s">
        <v>249</v>
      </c>
      <c r="IU5" s="6">
        <f>COUNTIF(Respostas_Formatadas!$CR:$CR,Tabulacao!$IT5)</f>
        <v>97</v>
      </c>
      <c r="IV5" s="19">
        <f t="shared" ref="IV5" si="69">IFERROR(IU5/SUM(IU$4:IU$5),"%")</f>
        <v>0.35793357933579334</v>
      </c>
      <c r="IW5" s="16">
        <v>2</v>
      </c>
      <c r="IX5" s="6">
        <f>COUNTIF(Respostas_Formatadas!$CS:$CS,Tabulacao!$IW5)</f>
        <v>50</v>
      </c>
      <c r="IY5" s="19">
        <f t="shared" ref="IY5:IY8" si="70">IFERROR(IX5/SUM(IX$4:IX$8),"%")</f>
        <v>0.18450184501845018</v>
      </c>
      <c r="IZ5" s="16">
        <v>2</v>
      </c>
      <c r="JA5" s="6">
        <f>COUNTIF(Respostas_Formatadas!$CT:$CT,Tabulacao!$IZ5)</f>
        <v>62</v>
      </c>
      <c r="JB5" s="19">
        <f t="shared" ref="JB5:JB8" si="71">IFERROR(JA5/SUM(JA$4:JA$8),"%")</f>
        <v>0.22878228782287824</v>
      </c>
      <c r="JC5" s="16">
        <v>2</v>
      </c>
      <c r="JD5" s="6">
        <f>COUNTIF(Respostas_Formatadas!$CU:$CU,Tabulacao!$JC5)</f>
        <v>54</v>
      </c>
      <c r="JE5" s="19">
        <f t="shared" ref="JE5:JE8" si="72">IFERROR(JD5/SUM(JD$4:JD$8),"%")</f>
        <v>0.19926199261992619</v>
      </c>
      <c r="JF5" s="16">
        <v>2</v>
      </c>
      <c r="JG5" s="6">
        <f>COUNTIF(Respostas_Formatadas!$CV:$CV,Tabulacao!$JF5)</f>
        <v>52</v>
      </c>
      <c r="JH5" s="19">
        <f t="shared" ref="JH5:JH8" si="73">IFERROR(JG5/SUM(JG$4:JG$8),"%")</f>
        <v>0.1918819188191882</v>
      </c>
      <c r="JI5" s="16">
        <v>2</v>
      </c>
      <c r="JJ5" s="6">
        <f>COUNTIF(Respostas_Formatadas!$CW:$CW,Tabulacao!$JI5)</f>
        <v>40</v>
      </c>
      <c r="JK5" s="19">
        <f t="shared" ref="JK5:JK8" si="74">IFERROR(JJ5/SUM(JJ$4:JJ$8),"%")</f>
        <v>0.14760147601476015</v>
      </c>
      <c r="JL5" s="16">
        <v>2</v>
      </c>
      <c r="JM5" s="6">
        <f>COUNTIF(Respostas_Formatadas!$CX:$CX,Tabulacao!$JL5)</f>
        <v>8</v>
      </c>
      <c r="JN5" s="19">
        <f t="shared" ref="JN5:JN8" si="75">IFERROR(JM5/SUM(JM$4:JM$8),"%")</f>
        <v>2.9520295202952029E-2</v>
      </c>
      <c r="JO5" s="16">
        <v>2</v>
      </c>
      <c r="JP5" s="6">
        <f>COUNTIF(Respostas_Formatadas!$CY:$CY,Tabulacao!$JO5)</f>
        <v>9</v>
      </c>
      <c r="JQ5" s="19">
        <f t="shared" ref="JQ5:JQ8" si="76">IFERROR(JP5/SUM(JP$4:JP$8),"%")</f>
        <v>3.3210332103321034E-2</v>
      </c>
      <c r="JR5" s="16">
        <v>2</v>
      </c>
      <c r="JS5" s="6">
        <f>COUNTIF(Respostas_Formatadas!$CZ:$CZ,Tabulacao!$JR5)</f>
        <v>14</v>
      </c>
      <c r="JT5" s="19">
        <f t="shared" ref="JT5:JT8" si="77">IFERROR(JS5/SUM(JS$4:JS$8),"%")</f>
        <v>5.1660516605166053E-2</v>
      </c>
      <c r="JU5" s="16">
        <v>2</v>
      </c>
      <c r="JV5" s="6">
        <f>COUNTIF(Respostas_Formatadas!$DA:$DA,Tabulacao!$JU5)</f>
        <v>67</v>
      </c>
      <c r="JW5" s="19">
        <f t="shared" ref="JW5:JW8" si="78">IFERROR(JV5/SUM(JV$4:JV$8),"%")</f>
        <v>0.24723247232472326</v>
      </c>
      <c r="JX5" s="16">
        <v>2</v>
      </c>
      <c r="JY5" s="6">
        <f>COUNTIF(Respostas_Formatadas!$DB:$DB,Tabulacao!$JX5)</f>
        <v>66</v>
      </c>
      <c r="JZ5" s="19">
        <f t="shared" ref="JZ5:JZ8" si="79">IFERROR(JY5/SUM(JY$4:JY$8),"%")</f>
        <v>0.24354243542435425</v>
      </c>
      <c r="KA5" s="16">
        <v>2</v>
      </c>
      <c r="KB5" s="6">
        <f>COUNTIF(Respostas_Formatadas!$DC:$DC,Tabulacao!$KA5)</f>
        <v>52</v>
      </c>
      <c r="KC5" s="19">
        <f t="shared" ref="KC5:KC8" si="80">IFERROR(KB5/SUM(KB$4:KB$8),"%")</f>
        <v>0.1918819188191882</v>
      </c>
      <c r="KD5" s="16">
        <v>2</v>
      </c>
      <c r="KE5" s="6">
        <f>COUNTIF(Respostas_Formatadas!$DD:$DD,Tabulacao!$KD5)</f>
        <v>17</v>
      </c>
      <c r="KF5" s="19">
        <f t="shared" ref="KF5:KF8" si="81">IFERROR(KE5/SUM(KE$4:KE$8),"%")</f>
        <v>6.273062730627306E-2</v>
      </c>
      <c r="KG5" s="16">
        <v>2</v>
      </c>
      <c r="KH5" s="6">
        <f>COUNTIF(Respostas_Formatadas!$DE:$DE,Tabulacao!$KG5)</f>
        <v>22</v>
      </c>
      <c r="KI5" s="19">
        <f t="shared" ref="KI5:KI8" si="82">IFERROR(KH5/SUM(KH$4:KH$8),"%")</f>
        <v>8.1180811808118078E-2</v>
      </c>
      <c r="KJ5" s="16">
        <v>2</v>
      </c>
      <c r="KK5" s="6">
        <f>COUNTIF(Respostas_Formatadas!$DF:$DF,Tabulacao!$KJ5)</f>
        <v>13</v>
      </c>
      <c r="KL5" s="19">
        <f t="shared" ref="KL5:KL8" si="83">IFERROR(KK5/SUM(KK$4:KK$8),"%")</f>
        <v>4.797047970479705E-2</v>
      </c>
      <c r="KM5" s="16">
        <v>2</v>
      </c>
      <c r="KN5" s="6">
        <f>COUNTIF(Respostas_Formatadas!$DG:$DG,Tabulacao!$KM5)</f>
        <v>12</v>
      </c>
      <c r="KO5" s="19">
        <f t="shared" ref="KO5:KO8" si="84">IFERROR(KN5/SUM(KN$4:KN$8),"%")</f>
        <v>4.4280442804428041E-2</v>
      </c>
      <c r="KP5" s="16">
        <v>2</v>
      </c>
      <c r="KQ5" s="6">
        <f>COUNTIF(Respostas_Formatadas!$DH:$DH,Tabulacao!$KP5)</f>
        <v>46</v>
      </c>
      <c r="KR5" s="19">
        <f t="shared" ref="KR5:KR8" si="85">IFERROR(KQ5/SUM(KQ$4:KQ$8),"%")</f>
        <v>0.16974169741697417</v>
      </c>
      <c r="KS5" s="3" t="s">
        <v>250</v>
      </c>
      <c r="KT5" s="6">
        <f>COUNTIF(Respostas_Formatadas!$DI:$DI,Tabulacao!$KS5)</f>
        <v>64</v>
      </c>
      <c r="KU5" s="19">
        <f t="shared" ref="KU5:KU8" si="86">IFERROR(KT5/SUM(KT$4:KT$8),"%")</f>
        <v>0.23616236162361623</v>
      </c>
      <c r="KV5" s="3" t="s">
        <v>134</v>
      </c>
      <c r="KW5" s="6">
        <f>COUNTIF(Respostas_Formatadas!$DJ:$DJ,Tabulacao!$KV5)</f>
        <v>85</v>
      </c>
      <c r="KX5" s="19">
        <f>IFERROR(KW5/SUM(KW$4:KW$5),"%")</f>
        <v>0.31365313653136534</v>
      </c>
      <c r="KY5" s="3" t="s">
        <v>255</v>
      </c>
      <c r="KZ5" s="6">
        <f>COUNTIF(Respostas_Formatadas!$DK:$DP,Tabulacao!$KY5)</f>
        <v>138</v>
      </c>
      <c r="LA5" s="19">
        <f t="shared" ref="LA5:LA8" si="87">IFERROR(KZ5/$KW$4,"%")</f>
        <v>0.74193548387096775</v>
      </c>
      <c r="LB5" s="16">
        <v>2</v>
      </c>
      <c r="LC5" s="6">
        <f>COUNTIF(Respostas_Formatadas!$DQ:$DQ,Tabulacao!$LB5)</f>
        <v>10</v>
      </c>
      <c r="LD5" s="19">
        <f t="shared" ref="LD5:LD8" si="88">IFERROR(LC5/SUM(LC$4:LC$8),"%")</f>
        <v>5.3763440860215055E-2</v>
      </c>
      <c r="LE5" s="3" t="s">
        <v>134</v>
      </c>
      <c r="LF5" s="6">
        <f>COUNTIF(Respostas_Formatadas!$DR:$DR,Tabulacao!$LE5)</f>
        <v>130</v>
      </c>
      <c r="LG5" s="19">
        <f>IFERROR(LF5/SUM(LF$4:LF$5),"%")</f>
        <v>0.47970479704797048</v>
      </c>
      <c r="LH5" s="3" t="s">
        <v>259</v>
      </c>
      <c r="LI5" s="6">
        <f>COUNTIF(Respostas_Formatadas!$DS:$DX,Tabulacao!$LH5)</f>
        <v>93</v>
      </c>
      <c r="LJ5" s="19">
        <f t="shared" ref="LJ5:LJ8" si="89">IFERROR(LI5/$LF$4,"%")</f>
        <v>0.65957446808510634</v>
      </c>
      <c r="LK5" s="16">
        <v>2</v>
      </c>
      <c r="LL5" s="6">
        <f>COUNTIF(Respostas_Formatadas!$DY:$DY,Tabulacao!$LK5)</f>
        <v>8</v>
      </c>
      <c r="LM5" s="19">
        <f t="shared" ref="LM5:LM8" si="90">IFERROR(LL5/SUM(LL$4:LL$8),"%")</f>
        <v>5.6737588652482268E-2</v>
      </c>
      <c r="LN5" s="3" t="s">
        <v>134</v>
      </c>
      <c r="LO5" s="6">
        <f>COUNTIF(Respostas_Formatadas!$DZ:$DZ,Tabulacao!$LN5)</f>
        <v>115</v>
      </c>
      <c r="LP5" s="19">
        <f>IFERROR(LO5/SUM(LO$4:LO$5),"%")</f>
        <v>0.42435424354243545</v>
      </c>
      <c r="LQ5" s="16">
        <v>2</v>
      </c>
      <c r="LR5" s="6">
        <f>COUNTIF(Respostas_Formatadas!$EA:$EA,Tabulacao!$LQ5)</f>
        <v>1</v>
      </c>
      <c r="LS5" s="19">
        <f t="shared" ref="LS5:LS8" si="91">IFERROR(LR5/SUM(LR$4:LR$8),"%")</f>
        <v>6.41025641025641E-3</v>
      </c>
      <c r="LT5" s="3" t="s">
        <v>263</v>
      </c>
      <c r="LU5" s="6">
        <f>COUNTIF(Respostas_Formatadas!$EB:$EB,Tabulacao!$LT5)</f>
        <v>130</v>
      </c>
      <c r="LV5" s="19">
        <f>IFERROR(LU5/SUM(LU$4:LU$5),"%")</f>
        <v>0.47970479704797048</v>
      </c>
      <c r="LW5" s="3" t="s">
        <v>265</v>
      </c>
      <c r="LX5" s="6">
        <f>COUNTIF(Respostas_Formatadas!$EC:$EC,Tabulacao!$LW5)</f>
        <v>46</v>
      </c>
      <c r="LY5" s="19">
        <f t="shared" ref="LY5:LY9" si="92">IFERROR(LX5/SUM(LX$4:LX$9),"%")</f>
        <v>0.16974169741697417</v>
      </c>
      <c r="LZ5" s="3" t="s">
        <v>161</v>
      </c>
      <c r="MA5" s="6">
        <f>IFERROR(_xlfn.MODE.SNGL(Respostas_Formatadas!$ED$3:$ED$470),"-")</f>
        <v>27</v>
      </c>
      <c r="MB5" s="7"/>
      <c r="MC5" s="3" t="s">
        <v>292</v>
      </c>
      <c r="MD5" s="3" t="s">
        <v>291</v>
      </c>
      <c r="ME5" s="25">
        <v>19</v>
      </c>
      <c r="MF5" s="19">
        <f t="shared" si="2"/>
        <v>7.0110701107011064E-2</v>
      </c>
      <c r="MG5" s="3" t="s">
        <v>292</v>
      </c>
      <c r="MH5" s="3" t="s">
        <v>358</v>
      </c>
      <c r="MI5" s="25">
        <v>20</v>
      </c>
      <c r="MJ5" s="19">
        <f t="shared" si="3"/>
        <v>7.3800738007380073E-2</v>
      </c>
      <c r="MK5" s="3" t="s">
        <v>292</v>
      </c>
      <c r="ML5" s="3" t="s">
        <v>291</v>
      </c>
      <c r="MM5" s="25">
        <v>18</v>
      </c>
      <c r="MN5" s="19">
        <f t="shared" si="4"/>
        <v>6.6420664206642069E-2</v>
      </c>
      <c r="MO5" s="3" t="s">
        <v>271</v>
      </c>
      <c r="MP5" s="6">
        <f>COUNTIF(Respostas_Formatadas!$EK:$EK,Tabulacao!$MO5)</f>
        <v>9</v>
      </c>
      <c r="MQ5" s="19">
        <f>IFERROR(MP5/SUM(MP$4:MP$6),"%")</f>
        <v>3.3210332103321034E-2</v>
      </c>
      <c r="MR5" s="3" t="s">
        <v>271</v>
      </c>
      <c r="MS5" s="6">
        <f>COUNTIF(Respostas_Formatadas!$EL:$EL,Tabulacao!$MR5)</f>
        <v>1</v>
      </c>
      <c r="MT5" s="19">
        <f>IFERROR(MS5/SUM(MS$4:MS$6),"%")</f>
        <v>3.6900369003690036E-3</v>
      </c>
      <c r="MU5" s="3" t="s">
        <v>271</v>
      </c>
      <c r="MV5" s="6">
        <f>COUNTIF(Respostas_Formatadas!$EM:$EM,Tabulacao!$MU5)</f>
        <v>2</v>
      </c>
      <c r="MW5" s="19">
        <f>IFERROR(MV5/SUM(MV$4:MV$6),"%")</f>
        <v>7.3800738007380072E-3</v>
      </c>
      <c r="MX5" s="3" t="s">
        <v>271</v>
      </c>
      <c r="MY5" s="6">
        <f>COUNTIF(Respostas_Formatadas!$EN:$EN,Tabulacao!$MX5)</f>
        <v>1</v>
      </c>
      <c r="MZ5" s="19">
        <f>IFERROR(MY5/SUM(MY$4:MY$6),"%")</f>
        <v>3.6900369003690036E-3</v>
      </c>
      <c r="NA5" s="3" t="s">
        <v>271</v>
      </c>
      <c r="NB5" s="6">
        <f>COUNTIF(Respostas_Formatadas!$EO:$EO,Tabulacao!$NA5)</f>
        <v>0</v>
      </c>
      <c r="NC5" s="19">
        <f>IFERROR(NB5/SUM(NB$4:NB$6),"%")</f>
        <v>0</v>
      </c>
      <c r="ND5" s="3" t="s">
        <v>271</v>
      </c>
      <c r="NE5" s="6">
        <f>COUNTIF(Respostas_Formatadas!$EP:$EP,Tabulacao!$ND5)</f>
        <v>0</v>
      </c>
      <c r="NF5" s="19">
        <f>IFERROR(NE5/SUM(NE$4:NE$6),"%")</f>
        <v>0</v>
      </c>
      <c r="NG5" s="3" t="s">
        <v>273</v>
      </c>
      <c r="NH5" s="6">
        <f>COUNTIF(Respostas_Formatadas!$EQ:$EQ,Tabulacao!$NG5)</f>
        <v>52</v>
      </c>
      <c r="NI5" s="19">
        <f t="shared" ref="NI5:NI9" si="93">IFERROR(NH5/SUM(NH$4:NH$9),"%")</f>
        <v>0.21052631578947367</v>
      </c>
      <c r="NJ5" s="3" t="s">
        <v>278</v>
      </c>
      <c r="NK5" s="6">
        <f>COUNTIF(Respostas_Formatadas!$ES:$ES,Tabulacao!$NJ5)</f>
        <v>37</v>
      </c>
      <c r="NL5" s="19">
        <f t="shared" si="5"/>
        <v>0.14624505928853754</v>
      </c>
      <c r="NM5" s="3" t="s">
        <v>280</v>
      </c>
      <c r="NN5" s="6">
        <f>COUNTIF(Respostas_Formatadas!$EU:$EU,Tabulacao!$NM5)</f>
        <v>20</v>
      </c>
      <c r="NO5" s="19">
        <f t="shared" ref="NO5:NO7" si="94">IFERROR(NN5/SUM(NN$4:NN$7),"%")</f>
        <v>7.3800738007380073E-2</v>
      </c>
      <c r="NP5" s="3" t="s">
        <v>282</v>
      </c>
      <c r="NQ5" s="6">
        <f>COUNTIF(Respostas_Formatadas!$EV:$EV,Tabulacao!$NP5)</f>
        <v>90</v>
      </c>
      <c r="NR5" s="19">
        <f t="shared" ref="NR5:NR11" si="95">IFERROR(NQ5/SUM(NQ$4:NQ$11),"%")</f>
        <v>0.33210332103321033</v>
      </c>
      <c r="NS5" s="3" t="s">
        <v>282</v>
      </c>
      <c r="NT5" s="6">
        <f>COUNTIF(Respostas_Formatadas!$EW:$EW,Tabulacao!$NS5)</f>
        <v>79</v>
      </c>
      <c r="NU5" s="19">
        <f t="shared" ref="NU5:NU11" si="96">IFERROR(NT5/SUM(NT$4:NT$11),"%")</f>
        <v>0.29151291512915128</v>
      </c>
      <c r="NZ5" s="3" t="s">
        <v>134</v>
      </c>
      <c r="OA5" s="6">
        <f>COUNTIF(Respostas_Formatadas!$FB:$FB,Tabulacao!$NZ5)</f>
        <v>0</v>
      </c>
      <c r="OB5" s="19" t="str">
        <f>IFERROR(OA5/SUM(OA$4:OA$5),"%")</f>
        <v>%</v>
      </c>
      <c r="OC5" s="3" t="s">
        <v>134</v>
      </c>
      <c r="OD5" s="6">
        <f>COUNTIF(Respostas_Formatadas!$FC:$FC,Tabulacao!$OC5)</f>
        <v>0</v>
      </c>
      <c r="OE5" s="19" t="str">
        <f>IFERROR(OD5/SUM(OD$4:OD$5),"%")</f>
        <v>%</v>
      </c>
      <c r="OG5" s="16">
        <v>2006</v>
      </c>
      <c r="OH5" s="25">
        <f>IFERROR(COUNTIF(Respostas_Formatadas!$FE:$FE,Tabulacao!$OG5),"-")</f>
        <v>1</v>
      </c>
      <c r="OI5" s="19">
        <f t="shared" ref="OI5:OI17" si="97">OH5/SUM($OH$4:$OH$17)</f>
        <v>3.6900369003690036E-3</v>
      </c>
      <c r="OJ5" s="3" t="s">
        <v>161</v>
      </c>
      <c r="OK5" s="7">
        <f>IFERROR(_xlfn.MODE.SNGL(Respostas_Formatadas!$FF$3:$FF$273),"-")</f>
        <v>7.0823999999999998</v>
      </c>
    </row>
    <row r="6" spans="1:402" ht="15.75" customHeight="1" x14ac:dyDescent="0.2">
      <c r="D6" s="4" t="s">
        <v>121</v>
      </c>
      <c r="E6" s="6">
        <f>COUNTIF(Respostas_Formatadas!$C:$C,Tabulacao!$D6)</f>
        <v>28</v>
      </c>
      <c r="F6" s="19">
        <f t="shared" si="6"/>
        <v>0.10332103321033211</v>
      </c>
      <c r="H6" s="5"/>
      <c r="J6" s="3" t="s">
        <v>137</v>
      </c>
      <c r="K6" s="6">
        <f>COUNTIF(Respostas_Formatadas!$E:$G,Tabulacao!$J6)</f>
        <v>6</v>
      </c>
      <c r="L6" s="19">
        <f t="shared" si="7"/>
        <v>5.8252427184466021E-2</v>
      </c>
      <c r="M6" s="3" t="s">
        <v>143</v>
      </c>
      <c r="N6" s="6">
        <f>COUNTIF(Respostas_Formatadas!$H:$L,Tabulacao!$M6)</f>
        <v>10</v>
      </c>
      <c r="O6" s="19">
        <f t="shared" si="8"/>
        <v>9.7087378640776698E-2</v>
      </c>
      <c r="P6" s="3" t="s">
        <v>148</v>
      </c>
      <c r="Q6" s="6">
        <f>COUNTIF(Respostas_Formatadas!$M:$M,Tabulacao!$P6)</f>
        <v>24</v>
      </c>
      <c r="R6" s="19">
        <f t="shared" si="9"/>
        <v>8.8560885608856083E-2</v>
      </c>
      <c r="T6" s="5"/>
      <c r="W6" s="5"/>
      <c r="Z6" s="5"/>
      <c r="AC6" s="5"/>
      <c r="AE6" s="3" t="s">
        <v>153</v>
      </c>
      <c r="AF6" s="6">
        <f>COUNTIF(Respostas_Formatadas!$R:$R,Tabulacao!$AE6)</f>
        <v>39</v>
      </c>
      <c r="AG6" s="19">
        <f t="shared" si="10"/>
        <v>0.14391143911439114</v>
      </c>
      <c r="AH6" s="3" t="s">
        <v>940</v>
      </c>
      <c r="AI6" s="6">
        <f>IFERROR(COUNTIF(Respostas_Formatadas!$S:$S,$AH6),"-")</f>
        <v>1</v>
      </c>
      <c r="AJ6" s="19">
        <f t="shared" si="0"/>
        <v>1.7543859649122806E-2</v>
      </c>
      <c r="AL6" s="5"/>
      <c r="AN6" s="3" t="s">
        <v>158</v>
      </c>
      <c r="AO6" s="6">
        <f>COUNTIF(Respostas_Formatadas!$U:$U,Tabulacao!$AN6)</f>
        <v>1</v>
      </c>
      <c r="AP6" s="19">
        <f t="shared" si="11"/>
        <v>1.7241379310344827E-2</v>
      </c>
      <c r="AQ6" s="16">
        <v>3</v>
      </c>
      <c r="AR6" s="6">
        <f>COUNTIF(Respostas_Formatadas!$V:$V,Tabulacao!$AQ6)</f>
        <v>13</v>
      </c>
      <c r="AS6" s="19">
        <f t="shared" si="12"/>
        <v>0.22413793103448276</v>
      </c>
      <c r="AT6" s="16">
        <v>3</v>
      </c>
      <c r="AU6" s="6">
        <f>COUNTIF(Respostas_Formatadas!$W:$W,Tabulacao!$AT6)</f>
        <v>14</v>
      </c>
      <c r="AV6" s="19">
        <f t="shared" si="13"/>
        <v>0.2413793103448276</v>
      </c>
      <c r="AW6" s="16">
        <v>3</v>
      </c>
      <c r="AX6" s="6">
        <f>COUNTIF(Respostas_Formatadas!$X:$X,Tabulacao!$AW6)</f>
        <v>17</v>
      </c>
      <c r="AY6" s="19">
        <f t="shared" si="14"/>
        <v>0.29310344827586204</v>
      </c>
      <c r="AZ6" s="3" t="s">
        <v>166</v>
      </c>
      <c r="BA6" s="6">
        <f>COUNTIF(Respostas_Formatadas!$Y:$Y,Tabulacao!$AZ6)</f>
        <v>74</v>
      </c>
      <c r="BB6" s="19">
        <f t="shared" si="15"/>
        <v>0.27306273062730629</v>
      </c>
      <c r="BC6" s="3" t="s">
        <v>169</v>
      </c>
      <c r="BD6" s="6">
        <f>COUNTIF(Respostas_Formatadas!$Z:$Z,Tabulacao!$BC6)</f>
        <v>15</v>
      </c>
      <c r="BE6" s="19">
        <f t="shared" si="16"/>
        <v>0.15</v>
      </c>
      <c r="BF6" s="3" t="s">
        <v>173</v>
      </c>
      <c r="BG6" s="6">
        <f>COUNTIF(Respostas_Formatadas!$AA:$AA,Tabulacao!$BF6)</f>
        <v>35</v>
      </c>
      <c r="BH6" s="19">
        <f t="shared" si="17"/>
        <v>0.35</v>
      </c>
      <c r="BI6" s="3" t="s">
        <v>177</v>
      </c>
      <c r="BJ6" s="6">
        <f>COUNTIF(Respostas_Formatadas!$AB:$AB,Tabulacao!$BI6)</f>
        <v>7</v>
      </c>
      <c r="BK6" s="19">
        <f t="shared" si="18"/>
        <v>7.0000000000000007E-2</v>
      </c>
      <c r="BL6" s="3" t="s">
        <v>177</v>
      </c>
      <c r="BM6" s="6">
        <f>COUNTIF(Respostas_Formatadas!$AC:$AC,Tabulacao!$BL6)</f>
        <v>2</v>
      </c>
      <c r="BN6" s="19">
        <f t="shared" si="19"/>
        <v>2.7027027027027029E-2</v>
      </c>
      <c r="BO6" s="19"/>
      <c r="BP6" s="3" t="str">
        <f>Respostas_Formatadas!C6</f>
        <v>Bacharelado em Sistemas de Informação</v>
      </c>
      <c r="BQ6" s="3" t="str">
        <f>Respostas_Formatadas!AD6</f>
        <v>Assistente de Sistemas</v>
      </c>
      <c r="BR6" s="3" t="s">
        <v>297</v>
      </c>
      <c r="BS6" s="25">
        <f>COUNTIF($BR$3:$BR$273,BR6)</f>
        <v>1</v>
      </c>
      <c r="BU6" s="16">
        <v>3</v>
      </c>
      <c r="BV6" s="6">
        <f>COUNTIF(Respostas_Formatadas!$AE:$AE,Tabulacao!$BU6)</f>
        <v>23</v>
      </c>
      <c r="BW6" s="19">
        <f t="shared" si="20"/>
        <v>0.13218390804597702</v>
      </c>
      <c r="BX6" s="3" t="s">
        <v>189</v>
      </c>
      <c r="BY6" s="6">
        <f>COUNTIF(Respostas_Formatadas!$AG:$AG,Tabulacao!$BX6)</f>
        <v>67</v>
      </c>
      <c r="BZ6" s="19">
        <f t="shared" si="21"/>
        <v>0.38505747126436779</v>
      </c>
      <c r="CB6" s="5"/>
      <c r="CD6" s="3" t="s">
        <v>162</v>
      </c>
      <c r="CE6" s="67">
        <f>IFERROR(MEDIAN(Respostas_Formatadas!$AI:$AI),"-")</f>
        <v>1500</v>
      </c>
      <c r="CG6" s="16">
        <v>3</v>
      </c>
      <c r="CH6" s="6">
        <f>COUNTIF(Respostas_Formatadas!$AJ:$AJ,Tabulacao!$CG6)</f>
        <v>30</v>
      </c>
      <c r="CI6" s="19">
        <f t="shared" si="22"/>
        <v>0.17241379310344829</v>
      </c>
      <c r="CJ6" s="16">
        <v>3</v>
      </c>
      <c r="CK6" s="6">
        <f>COUNTIF(Respostas_Formatadas!$AK:$AK,Tabulacao!$CJ6)</f>
        <v>39</v>
      </c>
      <c r="CL6" s="19">
        <f t="shared" si="23"/>
        <v>0.22413793103448276</v>
      </c>
      <c r="CN6" s="5"/>
      <c r="CP6" s="3" t="s">
        <v>169</v>
      </c>
      <c r="CQ6" s="6">
        <f>COUNTIF(Respostas_Formatadas!$AM:$AM,Tabulacao!$CP6)</f>
        <v>21</v>
      </c>
      <c r="CR6" s="19">
        <f t="shared" si="24"/>
        <v>0.26582278481012656</v>
      </c>
      <c r="CS6" s="3" t="s">
        <v>162</v>
      </c>
      <c r="CT6" s="6">
        <f>MEDIAN(Respostas_Formatadas!$AN$3:$AN$273)</f>
        <v>2</v>
      </c>
      <c r="CV6" s="3" t="s">
        <v>134</v>
      </c>
      <c r="CW6" s="6">
        <f>COUNTIF(Respostas_Formatadas!$AO:$AO,Tabulacao!$CV6)</f>
        <v>17</v>
      </c>
      <c r="CX6" s="19">
        <f t="shared" si="25"/>
        <v>0.21518987341772153</v>
      </c>
      <c r="CY6" s="3" t="str">
        <f t="shared" si="1"/>
        <v>Bacharelado em Sistemas de Informação</v>
      </c>
      <c r="CZ6" s="3" t="str">
        <f>Respostas_Formatadas!AP6</f>
        <v>Analista de Sistemas</v>
      </c>
      <c r="DA6" s="3" t="s">
        <v>298</v>
      </c>
      <c r="DB6" s="25">
        <f>COUNTIF($DA$3:$DA$273,DA6)</f>
        <v>5</v>
      </c>
      <c r="DD6" s="3" t="s">
        <v>976</v>
      </c>
      <c r="DE6" s="67">
        <f>IFERROR(MIN(Respostas_Formatadas!$AQ$3:$AQ$273),"-")</f>
        <v>600</v>
      </c>
      <c r="DG6" s="16">
        <v>3</v>
      </c>
      <c r="DH6" s="6">
        <f>COUNTIF(Respostas_Formatadas!$AR:$AR,Tabulacao!$DG6)</f>
        <v>64</v>
      </c>
      <c r="DI6" s="19">
        <f t="shared" si="26"/>
        <v>0.40764331210191085</v>
      </c>
      <c r="DJ6" s="16">
        <v>3</v>
      </c>
      <c r="DK6" s="6">
        <f>COUNTIF(Respostas_Formatadas!$AS:$AS,Tabulacao!$DJ6)</f>
        <v>35</v>
      </c>
      <c r="DL6" s="19">
        <f t="shared" si="27"/>
        <v>0.22292993630573249</v>
      </c>
      <c r="DM6" s="16">
        <v>3</v>
      </c>
      <c r="DN6" s="6">
        <f>COUNTIF(Respostas_Formatadas!$AT:$AT,Tabulacao!$DM6)</f>
        <v>51</v>
      </c>
      <c r="DO6" s="19">
        <f t="shared" si="28"/>
        <v>0.32484076433121017</v>
      </c>
      <c r="DP6" s="16">
        <v>3</v>
      </c>
      <c r="DQ6" s="6">
        <f>COUNTIF(Respostas_Formatadas!$AU:$AU,Tabulacao!$DP6)</f>
        <v>55</v>
      </c>
      <c r="DR6" s="19">
        <f t="shared" si="29"/>
        <v>0.3503184713375796</v>
      </c>
      <c r="DS6" s="16">
        <v>3</v>
      </c>
      <c r="DT6" s="6">
        <f>COUNTIF(Respostas_Formatadas!$AV:$AV,Tabulacao!$DS6)</f>
        <v>31</v>
      </c>
      <c r="DU6" s="19">
        <f>IFERROR(DT6/SUM(DT$4:DT$8),"%")</f>
        <v>0.19745222929936307</v>
      </c>
      <c r="DV6" s="3" t="s">
        <v>194</v>
      </c>
      <c r="DW6" s="6">
        <f>COUNTIF(Respostas_Formatadas!$AW:$AW,Tabulacao!$DV6)</f>
        <v>9</v>
      </c>
      <c r="DX6" s="19">
        <f t="shared" si="30"/>
        <v>6.3380281690140844E-2</v>
      </c>
      <c r="DY6" s="3" t="s">
        <v>205</v>
      </c>
      <c r="DZ6" s="6">
        <f>COUNTIF(Respostas_Formatadas!$AX:$AX,Tabulacao!$DY6)</f>
        <v>14</v>
      </c>
      <c r="EA6" s="19">
        <f t="shared" si="31"/>
        <v>8.9171974522292988E-2</v>
      </c>
      <c r="EB6" s="3" t="s">
        <v>210</v>
      </c>
      <c r="EC6" s="6">
        <f>COUNTIF(Respostas_Formatadas!$AY:$AY,Tabulacao!$EB6)</f>
        <v>81</v>
      </c>
      <c r="ED6" s="19">
        <f t="shared" si="32"/>
        <v>0.54729729729729726</v>
      </c>
      <c r="EF6" s="5"/>
      <c r="EH6" s="3" t="s">
        <v>213</v>
      </c>
      <c r="EI6" s="6">
        <f>COUNTIF(Respostas_Formatadas!$BA:$BA,Tabulacao!$EH6)</f>
        <v>23</v>
      </c>
      <c r="EJ6" s="19">
        <f t="shared" si="33"/>
        <v>0.15972222222222221</v>
      </c>
      <c r="EK6" s="3" t="s">
        <v>120</v>
      </c>
      <c r="EL6" s="3" t="str">
        <f>Respostas_Formatadas!BC6</f>
        <v>Itaporanga D'Ajuda</v>
      </c>
      <c r="EM6" s="3" t="s">
        <v>358</v>
      </c>
      <c r="EN6" s="25">
        <f>COUNTIF(Respostas_Formatadas!$BC:$BC,Tabulacao!EM6)</f>
        <v>8</v>
      </c>
      <c r="EP6" s="3" t="s">
        <v>189</v>
      </c>
      <c r="EQ6" s="6">
        <f>COUNTIF(Respostas_Formatadas!$BD:$BD,Tabulacao!$EP6)</f>
        <v>47</v>
      </c>
      <c r="ER6" s="19">
        <f t="shared" si="34"/>
        <v>0.3263888888888889</v>
      </c>
      <c r="ES6" s="3" t="s">
        <v>216</v>
      </c>
      <c r="ET6" s="6">
        <f>COUNTIF(Respostas_Formatadas!$BE:$BE,Tabulacao!$ES6)</f>
        <v>0</v>
      </c>
      <c r="EU6" s="19">
        <f t="shared" si="35"/>
        <v>0</v>
      </c>
      <c r="EV6" s="3" t="s">
        <v>220</v>
      </c>
      <c r="EW6" s="6">
        <f>IFERROR(COUNTIF(Respostas_Formatadas!$BF:$BF,Tabulacao!$EV6),"-")</f>
        <v>9</v>
      </c>
      <c r="EX6" s="19">
        <f t="shared" si="36"/>
        <v>0.14754098360655737</v>
      </c>
      <c r="EY6" s="16">
        <v>3</v>
      </c>
      <c r="EZ6" s="6">
        <f>IFERROR(COUNTIF(Respostas_Formatadas!$BG:$BG,Tabulacao!EY6),"-")</f>
        <v>20</v>
      </c>
      <c r="FA6" s="19">
        <f t="shared" si="37"/>
        <v>0.12738853503184713</v>
      </c>
      <c r="FB6" s="16">
        <v>3</v>
      </c>
      <c r="FC6" s="6">
        <f>IFERROR(COUNTIF(Respostas_Formatadas!$BH:$BH,Tabulacao!FB6),"-")</f>
        <v>48</v>
      </c>
      <c r="FD6" s="19">
        <f t="shared" si="38"/>
        <v>0.30573248407643311</v>
      </c>
      <c r="FE6" s="16">
        <v>3</v>
      </c>
      <c r="FF6" s="6">
        <f>IFERROR(COUNTIF(Respostas_Formatadas!$BI:$BI,Tabulacao!FE6),"-")</f>
        <v>29</v>
      </c>
      <c r="FG6" s="19">
        <f t="shared" si="39"/>
        <v>0.18471337579617833</v>
      </c>
      <c r="FH6" s="16">
        <v>3</v>
      </c>
      <c r="FI6" s="6">
        <f>IFERROR(COUNTIF(Respostas_Formatadas!$BJ:$BJ,Tabulacao!FH6),"-")</f>
        <v>37</v>
      </c>
      <c r="FJ6" s="19">
        <f t="shared" si="40"/>
        <v>0.2356687898089172</v>
      </c>
      <c r="FK6" s="16">
        <v>3</v>
      </c>
      <c r="FL6" s="6">
        <f>IFERROR(COUNTIF(Respostas_Formatadas!$BK:$BK,Tabulacao!FK6),"-")</f>
        <v>26</v>
      </c>
      <c r="FM6" s="19">
        <f t="shared" si="41"/>
        <v>0.16560509554140126</v>
      </c>
      <c r="FN6" s="16">
        <v>3</v>
      </c>
      <c r="FO6" s="6">
        <f>IFERROR(COUNTIF(Respostas_Formatadas!$BL:$BL,Tabulacao!FN6),"-")</f>
        <v>24</v>
      </c>
      <c r="FP6" s="19">
        <f t="shared" si="42"/>
        <v>0.15286624203821655</v>
      </c>
      <c r="FQ6" s="16">
        <v>3</v>
      </c>
      <c r="FR6" s="6">
        <f>IFERROR(COUNTIF(Respostas_Formatadas!$BM:$BM,Tabulacao!FQ6),"-")</f>
        <v>14</v>
      </c>
      <c r="FS6" s="19">
        <f t="shared" si="43"/>
        <v>8.9171974522292988E-2</v>
      </c>
      <c r="FT6" s="16">
        <v>3</v>
      </c>
      <c r="FU6" s="6">
        <f>IFERROR(COUNTIF(Respostas_Formatadas!$BN:$BN,Tabulacao!FT6),"-")</f>
        <v>20</v>
      </c>
      <c r="FV6" s="19">
        <f t="shared" si="44"/>
        <v>0.12738853503184713</v>
      </c>
      <c r="FW6" s="16">
        <v>3</v>
      </c>
      <c r="FX6" s="6">
        <f>IFERROR(COUNTIF(Respostas_Formatadas!$BO:$BO,Tabulacao!FW6),"-")</f>
        <v>24</v>
      </c>
      <c r="FY6" s="19">
        <f t="shared" si="45"/>
        <v>0.15286624203821655</v>
      </c>
      <c r="FZ6" s="16">
        <v>3</v>
      </c>
      <c r="GA6" s="6">
        <f>IFERROR(COUNTIF(Respostas_Formatadas!$BP:$BP,Tabulacao!FZ6),"-")</f>
        <v>38</v>
      </c>
      <c r="GB6" s="19">
        <f t="shared" si="46"/>
        <v>0.24203821656050956</v>
      </c>
      <c r="GC6" s="16">
        <v>3</v>
      </c>
      <c r="GD6" s="6">
        <f>IFERROR(COUNTIF(Respostas_Formatadas!$BQ:$BQ,Tabulacao!GC6),"-")</f>
        <v>38</v>
      </c>
      <c r="GE6" s="19">
        <f t="shared" si="47"/>
        <v>0.24203821656050956</v>
      </c>
      <c r="GF6" s="16">
        <v>3</v>
      </c>
      <c r="GG6" s="6">
        <f>IFERROR(COUNTIF(Respostas_Formatadas!$BR:$BR,Tabulacao!GF6),"-")</f>
        <v>28</v>
      </c>
      <c r="GH6" s="19">
        <f t="shared" si="48"/>
        <v>0.17834394904458598</v>
      </c>
      <c r="GI6" s="16">
        <v>3</v>
      </c>
      <c r="GJ6" s="6">
        <f>IFERROR(COUNTIF(Respostas_Formatadas!$BS:$BS,Tabulacao!GI6),"-")</f>
        <v>27</v>
      </c>
      <c r="GK6" s="19">
        <f t="shared" si="49"/>
        <v>0.17197452229299362</v>
      </c>
      <c r="GL6" s="16">
        <v>3</v>
      </c>
      <c r="GM6" s="6">
        <f>IFERROR(COUNTIF(Respostas_Formatadas!$BT:$BT,Tabulacao!GL6),"-")</f>
        <v>63</v>
      </c>
      <c r="GN6" s="19">
        <f t="shared" si="50"/>
        <v>0.23247232472324722</v>
      </c>
      <c r="GO6" s="16">
        <v>3</v>
      </c>
      <c r="GP6" s="6">
        <f>IFERROR(COUNTIF(Respostas_Formatadas!$BU:$BU,Tabulacao!GO6),"-")</f>
        <v>105</v>
      </c>
      <c r="GQ6" s="19">
        <f t="shared" si="51"/>
        <v>0.38745387453874541</v>
      </c>
      <c r="GR6" s="16">
        <v>3</v>
      </c>
      <c r="GS6" s="6">
        <f>IFERROR(COUNTIF(Respostas_Formatadas!$BV:$BV,Tabulacao!GR6),"-")</f>
        <v>63</v>
      </c>
      <c r="GT6" s="19">
        <f t="shared" si="52"/>
        <v>0.23247232472324722</v>
      </c>
      <c r="GU6" s="16">
        <v>3</v>
      </c>
      <c r="GV6" s="6">
        <f>IFERROR(COUNTIF(Respostas_Formatadas!$BW:$BW,Tabulacao!GU6),"-")</f>
        <v>67</v>
      </c>
      <c r="GW6" s="19">
        <f t="shared" si="53"/>
        <v>0.24723247232472326</v>
      </c>
      <c r="GX6" s="16">
        <v>3</v>
      </c>
      <c r="GY6" s="6">
        <f>IFERROR(COUNTIF(Respostas_Formatadas!$BX:$BX,Tabulacao!GX6),"-")</f>
        <v>60</v>
      </c>
      <c r="GZ6" s="19">
        <f t="shared" si="54"/>
        <v>0.22140221402214022</v>
      </c>
      <c r="HA6" s="16">
        <v>3</v>
      </c>
      <c r="HB6" s="6">
        <f>COUNTIF(Respostas_Formatadas!$BY:$BY,Tabulacao!$HA6)</f>
        <v>35</v>
      </c>
      <c r="HC6" s="19">
        <f t="shared" si="55"/>
        <v>0.12915129151291513</v>
      </c>
      <c r="HD6" s="16">
        <v>3</v>
      </c>
      <c r="HE6" s="6">
        <f>COUNTIF(Respostas_Formatadas!$BZ:$BZ,Tabulacao!$HD6)</f>
        <v>41</v>
      </c>
      <c r="HF6" s="19">
        <f t="shared" si="56"/>
        <v>0.15129151291512916</v>
      </c>
      <c r="HG6" s="16">
        <v>3</v>
      </c>
      <c r="HH6" s="6">
        <f>COUNTIF(Respostas_Formatadas!$CA:$CA,Tabulacao!$HG6)</f>
        <v>27</v>
      </c>
      <c r="HI6" s="19">
        <f t="shared" si="57"/>
        <v>9.9630996309963096E-2</v>
      </c>
      <c r="HJ6" s="16">
        <v>3</v>
      </c>
      <c r="HK6" s="6">
        <f>COUNTIF(Respostas_Formatadas!$CB:$CB,Tabulacao!$HJ6)</f>
        <v>61</v>
      </c>
      <c r="HL6" s="19">
        <f t="shared" si="58"/>
        <v>0.22509225092250923</v>
      </c>
      <c r="HM6" s="16">
        <v>3</v>
      </c>
      <c r="HN6" s="6">
        <f>COUNTIF(Respostas_Formatadas!$CC:$CC,Tabulacao!$HM6)</f>
        <v>44</v>
      </c>
      <c r="HO6" s="19">
        <f t="shared" si="59"/>
        <v>0.16236162361623616</v>
      </c>
      <c r="HP6" s="16">
        <v>3</v>
      </c>
      <c r="HQ6" s="6">
        <f>COUNTIF(Respostas_Formatadas!$CD:$CD,Tabulacao!$HP6)</f>
        <v>56</v>
      </c>
      <c r="HR6" s="19">
        <f t="shared" si="60"/>
        <v>0.20664206642066421</v>
      </c>
      <c r="HS6" s="16">
        <v>3</v>
      </c>
      <c r="HT6" s="6">
        <f>COUNTIF(Respostas_Formatadas!$CE:$CE,Tabulacao!$HS6)</f>
        <v>77</v>
      </c>
      <c r="HU6" s="19">
        <f t="shared" si="61"/>
        <v>0.28413284132841327</v>
      </c>
      <c r="HV6" s="16">
        <v>3</v>
      </c>
      <c r="HW6" s="6">
        <f>COUNTIF(Respostas_Formatadas!$CF:$CF,Tabulacao!$HV6)</f>
        <v>73</v>
      </c>
      <c r="HX6" s="19">
        <f t="shared" si="62"/>
        <v>0.26937269372693728</v>
      </c>
      <c r="HY6" s="16">
        <v>3</v>
      </c>
      <c r="HZ6" s="6">
        <f>COUNTIF(Respostas_Formatadas!$CG:$CG,Tabulacao!$HY6)</f>
        <v>75</v>
      </c>
      <c r="IA6" s="19">
        <f t="shared" si="63"/>
        <v>0.2767527675276753</v>
      </c>
      <c r="IB6" s="3" t="s">
        <v>224</v>
      </c>
      <c r="IC6" s="6">
        <f>COUNTIF(Respostas_Formatadas!$CH:$CJ,Tabulacao!$IB6)</f>
        <v>20</v>
      </c>
      <c r="ID6" s="19">
        <f t="shared" si="64"/>
        <v>7.3800738007380073E-2</v>
      </c>
      <c r="IE6" s="3" t="s">
        <v>234</v>
      </c>
      <c r="IF6" s="6">
        <f>COUNTIF(Respostas_Formatadas!$CK:$CM,Tabulacao!$IE6)</f>
        <v>67</v>
      </c>
      <c r="IG6" s="19">
        <f t="shared" si="65"/>
        <v>0.24723247232472326</v>
      </c>
      <c r="IH6" s="3" t="s">
        <v>243</v>
      </c>
      <c r="II6" s="6">
        <f>COUNTIF(Respostas_Formatadas!$CN:$CN,Tabulacao!$IH6)</f>
        <v>2</v>
      </c>
      <c r="IJ6" s="19">
        <f t="shared" si="66"/>
        <v>7.3800738007380072E-3</v>
      </c>
      <c r="IL6" s="5"/>
      <c r="IN6" s="16">
        <v>3</v>
      </c>
      <c r="IO6" s="6">
        <f>COUNTIF(Respostas_Formatadas!$CP:$CP,Tabulacao!$IN6)</f>
        <v>68</v>
      </c>
      <c r="IP6" s="19">
        <f t="shared" si="67"/>
        <v>0.25092250922509224</v>
      </c>
      <c r="IQ6" s="16">
        <v>3</v>
      </c>
      <c r="IR6" s="6">
        <f>COUNTIF(Respostas_Formatadas!$CQ:$CQ,Tabulacao!$IQ6)</f>
        <v>47</v>
      </c>
      <c r="IS6" s="19">
        <f t="shared" si="68"/>
        <v>0.17343173431734318</v>
      </c>
      <c r="IU6" s="5"/>
      <c r="IW6" s="16">
        <v>3</v>
      </c>
      <c r="IX6" s="6">
        <f>COUNTIF(Respostas_Formatadas!$CS:$CS,Tabulacao!$IW6)</f>
        <v>99</v>
      </c>
      <c r="IY6" s="19">
        <f t="shared" si="70"/>
        <v>0.36531365313653136</v>
      </c>
      <c r="IZ6" s="16">
        <v>3</v>
      </c>
      <c r="JA6" s="6">
        <f>COUNTIF(Respostas_Formatadas!$CT:$CT,Tabulacao!$IZ6)</f>
        <v>74</v>
      </c>
      <c r="JB6" s="19">
        <f t="shared" si="71"/>
        <v>0.27306273062730629</v>
      </c>
      <c r="JC6" s="16">
        <v>3</v>
      </c>
      <c r="JD6" s="6">
        <f>COUNTIF(Respostas_Formatadas!$CU:$CU,Tabulacao!$JC6)</f>
        <v>72</v>
      </c>
      <c r="JE6" s="19">
        <f t="shared" si="72"/>
        <v>0.26568265682656828</v>
      </c>
      <c r="JF6" s="16">
        <v>3</v>
      </c>
      <c r="JG6" s="6">
        <f>COUNTIF(Respostas_Formatadas!$CV:$CV,Tabulacao!$JF6)</f>
        <v>59</v>
      </c>
      <c r="JH6" s="19">
        <f t="shared" si="73"/>
        <v>0.21771217712177121</v>
      </c>
      <c r="JI6" s="16">
        <v>3</v>
      </c>
      <c r="JJ6" s="6">
        <f>COUNTIF(Respostas_Formatadas!$CW:$CW,Tabulacao!$JI6)</f>
        <v>69</v>
      </c>
      <c r="JK6" s="19">
        <f t="shared" si="74"/>
        <v>0.25461254612546125</v>
      </c>
      <c r="JL6" s="16">
        <v>3</v>
      </c>
      <c r="JM6" s="6">
        <f>COUNTIF(Respostas_Formatadas!$CX:$CX,Tabulacao!$JL6)</f>
        <v>65</v>
      </c>
      <c r="JN6" s="19">
        <f t="shared" si="75"/>
        <v>0.23985239852398524</v>
      </c>
      <c r="JO6" s="16">
        <v>3</v>
      </c>
      <c r="JP6" s="6">
        <f>COUNTIF(Respostas_Formatadas!$CY:$CY,Tabulacao!$JO6)</f>
        <v>68</v>
      </c>
      <c r="JQ6" s="19">
        <f t="shared" si="76"/>
        <v>0.25092250922509224</v>
      </c>
      <c r="JR6" s="16">
        <v>3</v>
      </c>
      <c r="JS6" s="6">
        <f>COUNTIF(Respostas_Formatadas!$CZ:$CZ,Tabulacao!$JR6)</f>
        <v>59</v>
      </c>
      <c r="JT6" s="19">
        <f t="shared" si="77"/>
        <v>0.21771217712177121</v>
      </c>
      <c r="JU6" s="16">
        <v>3</v>
      </c>
      <c r="JV6" s="6">
        <f>COUNTIF(Respostas_Formatadas!$DA:$DA,Tabulacao!$JU6)</f>
        <v>77</v>
      </c>
      <c r="JW6" s="19">
        <f t="shared" si="78"/>
        <v>0.28413284132841327</v>
      </c>
      <c r="JX6" s="16">
        <v>3</v>
      </c>
      <c r="JY6" s="6">
        <f>COUNTIF(Respostas_Formatadas!$DB:$DB,Tabulacao!$JX6)</f>
        <v>80</v>
      </c>
      <c r="JZ6" s="19">
        <f t="shared" si="79"/>
        <v>0.29520295202952029</v>
      </c>
      <c r="KA6" s="16">
        <v>3</v>
      </c>
      <c r="KB6" s="6">
        <f>COUNTIF(Respostas_Formatadas!$DC:$DC,Tabulacao!$KA6)</f>
        <v>98</v>
      </c>
      <c r="KC6" s="19">
        <f t="shared" si="80"/>
        <v>0.36162361623616235</v>
      </c>
      <c r="KD6" s="16">
        <v>3</v>
      </c>
      <c r="KE6" s="6">
        <f>COUNTIF(Respostas_Formatadas!$DD:$DD,Tabulacao!$KD6)</f>
        <v>58</v>
      </c>
      <c r="KF6" s="19">
        <f t="shared" si="81"/>
        <v>0.2140221402214022</v>
      </c>
      <c r="KG6" s="16">
        <v>3</v>
      </c>
      <c r="KH6" s="6">
        <f>COUNTIF(Respostas_Formatadas!$DE:$DE,Tabulacao!$KG6)</f>
        <v>50</v>
      </c>
      <c r="KI6" s="19">
        <f t="shared" si="82"/>
        <v>0.18450184501845018</v>
      </c>
      <c r="KJ6" s="16">
        <v>3</v>
      </c>
      <c r="KK6" s="6">
        <f>COUNTIF(Respostas_Formatadas!$DF:$DF,Tabulacao!$KJ6)</f>
        <v>56</v>
      </c>
      <c r="KL6" s="19">
        <f t="shared" si="83"/>
        <v>0.20664206642066421</v>
      </c>
      <c r="KM6" s="16">
        <v>3</v>
      </c>
      <c r="KN6" s="6">
        <f>COUNTIF(Respostas_Formatadas!$DG:$DG,Tabulacao!$KM6)</f>
        <v>40</v>
      </c>
      <c r="KO6" s="19">
        <f t="shared" si="84"/>
        <v>0.14760147601476015</v>
      </c>
      <c r="KP6" s="16">
        <v>3</v>
      </c>
      <c r="KQ6" s="6">
        <f>COUNTIF(Respostas_Formatadas!$DH:$DH,Tabulacao!$KP6)</f>
        <v>79</v>
      </c>
      <c r="KR6" s="19">
        <f t="shared" si="85"/>
        <v>0.29151291512915128</v>
      </c>
      <c r="KS6" s="3" t="s">
        <v>251</v>
      </c>
      <c r="KT6" s="6">
        <f>COUNTIF(Respostas_Formatadas!$DI:$DI,Tabulacao!$KS6)</f>
        <v>8</v>
      </c>
      <c r="KU6" s="19">
        <f t="shared" si="86"/>
        <v>2.9520295202952029E-2</v>
      </c>
      <c r="KW6" s="5"/>
      <c r="KY6" s="3" t="s">
        <v>256</v>
      </c>
      <c r="KZ6" s="6">
        <f>COUNTIF(Respostas_Formatadas!$DK:$DP,Tabulacao!$KY6)</f>
        <v>66</v>
      </c>
      <c r="LA6" s="19">
        <f t="shared" si="87"/>
        <v>0.35483870967741937</v>
      </c>
      <c r="LB6" s="16">
        <v>3</v>
      </c>
      <c r="LC6" s="6">
        <f>COUNTIF(Respostas_Formatadas!$DQ:$DQ,Tabulacao!$LB6)</f>
        <v>24</v>
      </c>
      <c r="LD6" s="19">
        <f t="shared" si="88"/>
        <v>0.12903225806451613</v>
      </c>
      <c r="LF6" s="5"/>
      <c r="LH6" s="3" t="s">
        <v>260</v>
      </c>
      <c r="LI6" s="6">
        <f>COUNTIF(Respostas_Formatadas!$DS:$DX,Tabulacao!$LH6)</f>
        <v>81</v>
      </c>
      <c r="LJ6" s="19">
        <f t="shared" si="89"/>
        <v>0.57446808510638303</v>
      </c>
      <c r="LK6" s="16">
        <v>3</v>
      </c>
      <c r="LL6" s="6">
        <f>COUNTIF(Respostas_Formatadas!$DY:$DY,Tabulacao!$LK6)</f>
        <v>12</v>
      </c>
      <c r="LM6" s="19">
        <f t="shared" si="90"/>
        <v>8.5106382978723402E-2</v>
      </c>
      <c r="LO6" s="5"/>
      <c r="LQ6" s="16">
        <v>3</v>
      </c>
      <c r="LR6" s="6">
        <f>COUNTIF(Respostas_Formatadas!$EA:$EA,Tabulacao!$LQ6)</f>
        <v>15</v>
      </c>
      <c r="LS6" s="19">
        <f t="shared" si="91"/>
        <v>9.6153846153846159E-2</v>
      </c>
      <c r="LU6" s="5"/>
      <c r="LW6" s="3" t="s">
        <v>266</v>
      </c>
      <c r="LX6" s="6">
        <f>COUNTIF(Respostas_Formatadas!$EC:$EC,Tabulacao!$LW6)</f>
        <v>2</v>
      </c>
      <c r="LY6" s="19">
        <f t="shared" si="92"/>
        <v>7.3800738007380072E-3</v>
      </c>
      <c r="LZ6" s="3" t="s">
        <v>162</v>
      </c>
      <c r="MA6" s="6">
        <f>IFERROR(MEDIAN(Respostas_Formatadas!$ED$3:$ED$471),"-")</f>
        <v>28</v>
      </c>
      <c r="MC6" s="3" t="s">
        <v>659</v>
      </c>
      <c r="MD6" s="3" t="s">
        <v>399</v>
      </c>
      <c r="ME6" s="25">
        <v>12</v>
      </c>
      <c r="MF6" s="19">
        <f t="shared" si="2"/>
        <v>4.4280442804428041E-2</v>
      </c>
      <c r="MG6" s="3" t="s">
        <v>659</v>
      </c>
      <c r="MH6" s="3" t="s">
        <v>399</v>
      </c>
      <c r="MI6" s="25">
        <v>12</v>
      </c>
      <c r="MJ6" s="19">
        <f t="shared" si="3"/>
        <v>4.4280442804428041E-2</v>
      </c>
      <c r="MK6" s="3" t="s">
        <v>659</v>
      </c>
      <c r="ML6" s="3" t="s">
        <v>399</v>
      </c>
      <c r="MM6" s="25">
        <v>17</v>
      </c>
      <c r="MN6" s="19">
        <f t="shared" si="4"/>
        <v>6.273062730627306E-2</v>
      </c>
      <c r="MO6" s="3" t="s">
        <v>134</v>
      </c>
      <c r="MP6" s="6">
        <f>COUNTIF(Respostas_Formatadas!$EK:$EK,Tabulacao!$MO6)</f>
        <v>261</v>
      </c>
      <c r="MQ6" s="19">
        <f>IFERROR(MP6/SUM(MP$4:MP$6),"%")</f>
        <v>0.96309963099630991</v>
      </c>
      <c r="MR6" s="3" t="s">
        <v>134</v>
      </c>
      <c r="MS6" s="6">
        <f>COUNTIF(Respostas_Formatadas!$EL:$EL,Tabulacao!$MR6)</f>
        <v>267</v>
      </c>
      <c r="MT6" s="19">
        <f>IFERROR(MS6/SUM(MS$4:MS$6),"%")</f>
        <v>0.98523985239852396</v>
      </c>
      <c r="MU6" s="3" t="s">
        <v>134</v>
      </c>
      <c r="MV6" s="6">
        <f>COUNTIF(Respostas_Formatadas!$EM:$EM,Tabulacao!$MU6)</f>
        <v>268</v>
      </c>
      <c r="MW6" s="19">
        <f>IFERROR(MV6/SUM(MV$4:MV$6),"%")</f>
        <v>0.98892988929889303</v>
      </c>
      <c r="MX6" s="3" t="s">
        <v>134</v>
      </c>
      <c r="MY6" s="6">
        <f>COUNTIF(Respostas_Formatadas!$EN:$EN,Tabulacao!$MX6)</f>
        <v>265</v>
      </c>
      <c r="MZ6" s="19">
        <f>IFERROR(MY6/SUM(MY$4:MY$6),"%")</f>
        <v>0.97785977859778594</v>
      </c>
      <c r="NA6" s="3" t="s">
        <v>134</v>
      </c>
      <c r="NB6" s="6">
        <f>COUNTIF(Respostas_Formatadas!$EO:$EO,Tabulacao!$NA6)</f>
        <v>264</v>
      </c>
      <c r="NC6" s="19">
        <f>IFERROR(NB6/SUM(NB$4:NB$6),"%")</f>
        <v>0.97416974169741699</v>
      </c>
      <c r="ND6" s="3" t="s">
        <v>134</v>
      </c>
      <c r="NE6" s="6">
        <f>COUNTIF(Respostas_Formatadas!$EP:$EP,Tabulacao!$ND6)</f>
        <v>268</v>
      </c>
      <c r="NF6" s="19">
        <f>IFERROR(NE6/SUM(NE$4:NE$6),"%")</f>
        <v>0.98892988929889303</v>
      </c>
      <c r="NG6" s="3" t="s">
        <v>274</v>
      </c>
      <c r="NH6" s="6">
        <f>COUNTIF(Respostas_Formatadas!$EQ:$EQ,Tabulacao!$NG6)</f>
        <v>31</v>
      </c>
      <c r="NI6" s="19">
        <f t="shared" si="93"/>
        <v>0.12550607287449392</v>
      </c>
      <c r="NJ6" s="3" t="s">
        <v>274</v>
      </c>
      <c r="NK6" s="6">
        <f>COUNTIF(Respostas_Formatadas!$ES:$ES,Tabulacao!$NJ6)</f>
        <v>76</v>
      </c>
      <c r="NL6" s="19">
        <f t="shared" si="5"/>
        <v>0.30039525691699603</v>
      </c>
      <c r="NM6" s="3" t="s">
        <v>281</v>
      </c>
      <c r="NN6" s="6">
        <f>COUNTIF(Respostas_Formatadas!$EU:$EU,Tabulacao!$NM6)</f>
        <v>6</v>
      </c>
      <c r="NO6" s="19">
        <f t="shared" si="94"/>
        <v>2.2140221402214021E-2</v>
      </c>
      <c r="NP6" s="3" t="s">
        <v>283</v>
      </c>
      <c r="NQ6" s="6">
        <f>COUNTIF(Respostas_Formatadas!$EV:$EV,Tabulacao!$NP6)</f>
        <v>38</v>
      </c>
      <c r="NR6" s="19">
        <f t="shared" si="95"/>
        <v>0.14022140221402213</v>
      </c>
      <c r="NS6" s="3" t="s">
        <v>283</v>
      </c>
      <c r="NT6" s="6">
        <f>COUNTIF(Respostas_Formatadas!$EW:$EW,Tabulacao!$NS6)</f>
        <v>43</v>
      </c>
      <c r="NU6" s="19">
        <f t="shared" si="96"/>
        <v>0.15867158671586715</v>
      </c>
      <c r="OA6" s="5"/>
      <c r="OD6" s="5"/>
      <c r="OG6" s="16">
        <v>2007</v>
      </c>
      <c r="OH6" s="25">
        <f>IFERROR(COUNTIF(Respostas_Formatadas!$FE:$FE,Tabulacao!$OG6),"-")</f>
        <v>1</v>
      </c>
      <c r="OI6" s="19">
        <f t="shared" si="97"/>
        <v>3.6900369003690036E-3</v>
      </c>
      <c r="OJ6" s="3" t="s">
        <v>1064</v>
      </c>
      <c r="OK6" s="7">
        <f>IFERROR(LARGE(Respostas_Formatadas!$FF$3:$FF$273,1),"-")</f>
        <v>9.3510000000000009</v>
      </c>
    </row>
    <row r="7" spans="1:402" ht="15.75" customHeight="1" x14ac:dyDescent="0.2">
      <c r="D7" s="4" t="s">
        <v>122</v>
      </c>
      <c r="E7" s="6">
        <f>COUNTIF(Respostas_Formatadas!$C:$C,Tabulacao!$D7)</f>
        <v>22</v>
      </c>
      <c r="F7" s="19">
        <f t="shared" si="6"/>
        <v>8.1180811808118078E-2</v>
      </c>
      <c r="H7" s="5"/>
      <c r="J7" s="3" t="s">
        <v>138</v>
      </c>
      <c r="K7" s="6">
        <f>COUNTIF(Respostas_Formatadas!$E:$G,Tabulacao!$J7)</f>
        <v>43</v>
      </c>
      <c r="L7" s="19">
        <f t="shared" si="7"/>
        <v>0.41747572815533979</v>
      </c>
      <c r="M7" s="3" t="s">
        <v>144</v>
      </c>
      <c r="N7" s="6">
        <f>COUNTIF(Respostas_Formatadas!$H:$L,Tabulacao!$M7)</f>
        <v>70</v>
      </c>
      <c r="O7" s="19">
        <f t="shared" si="8"/>
        <v>0.67961165048543692</v>
      </c>
      <c r="P7" s="3" t="s">
        <v>149</v>
      </c>
      <c r="Q7" s="6">
        <f>COUNTIF(Respostas_Formatadas!$M:$M,Tabulacao!$P7)</f>
        <v>11</v>
      </c>
      <c r="R7" s="19">
        <f t="shared" si="9"/>
        <v>4.0590405904059039E-2</v>
      </c>
      <c r="T7" s="5"/>
      <c r="W7" s="5"/>
      <c r="Z7" s="5"/>
      <c r="AC7" s="5"/>
      <c r="AF7" s="5"/>
      <c r="AH7" s="3" t="s">
        <v>471</v>
      </c>
      <c r="AI7" s="6">
        <f>IFERROR(COUNTIF(Respostas_Formatadas!$S:$S,$AH7),"-")</f>
        <v>1</v>
      </c>
      <c r="AJ7" s="19">
        <f t="shared" si="0"/>
        <v>1.7543859649122806E-2</v>
      </c>
      <c r="AL7" s="5"/>
      <c r="AN7" s="3" t="s">
        <v>159</v>
      </c>
      <c r="AO7" s="6">
        <f>COUNTIF(Respostas_Formatadas!$U:$U,Tabulacao!$AN7)</f>
        <v>22</v>
      </c>
      <c r="AP7" s="19">
        <f t="shared" si="11"/>
        <v>0.37931034482758619</v>
      </c>
      <c r="AQ7" s="16">
        <v>4</v>
      </c>
      <c r="AR7" s="6">
        <f>COUNTIF(Respostas_Formatadas!$V:$V,Tabulacao!$AQ7)</f>
        <v>12</v>
      </c>
      <c r="AS7" s="19">
        <f t="shared" si="12"/>
        <v>0.20689655172413793</v>
      </c>
      <c r="AT7" s="16">
        <v>4</v>
      </c>
      <c r="AU7" s="6">
        <f>COUNTIF(Respostas_Formatadas!$W:$W,Tabulacao!$AT7)</f>
        <v>5</v>
      </c>
      <c r="AV7" s="19">
        <f t="shared" si="13"/>
        <v>8.6206896551724144E-2</v>
      </c>
      <c r="AW7" s="16">
        <v>4</v>
      </c>
      <c r="AX7" s="6">
        <f>COUNTIF(Respostas_Formatadas!$X:$X,Tabulacao!$AW7)</f>
        <v>8</v>
      </c>
      <c r="AY7" s="19">
        <f t="shared" si="14"/>
        <v>0.13793103448275862</v>
      </c>
      <c r="BA7" s="5"/>
      <c r="BC7" s="3" t="s">
        <v>170</v>
      </c>
      <c r="BD7" s="6">
        <f>COUNTIF(Respostas_Formatadas!$Z:$Z,Tabulacao!$BC7)</f>
        <v>5</v>
      </c>
      <c r="BE7" s="19">
        <f t="shared" si="16"/>
        <v>0.05</v>
      </c>
      <c r="BF7" s="3" t="s">
        <v>174</v>
      </c>
      <c r="BG7" s="6">
        <f>COUNTIF(Respostas_Formatadas!$AA:$AA,Tabulacao!$BF7)</f>
        <v>16</v>
      </c>
      <c r="BH7" s="19">
        <f t="shared" si="17"/>
        <v>0.16</v>
      </c>
      <c r="BI7" s="3" t="s">
        <v>178</v>
      </c>
      <c r="BJ7" s="6">
        <f>COUNTIF(Respostas_Formatadas!$AB:$AB,Tabulacao!$BI7)</f>
        <v>13</v>
      </c>
      <c r="BK7" s="19">
        <f t="shared" si="18"/>
        <v>0.13</v>
      </c>
      <c r="BL7" s="3" t="s">
        <v>178</v>
      </c>
      <c r="BM7" s="6">
        <f>COUNTIF(Respostas_Formatadas!$AC:$AC,Tabulacao!$BL7)</f>
        <v>9</v>
      </c>
      <c r="BN7" s="19">
        <f t="shared" si="19"/>
        <v>0.12162162162162163</v>
      </c>
      <c r="BO7" s="19"/>
      <c r="BP7" s="3" t="str">
        <f>Respostas_Formatadas!C7</f>
        <v>Licenciatura em Química</v>
      </c>
      <c r="BQ7" s="3">
        <f>Respostas_Formatadas!AD7</f>
        <v>0</v>
      </c>
      <c r="BS7" s="5"/>
      <c r="BU7" s="16">
        <v>4</v>
      </c>
      <c r="BV7" s="6">
        <f>COUNTIF(Respostas_Formatadas!$AE:$AE,Tabulacao!$BU7)</f>
        <v>31</v>
      </c>
      <c r="BW7" s="19">
        <f t="shared" si="20"/>
        <v>0.17816091954022989</v>
      </c>
      <c r="BX7" s="3" t="s">
        <v>190</v>
      </c>
      <c r="BY7" s="6">
        <f>COUNTIF(Respostas_Formatadas!$AG:$AG,Tabulacao!$BX7)</f>
        <v>61</v>
      </c>
      <c r="BZ7" s="19">
        <f t="shared" si="21"/>
        <v>0.35057471264367818</v>
      </c>
      <c r="CB7" s="5"/>
      <c r="CD7" s="3" t="s">
        <v>163</v>
      </c>
      <c r="CE7" s="67">
        <f>IFERROR(STDEVA(Respostas_Formatadas!$AI$3:$AI$471),"-")</f>
        <v>1895.7417931068505</v>
      </c>
      <c r="CG7" s="16">
        <v>4</v>
      </c>
      <c r="CH7" s="6">
        <f>COUNTIF(Respostas_Formatadas!$AJ:$AJ,Tabulacao!$CG7)</f>
        <v>42</v>
      </c>
      <c r="CI7" s="19">
        <f t="shared" si="22"/>
        <v>0.2413793103448276</v>
      </c>
      <c r="CJ7" s="16">
        <v>4</v>
      </c>
      <c r="CK7" s="6">
        <f>COUNTIF(Respostas_Formatadas!$AK:$AK,Tabulacao!$CJ7)</f>
        <v>42</v>
      </c>
      <c r="CL7" s="19">
        <f t="shared" si="23"/>
        <v>0.2413793103448276</v>
      </c>
      <c r="CN7" s="5"/>
      <c r="CP7" s="3" t="s">
        <v>170</v>
      </c>
      <c r="CQ7" s="6">
        <f>COUNTIF(Respostas_Formatadas!$AM:$AM,Tabulacao!$CP7)</f>
        <v>25</v>
      </c>
      <c r="CR7" s="19">
        <f t="shared" si="24"/>
        <v>0.31645569620253167</v>
      </c>
      <c r="CS7" s="3" t="s">
        <v>975</v>
      </c>
      <c r="CT7" s="6">
        <f>MAX(Respostas_Formatadas!$AN$3:$AN$273)</f>
        <v>6</v>
      </c>
      <c r="CW7" s="5"/>
      <c r="CY7" s="3" t="str">
        <f t="shared" si="1"/>
        <v>Licenciatura em Química</v>
      </c>
      <c r="CZ7" s="3">
        <f>Respostas_Formatadas!AP7</f>
        <v>0</v>
      </c>
      <c r="DB7" s="5"/>
      <c r="DD7" s="3" t="s">
        <v>161</v>
      </c>
      <c r="DE7" s="67">
        <f>IFERROR(_xlfn.MODE.SNGL(Respostas_Formatadas!$AQ:$AQ),"-")</f>
        <v>1500</v>
      </c>
      <c r="DG7" s="16">
        <v>4</v>
      </c>
      <c r="DH7" s="6">
        <f>COUNTIF(Respostas_Formatadas!$AR:$AR,Tabulacao!$DG7)</f>
        <v>26</v>
      </c>
      <c r="DI7" s="19">
        <f t="shared" si="26"/>
        <v>0.16560509554140126</v>
      </c>
      <c r="DJ7" s="16">
        <v>4</v>
      </c>
      <c r="DK7" s="6">
        <f>COUNTIF(Respostas_Formatadas!$AS:$AS,Tabulacao!$DJ7)</f>
        <v>32</v>
      </c>
      <c r="DL7" s="19">
        <f t="shared" si="27"/>
        <v>0.20382165605095542</v>
      </c>
      <c r="DM7" s="16">
        <v>4</v>
      </c>
      <c r="DN7" s="6">
        <f>COUNTIF(Respostas_Formatadas!$AT:$AT,Tabulacao!$DM7)</f>
        <v>24</v>
      </c>
      <c r="DO7" s="19">
        <f t="shared" si="28"/>
        <v>0.15286624203821655</v>
      </c>
      <c r="DP7" s="16">
        <v>4</v>
      </c>
      <c r="DQ7" s="6">
        <f>COUNTIF(Respostas_Formatadas!$AU:$AU,Tabulacao!$DP7)</f>
        <v>55</v>
      </c>
      <c r="DR7" s="19">
        <f t="shared" si="29"/>
        <v>0.3503184713375796</v>
      </c>
      <c r="DS7" s="16">
        <v>4</v>
      </c>
      <c r="DT7" s="6">
        <f>COUNTIF(Respostas_Formatadas!$AV:$AV,Tabulacao!$DS7)</f>
        <v>37</v>
      </c>
      <c r="DU7" s="19">
        <f t="shared" ref="DU7:DU8" si="98">IFERROR(DT7/SUM(DT$4:DT$8),"%")</f>
        <v>0.2356687898089172</v>
      </c>
      <c r="DV7" s="3" t="s">
        <v>195</v>
      </c>
      <c r="DW7" s="6">
        <f>COUNTIF(Respostas_Formatadas!$AW:$AW,Tabulacao!$DV7)</f>
        <v>0</v>
      </c>
      <c r="DX7" s="19">
        <f t="shared" si="30"/>
        <v>0</v>
      </c>
      <c r="DY7" s="3" t="s">
        <v>206</v>
      </c>
      <c r="DZ7" s="6">
        <f>COUNTIF(Respostas_Formatadas!$AX:$AX,Tabulacao!$DY7)</f>
        <v>77</v>
      </c>
      <c r="EA7" s="19">
        <f t="shared" si="31"/>
        <v>0.49044585987261147</v>
      </c>
      <c r="EB7" s="3" t="s">
        <v>211</v>
      </c>
      <c r="EC7" s="6">
        <f>COUNTIF(Respostas_Formatadas!$AY:$AY,Tabulacao!$EB7)</f>
        <v>13</v>
      </c>
      <c r="ED7" s="19">
        <f t="shared" si="32"/>
        <v>8.7837837837837843E-2</v>
      </c>
      <c r="EF7" s="5"/>
      <c r="EH7" s="3" t="s">
        <v>170</v>
      </c>
      <c r="EI7" s="6">
        <f>COUNTIF(Respostas_Formatadas!$BA:$BA,Tabulacao!$EH7)</f>
        <v>82</v>
      </c>
      <c r="EJ7" s="19">
        <f t="shared" si="33"/>
        <v>0.56944444444444442</v>
      </c>
      <c r="EK7" s="3" t="s">
        <v>121</v>
      </c>
      <c r="EM7" s="3" t="s">
        <v>399</v>
      </c>
      <c r="EN7" s="25">
        <f>COUNTIF(Respostas_Formatadas!$BC:$BC,Tabulacao!EM7)</f>
        <v>5</v>
      </c>
      <c r="EP7" s="3" t="s">
        <v>190</v>
      </c>
      <c r="EQ7" s="6">
        <f>COUNTIF(Respostas_Formatadas!$BD:$BD,Tabulacao!$EP7)</f>
        <v>64</v>
      </c>
      <c r="ER7" s="19">
        <f t="shared" si="34"/>
        <v>0.44444444444444442</v>
      </c>
      <c r="ES7" s="3" t="s">
        <v>217</v>
      </c>
      <c r="ET7" s="6">
        <f>COUNTIF(Respostas_Formatadas!$BE:$BE,Tabulacao!$ES7)</f>
        <v>11</v>
      </c>
      <c r="EU7" s="19">
        <f t="shared" si="35"/>
        <v>0.57894736842105265</v>
      </c>
      <c r="EV7" s="3" t="s">
        <v>221</v>
      </c>
      <c r="EW7" s="6">
        <f>IFERROR(COUNTIF(Respostas_Formatadas!$BF:$BF,Tabulacao!$EV7),"-")</f>
        <v>21</v>
      </c>
      <c r="EX7" s="19">
        <f t="shared" si="36"/>
        <v>0.34426229508196721</v>
      </c>
      <c r="EY7" s="16">
        <v>4</v>
      </c>
      <c r="EZ7" s="6">
        <f>IFERROR(COUNTIF(Respostas_Formatadas!$BG:$BG,Tabulacao!EY7),"-")</f>
        <v>42</v>
      </c>
      <c r="FA7" s="19">
        <f t="shared" si="37"/>
        <v>0.26751592356687898</v>
      </c>
      <c r="FB7" s="16">
        <v>4</v>
      </c>
      <c r="FC7" s="6">
        <f>IFERROR(COUNTIF(Respostas_Formatadas!$BH:$BH,Tabulacao!FB7),"-")</f>
        <v>56</v>
      </c>
      <c r="FD7" s="19">
        <f t="shared" si="38"/>
        <v>0.35668789808917195</v>
      </c>
      <c r="FE7" s="16">
        <v>4</v>
      </c>
      <c r="FF7" s="6">
        <f>IFERROR(COUNTIF(Respostas_Formatadas!$BI:$BI,Tabulacao!FE7),"-")</f>
        <v>54</v>
      </c>
      <c r="FG7" s="19">
        <f t="shared" si="39"/>
        <v>0.34394904458598724</v>
      </c>
      <c r="FH7" s="16">
        <v>4</v>
      </c>
      <c r="FI7" s="6">
        <f>IFERROR(COUNTIF(Respostas_Formatadas!$BJ:$BJ,Tabulacao!FH7),"-")</f>
        <v>32</v>
      </c>
      <c r="FJ7" s="19">
        <f t="shared" si="40"/>
        <v>0.20382165605095542</v>
      </c>
      <c r="FK7" s="16">
        <v>4</v>
      </c>
      <c r="FL7" s="6">
        <f>IFERROR(COUNTIF(Respostas_Formatadas!$BK:$BK,Tabulacao!FK7),"-")</f>
        <v>41</v>
      </c>
      <c r="FM7" s="19">
        <f t="shared" si="41"/>
        <v>0.26114649681528662</v>
      </c>
      <c r="FN7" s="16">
        <v>4</v>
      </c>
      <c r="FO7" s="6">
        <f>IFERROR(COUNTIF(Respostas_Formatadas!$BL:$BL,Tabulacao!FN7),"-")</f>
        <v>39</v>
      </c>
      <c r="FP7" s="19">
        <f t="shared" si="42"/>
        <v>0.24840764331210191</v>
      </c>
      <c r="FQ7" s="16">
        <v>4</v>
      </c>
      <c r="FR7" s="6">
        <f>IFERROR(COUNTIF(Respostas_Formatadas!$BM:$BM,Tabulacao!FQ7),"-")</f>
        <v>40</v>
      </c>
      <c r="FS7" s="19">
        <f t="shared" si="43"/>
        <v>0.25477707006369427</v>
      </c>
      <c r="FT7" s="16">
        <v>4</v>
      </c>
      <c r="FU7" s="6">
        <f>IFERROR(COUNTIF(Respostas_Formatadas!$BN:$BN,Tabulacao!FT7),"-")</f>
        <v>39</v>
      </c>
      <c r="FV7" s="19">
        <f t="shared" si="44"/>
        <v>0.24840764331210191</v>
      </c>
      <c r="FW7" s="16">
        <v>4</v>
      </c>
      <c r="FX7" s="6">
        <f>IFERROR(COUNTIF(Respostas_Formatadas!$BO:$BO,Tabulacao!FW7),"-")</f>
        <v>64</v>
      </c>
      <c r="FY7" s="19">
        <f t="shared" si="45"/>
        <v>0.40764331210191085</v>
      </c>
      <c r="FZ7" s="16">
        <v>4</v>
      </c>
      <c r="GA7" s="6">
        <f>IFERROR(COUNTIF(Respostas_Formatadas!$BP:$BP,Tabulacao!FZ7),"-")</f>
        <v>44</v>
      </c>
      <c r="GB7" s="19">
        <f t="shared" si="46"/>
        <v>0.28025477707006369</v>
      </c>
      <c r="GC7" s="16">
        <v>4</v>
      </c>
      <c r="GD7" s="6">
        <f>IFERROR(COUNTIF(Respostas_Formatadas!$BQ:$BQ,Tabulacao!GC7),"-")</f>
        <v>39</v>
      </c>
      <c r="GE7" s="19">
        <f t="shared" si="47"/>
        <v>0.24840764331210191</v>
      </c>
      <c r="GF7" s="16">
        <v>4</v>
      </c>
      <c r="GG7" s="6">
        <f>IFERROR(COUNTIF(Respostas_Formatadas!$BR:$BR,Tabulacao!GF7),"-")</f>
        <v>35</v>
      </c>
      <c r="GH7" s="19">
        <f t="shared" si="48"/>
        <v>0.22292993630573249</v>
      </c>
      <c r="GI7" s="16">
        <v>4</v>
      </c>
      <c r="GJ7" s="6">
        <f>IFERROR(COUNTIF(Respostas_Formatadas!$BS:$BS,Tabulacao!GI7),"-")</f>
        <v>13</v>
      </c>
      <c r="GK7" s="19">
        <f t="shared" si="49"/>
        <v>8.2802547770700632E-2</v>
      </c>
      <c r="GL7" s="16">
        <v>4</v>
      </c>
      <c r="GM7" s="6">
        <f>IFERROR(COUNTIF(Respostas_Formatadas!$BT:$BT,Tabulacao!GL7),"-")</f>
        <v>112</v>
      </c>
      <c r="GN7" s="19">
        <f t="shared" si="50"/>
        <v>0.41328413284132842</v>
      </c>
      <c r="GO7" s="16">
        <v>4</v>
      </c>
      <c r="GP7" s="6">
        <f>IFERROR(COUNTIF(Respostas_Formatadas!$BU:$BU,Tabulacao!GO7),"-")</f>
        <v>102</v>
      </c>
      <c r="GQ7" s="19">
        <f t="shared" si="51"/>
        <v>0.37638376383763839</v>
      </c>
      <c r="GR7" s="16">
        <v>4</v>
      </c>
      <c r="GS7" s="6">
        <f>IFERROR(COUNTIF(Respostas_Formatadas!$BV:$BV,Tabulacao!GR7),"-")</f>
        <v>126</v>
      </c>
      <c r="GT7" s="19">
        <f t="shared" si="52"/>
        <v>0.46494464944649444</v>
      </c>
      <c r="GU7" s="16">
        <v>4</v>
      </c>
      <c r="GV7" s="6">
        <f>IFERROR(COUNTIF(Respostas_Formatadas!$BW:$BW,Tabulacao!GU7),"-")</f>
        <v>100</v>
      </c>
      <c r="GW7" s="19">
        <f t="shared" si="53"/>
        <v>0.36900369003690037</v>
      </c>
      <c r="GX7" s="16">
        <v>4</v>
      </c>
      <c r="GY7" s="6">
        <f>IFERROR(COUNTIF(Respostas_Formatadas!$BX:$BX,Tabulacao!GX7),"-")</f>
        <v>106</v>
      </c>
      <c r="GZ7" s="19">
        <f t="shared" si="54"/>
        <v>0.39114391143911437</v>
      </c>
      <c r="HA7" s="16">
        <v>4</v>
      </c>
      <c r="HB7" s="6">
        <f>COUNTIF(Respostas_Formatadas!$BY:$BY,Tabulacao!$HA7)</f>
        <v>99</v>
      </c>
      <c r="HC7" s="19">
        <f t="shared" si="55"/>
        <v>0.36531365313653136</v>
      </c>
      <c r="HD7" s="16">
        <v>4</v>
      </c>
      <c r="HE7" s="6">
        <f>COUNTIF(Respostas_Formatadas!$BZ:$BZ,Tabulacao!$HD7)</f>
        <v>109</v>
      </c>
      <c r="HF7" s="19">
        <f t="shared" si="56"/>
        <v>0.40221402214022139</v>
      </c>
      <c r="HG7" s="16">
        <v>4</v>
      </c>
      <c r="HH7" s="6">
        <f>COUNTIF(Respostas_Formatadas!$CA:$CA,Tabulacao!$HG7)</f>
        <v>92</v>
      </c>
      <c r="HI7" s="19">
        <f t="shared" si="57"/>
        <v>0.33948339483394835</v>
      </c>
      <c r="HJ7" s="16">
        <v>4</v>
      </c>
      <c r="HK7" s="6">
        <f>COUNTIF(Respostas_Formatadas!$CB:$CB,Tabulacao!$HJ7)</f>
        <v>119</v>
      </c>
      <c r="HL7" s="19">
        <f t="shared" si="58"/>
        <v>0.43911439114391143</v>
      </c>
      <c r="HM7" s="16">
        <v>4</v>
      </c>
      <c r="HN7" s="6">
        <f>COUNTIF(Respostas_Formatadas!$CC:$CC,Tabulacao!$HM7)</f>
        <v>121</v>
      </c>
      <c r="HO7" s="19">
        <f t="shared" si="59"/>
        <v>0.44649446494464945</v>
      </c>
      <c r="HP7" s="16">
        <v>4</v>
      </c>
      <c r="HQ7" s="6">
        <f>COUNTIF(Respostas_Formatadas!$CD:$CD,Tabulacao!$HP7)</f>
        <v>102</v>
      </c>
      <c r="HR7" s="19">
        <f t="shared" si="60"/>
        <v>0.37638376383763839</v>
      </c>
      <c r="HS7" s="16">
        <v>4</v>
      </c>
      <c r="HT7" s="6">
        <f>COUNTIF(Respostas_Formatadas!$CE:$CE,Tabulacao!$HS7)</f>
        <v>92</v>
      </c>
      <c r="HU7" s="19">
        <f t="shared" si="61"/>
        <v>0.33948339483394835</v>
      </c>
      <c r="HV7" s="16">
        <v>4</v>
      </c>
      <c r="HW7" s="6">
        <f>COUNTIF(Respostas_Formatadas!$CF:$CF,Tabulacao!$HV7)</f>
        <v>39</v>
      </c>
      <c r="HX7" s="19">
        <f t="shared" si="62"/>
        <v>0.14391143911439114</v>
      </c>
      <c r="HY7" s="16">
        <v>4</v>
      </c>
      <c r="HZ7" s="6">
        <f>COUNTIF(Respostas_Formatadas!$CG:$CG,Tabulacao!$HY7)</f>
        <v>62</v>
      </c>
      <c r="IA7" s="19">
        <f t="shared" si="63"/>
        <v>0.22878228782287824</v>
      </c>
      <c r="IB7" s="3" t="s">
        <v>225</v>
      </c>
      <c r="IC7" s="6">
        <f>COUNTIF(Respostas_Formatadas!$CH:$CJ,Tabulacao!$IB7)</f>
        <v>105</v>
      </c>
      <c r="ID7" s="19">
        <f t="shared" si="64"/>
        <v>0.38745387453874541</v>
      </c>
      <c r="IE7" s="3" t="s">
        <v>225</v>
      </c>
      <c r="IF7" s="6">
        <f>COUNTIF(Respostas_Formatadas!$CK:$CM,Tabulacao!$IE7)</f>
        <v>6</v>
      </c>
      <c r="IG7" s="19">
        <f t="shared" si="65"/>
        <v>2.2140221402214021E-2</v>
      </c>
      <c r="IH7" s="3" t="s">
        <v>244</v>
      </c>
      <c r="II7" s="6">
        <f>COUNTIF(Respostas_Formatadas!$CN:$CN,Tabulacao!$IH7)</f>
        <v>0</v>
      </c>
      <c r="IJ7" s="19">
        <f t="shared" si="66"/>
        <v>0</v>
      </c>
      <c r="IL7" s="5"/>
      <c r="IN7" s="16">
        <v>4</v>
      </c>
      <c r="IO7" s="6">
        <f>COUNTIF(Respostas_Formatadas!$CP:$CP,Tabulacao!$IN7)</f>
        <v>53</v>
      </c>
      <c r="IP7" s="19">
        <f t="shared" si="67"/>
        <v>0.19557195571955718</v>
      </c>
      <c r="IQ7" s="16">
        <v>4</v>
      </c>
      <c r="IR7" s="6">
        <f>COUNTIF(Respostas_Formatadas!$CQ:$CQ,Tabulacao!$IQ7)</f>
        <v>98</v>
      </c>
      <c r="IS7" s="19">
        <f t="shared" si="68"/>
        <v>0.36162361623616235</v>
      </c>
      <c r="IU7" s="5"/>
      <c r="IW7" s="16">
        <v>4</v>
      </c>
      <c r="IX7" s="6">
        <f>COUNTIF(Respostas_Formatadas!$CS:$CS,Tabulacao!$IW7)</f>
        <v>67</v>
      </c>
      <c r="IY7" s="19">
        <f t="shared" si="70"/>
        <v>0.24723247232472326</v>
      </c>
      <c r="IZ7" s="16">
        <v>4</v>
      </c>
      <c r="JA7" s="6">
        <f>COUNTIF(Respostas_Formatadas!$CT:$CT,Tabulacao!$IZ7)</f>
        <v>69</v>
      </c>
      <c r="JB7" s="19">
        <f t="shared" si="71"/>
        <v>0.25461254612546125</v>
      </c>
      <c r="JC7" s="16">
        <v>4</v>
      </c>
      <c r="JD7" s="6">
        <f>COUNTIF(Respostas_Formatadas!$CU:$CU,Tabulacao!$JC7)</f>
        <v>57</v>
      </c>
      <c r="JE7" s="19">
        <f t="shared" si="72"/>
        <v>0.21033210332103322</v>
      </c>
      <c r="JF7" s="16">
        <v>4</v>
      </c>
      <c r="JG7" s="6">
        <f>COUNTIF(Respostas_Formatadas!$CV:$CV,Tabulacao!$JF7)</f>
        <v>41</v>
      </c>
      <c r="JH7" s="19">
        <f t="shared" si="73"/>
        <v>0.15129151291512916</v>
      </c>
      <c r="JI7" s="16">
        <v>4</v>
      </c>
      <c r="JJ7" s="6">
        <f>COUNTIF(Respostas_Formatadas!$CW:$CW,Tabulacao!$JI7)</f>
        <v>87</v>
      </c>
      <c r="JK7" s="19">
        <f t="shared" si="74"/>
        <v>0.3210332103321033</v>
      </c>
      <c r="JL7" s="16">
        <v>4</v>
      </c>
      <c r="JM7" s="6">
        <f>COUNTIF(Respostas_Formatadas!$CX:$CX,Tabulacao!$JL7)</f>
        <v>101</v>
      </c>
      <c r="JN7" s="19">
        <f t="shared" si="75"/>
        <v>0.37269372693726938</v>
      </c>
      <c r="JO7" s="16">
        <v>4</v>
      </c>
      <c r="JP7" s="6">
        <f>COUNTIF(Respostas_Formatadas!$CY:$CY,Tabulacao!$JO7)</f>
        <v>101</v>
      </c>
      <c r="JQ7" s="19">
        <f t="shared" si="76"/>
        <v>0.37269372693726938</v>
      </c>
      <c r="JR7" s="16">
        <v>4</v>
      </c>
      <c r="JS7" s="6">
        <f>COUNTIF(Respostas_Formatadas!$CZ:$CZ,Tabulacao!$JR7)</f>
        <v>100</v>
      </c>
      <c r="JT7" s="19">
        <f t="shared" si="77"/>
        <v>0.36900369003690037</v>
      </c>
      <c r="JU7" s="16">
        <v>4</v>
      </c>
      <c r="JV7" s="6">
        <f>COUNTIF(Respostas_Formatadas!$DA:$DA,Tabulacao!$JU7)</f>
        <v>66</v>
      </c>
      <c r="JW7" s="19">
        <f t="shared" si="78"/>
        <v>0.24354243542435425</v>
      </c>
      <c r="JX7" s="16">
        <v>4</v>
      </c>
      <c r="JY7" s="6">
        <f>COUNTIF(Respostas_Formatadas!$DB:$DB,Tabulacao!$JX7)</f>
        <v>65</v>
      </c>
      <c r="JZ7" s="19">
        <f t="shared" si="79"/>
        <v>0.23985239852398524</v>
      </c>
      <c r="KA7" s="16">
        <v>4</v>
      </c>
      <c r="KB7" s="6">
        <f>COUNTIF(Respostas_Formatadas!$DC:$DC,Tabulacao!$KA7)</f>
        <v>58</v>
      </c>
      <c r="KC7" s="19">
        <f t="shared" si="80"/>
        <v>0.2140221402214022</v>
      </c>
      <c r="KD7" s="16">
        <v>4</v>
      </c>
      <c r="KE7" s="6">
        <f>COUNTIF(Respostas_Formatadas!$DD:$DD,Tabulacao!$KD7)</f>
        <v>88</v>
      </c>
      <c r="KF7" s="19">
        <f t="shared" si="81"/>
        <v>0.32472324723247231</v>
      </c>
      <c r="KG7" s="16">
        <v>4</v>
      </c>
      <c r="KH7" s="6">
        <f>COUNTIF(Respostas_Formatadas!$DE:$DE,Tabulacao!$KG7)</f>
        <v>95</v>
      </c>
      <c r="KI7" s="19">
        <f t="shared" si="82"/>
        <v>0.35055350553505538</v>
      </c>
      <c r="KJ7" s="16">
        <v>4</v>
      </c>
      <c r="KK7" s="6">
        <f>COUNTIF(Respostas_Formatadas!$DF:$DF,Tabulacao!$KJ7)</f>
        <v>87</v>
      </c>
      <c r="KL7" s="19">
        <f t="shared" si="83"/>
        <v>0.3210332103321033</v>
      </c>
      <c r="KM7" s="16">
        <v>4</v>
      </c>
      <c r="KN7" s="6">
        <f>COUNTIF(Respostas_Formatadas!$DG:$DG,Tabulacao!$KM7)</f>
        <v>89</v>
      </c>
      <c r="KO7" s="19">
        <f t="shared" si="84"/>
        <v>0.32841328413284132</v>
      </c>
      <c r="KP7" s="16">
        <v>4</v>
      </c>
      <c r="KQ7" s="6">
        <f>COUNTIF(Respostas_Formatadas!$DH:$DH,Tabulacao!$KP7)</f>
        <v>71</v>
      </c>
      <c r="KR7" s="19">
        <f t="shared" si="85"/>
        <v>0.26199261992619927</v>
      </c>
      <c r="KS7" s="3" t="s">
        <v>252</v>
      </c>
      <c r="KT7" s="6">
        <f>COUNTIF(Respostas_Formatadas!$DI:$DI,Tabulacao!$KS7)</f>
        <v>30</v>
      </c>
      <c r="KU7" s="19">
        <f t="shared" si="86"/>
        <v>0.11070110701107011</v>
      </c>
      <c r="KW7" s="5"/>
      <c r="KY7" s="3" t="s">
        <v>257</v>
      </c>
      <c r="KZ7" s="6">
        <f>COUNTIF(Respostas_Formatadas!$DK:$DP,Tabulacao!$KY7)</f>
        <v>78</v>
      </c>
      <c r="LA7" s="19">
        <f t="shared" si="87"/>
        <v>0.41935483870967744</v>
      </c>
      <c r="LB7" s="16">
        <v>4</v>
      </c>
      <c r="LC7" s="6">
        <f>COUNTIF(Respostas_Formatadas!$DQ:$DQ,Tabulacao!$LB7)</f>
        <v>44</v>
      </c>
      <c r="LD7" s="19">
        <f t="shared" si="88"/>
        <v>0.23655913978494625</v>
      </c>
      <c r="LF7" s="5"/>
      <c r="LH7" s="3" t="s">
        <v>261</v>
      </c>
      <c r="LI7" s="6">
        <f>COUNTIF(Respostas_Formatadas!$DS:$DX,Tabulacao!$LH7)</f>
        <v>72</v>
      </c>
      <c r="LJ7" s="19">
        <f t="shared" si="89"/>
        <v>0.51063829787234039</v>
      </c>
      <c r="LK7" s="16">
        <v>4</v>
      </c>
      <c r="LL7" s="6">
        <f>COUNTIF(Respostas_Formatadas!$DY:$DY,Tabulacao!$LK7)</f>
        <v>39</v>
      </c>
      <c r="LM7" s="19">
        <f t="shared" si="90"/>
        <v>0.27659574468085107</v>
      </c>
      <c r="LO7" s="5"/>
      <c r="LQ7" s="16">
        <v>4</v>
      </c>
      <c r="LR7" s="6">
        <f>COUNTIF(Respostas_Formatadas!$EA:$EA,Tabulacao!$LQ7)</f>
        <v>27</v>
      </c>
      <c r="LS7" s="19">
        <f t="shared" si="91"/>
        <v>0.17307692307692307</v>
      </c>
      <c r="LU7" s="5"/>
      <c r="LW7" s="3" t="s">
        <v>267</v>
      </c>
      <c r="LX7" s="6">
        <f>COUNTIF(Respostas_Formatadas!$EC:$EC,Tabulacao!$LW7)</f>
        <v>171</v>
      </c>
      <c r="LY7" s="19">
        <f t="shared" si="92"/>
        <v>0.63099630996309963</v>
      </c>
      <c r="LZ7" s="3" t="s">
        <v>163</v>
      </c>
      <c r="MA7" s="29">
        <f>IFERROR(STDEVA(Respostas_Formatadas!$ED$3:$ED$471),"-")</f>
        <v>7.2340931306835818</v>
      </c>
      <c r="MC7" s="3" t="s">
        <v>292</v>
      </c>
      <c r="MD7" s="3" t="s">
        <v>322</v>
      </c>
      <c r="ME7" s="25">
        <v>9</v>
      </c>
      <c r="MF7" s="19">
        <f t="shared" si="2"/>
        <v>3.3210332103321034E-2</v>
      </c>
      <c r="MG7" s="3" t="s">
        <v>292</v>
      </c>
      <c r="MH7" s="3" t="s">
        <v>328</v>
      </c>
      <c r="MI7" s="25">
        <v>10</v>
      </c>
      <c r="MJ7" s="19">
        <f t="shared" si="3"/>
        <v>3.6900369003690037E-2</v>
      </c>
      <c r="MK7" s="3" t="s">
        <v>292</v>
      </c>
      <c r="ML7" s="3" t="s">
        <v>328</v>
      </c>
      <c r="MM7" s="25">
        <v>12</v>
      </c>
      <c r="MN7" s="19">
        <f t="shared" si="4"/>
        <v>4.4280442804428041E-2</v>
      </c>
      <c r="MP7" s="5"/>
      <c r="MS7" s="5"/>
      <c r="MV7" s="5"/>
      <c r="MY7" s="5"/>
      <c r="NB7" s="5"/>
      <c r="NE7" s="5"/>
      <c r="NG7" s="3" t="s">
        <v>275</v>
      </c>
      <c r="NH7" s="6">
        <f>COUNTIF(Respostas_Formatadas!$EQ:$EQ,Tabulacao!$NG7)</f>
        <v>137</v>
      </c>
      <c r="NI7" s="19">
        <f t="shared" si="93"/>
        <v>0.55465587044534415</v>
      </c>
      <c r="NJ7" s="3" t="s">
        <v>275</v>
      </c>
      <c r="NK7" s="6">
        <f>COUNTIF(Respostas_Formatadas!$ES:$ES,Tabulacao!$NJ7)</f>
        <v>109</v>
      </c>
      <c r="NL7" s="19">
        <f t="shared" si="5"/>
        <v>0.43083003952569171</v>
      </c>
      <c r="NM7" s="3" t="s">
        <v>134</v>
      </c>
      <c r="NN7" s="6">
        <f>COUNTIF(Respostas_Formatadas!$EU:$EU,Tabulacao!$NM7)</f>
        <v>213</v>
      </c>
      <c r="NO7" s="19">
        <f t="shared" si="94"/>
        <v>0.7859778597785978</v>
      </c>
      <c r="NP7" s="3" t="s">
        <v>284</v>
      </c>
      <c r="NQ7" s="6">
        <f>COUNTIF(Respostas_Formatadas!$EV:$EV,Tabulacao!$NP7)</f>
        <v>11</v>
      </c>
      <c r="NR7" s="19">
        <f t="shared" si="95"/>
        <v>4.0590405904059039E-2</v>
      </c>
      <c r="NS7" s="3" t="s">
        <v>284</v>
      </c>
      <c r="NT7" s="6">
        <f>COUNTIF(Respostas_Formatadas!$EW:$EW,Tabulacao!$NS7)</f>
        <v>13</v>
      </c>
      <c r="NU7" s="19">
        <f t="shared" si="96"/>
        <v>4.797047970479705E-2</v>
      </c>
      <c r="OA7" s="5"/>
      <c r="OD7" s="5"/>
      <c r="OG7" s="16">
        <v>2008</v>
      </c>
      <c r="OH7" s="25">
        <f>IFERROR(COUNTIF(Respostas_Formatadas!$FE:$FE,Tabulacao!$OG7),"-")</f>
        <v>1</v>
      </c>
      <c r="OI7" s="19">
        <f t="shared" si="97"/>
        <v>3.6900369003690036E-3</v>
      </c>
      <c r="OJ7" s="3" t="s">
        <v>1065</v>
      </c>
      <c r="OK7" s="7">
        <f>IFERROR(SMALL(Respostas_Formatadas!$FF$3:$FF$273,2),"-")</f>
        <v>5.2964000000000002</v>
      </c>
    </row>
    <row r="8" spans="1:402" ht="15.75" customHeight="1" x14ac:dyDescent="0.2">
      <c r="D8" s="33" t="s">
        <v>123</v>
      </c>
      <c r="E8" s="34">
        <f>COUNTIF(Respostas_Formatadas!$C:$C,Tabulacao!$D8)</f>
        <v>8</v>
      </c>
      <c r="F8" s="35">
        <f t="shared" si="6"/>
        <v>2.9520295202952029E-2</v>
      </c>
      <c r="H8" s="5"/>
      <c r="J8" s="3" t="s">
        <v>139</v>
      </c>
      <c r="K8" s="6">
        <f>COUNTIF(Respostas_Formatadas!$E:$G,Tabulacao!$J8)</f>
        <v>9</v>
      </c>
      <c r="L8" s="19">
        <f t="shared" si="7"/>
        <v>8.7378640776699032E-2</v>
      </c>
      <c r="M8" s="4" t="s">
        <v>145</v>
      </c>
      <c r="N8" s="6">
        <f>(COUNTA(Respostas_Formatadas!$H:$L)-2)-SUM($N$4:$N$7)</f>
        <v>9</v>
      </c>
      <c r="O8" s="19">
        <f t="shared" si="8"/>
        <v>8.7378640776699032E-2</v>
      </c>
      <c r="P8" s="3" t="s">
        <v>150</v>
      </c>
      <c r="Q8" s="6">
        <f>COUNTIF(Respostas_Formatadas!$M:$M,Tabulacao!$P8)</f>
        <v>3</v>
      </c>
      <c r="R8" s="19">
        <f t="shared" si="9"/>
        <v>1.107011070110701E-2</v>
      </c>
      <c r="T8" s="5"/>
      <c r="W8" s="5"/>
      <c r="Z8" s="5"/>
      <c r="AC8" s="5"/>
      <c r="AF8" s="5"/>
      <c r="AH8" s="3" t="s">
        <v>544</v>
      </c>
      <c r="AI8" s="6">
        <f>IFERROR(COUNTIF(Respostas_Formatadas!$S:$S,$AH8),"-")</f>
        <v>3</v>
      </c>
      <c r="AJ8" s="19">
        <f t="shared" si="0"/>
        <v>5.2631578947368418E-2</v>
      </c>
      <c r="AL8" s="5"/>
      <c r="AN8" s="3" t="s">
        <v>145</v>
      </c>
      <c r="AO8" s="6">
        <f>(COUNTA(Respostas_Formatadas!$U:$U)-2)-SUM($AO$4:$AO$7)</f>
        <v>0</v>
      </c>
      <c r="AP8" s="19">
        <f t="shared" si="11"/>
        <v>0</v>
      </c>
      <c r="AQ8" s="16">
        <v>5</v>
      </c>
      <c r="AR8" s="6">
        <f>COUNTIF(Respostas_Formatadas!$V:$V,Tabulacao!$AQ8)</f>
        <v>9</v>
      </c>
      <c r="AS8" s="19">
        <f t="shared" si="12"/>
        <v>0.15517241379310345</v>
      </c>
      <c r="AT8" s="16">
        <v>5</v>
      </c>
      <c r="AU8" s="6">
        <f>COUNTIF(Respostas_Formatadas!$W:$W,Tabulacao!$AT8)</f>
        <v>11</v>
      </c>
      <c r="AV8" s="19">
        <f t="shared" si="13"/>
        <v>0.18965517241379309</v>
      </c>
      <c r="AW8" s="16">
        <v>5</v>
      </c>
      <c r="AX8" s="6">
        <f>COUNTIF(Respostas_Formatadas!$X:$X,Tabulacao!$AW8)</f>
        <v>23</v>
      </c>
      <c r="AY8" s="19">
        <f t="shared" si="14"/>
        <v>0.39655172413793105</v>
      </c>
      <c r="BA8" s="5"/>
      <c r="BD8" s="5"/>
      <c r="BG8" s="5"/>
      <c r="BI8" s="3" t="s">
        <v>179</v>
      </c>
      <c r="BJ8" s="6">
        <f>COUNTIF(Respostas_Formatadas!$AB:$AB,Tabulacao!$BI8)</f>
        <v>8</v>
      </c>
      <c r="BK8" s="19">
        <f t="shared" si="18"/>
        <v>0.08</v>
      </c>
      <c r="BL8" s="3" t="s">
        <v>179</v>
      </c>
      <c r="BM8" s="6">
        <f>COUNTIF(Respostas_Formatadas!$AC:$AC,Tabulacao!$BL8)</f>
        <v>4</v>
      </c>
      <c r="BN8" s="19">
        <f t="shared" si="19"/>
        <v>5.4054054054054057E-2</v>
      </c>
      <c r="BO8" s="19"/>
      <c r="BP8" s="3" t="str">
        <f>Respostas_Formatadas!C8</f>
        <v>Tecnologia em Saneamento Ambiental</v>
      </c>
      <c r="BQ8" s="3" t="str">
        <f>Respostas_Formatadas!AD8</f>
        <v>Inspetor de segurança</v>
      </c>
      <c r="BR8" s="4" t="s">
        <v>1109</v>
      </c>
      <c r="BS8" s="25">
        <f>COUNTIF($BR$3:$BR$273,BR8)</f>
        <v>1</v>
      </c>
      <c r="BU8" s="16">
        <v>5</v>
      </c>
      <c r="BV8" s="6">
        <f>COUNTIF(Respostas_Formatadas!$AE:$AE,Tabulacao!$BU8)</f>
        <v>75</v>
      </c>
      <c r="BW8" s="19">
        <f t="shared" si="20"/>
        <v>0.43103448275862066</v>
      </c>
      <c r="BX8" s="3" t="s">
        <v>145</v>
      </c>
      <c r="BY8" s="6">
        <f>COUNTA(Respostas_Formatadas!$AG:$AG)-SUM($BY$4:$BY$7)</f>
        <v>3</v>
      </c>
      <c r="BZ8" s="19">
        <f t="shared" si="21"/>
        <v>1.7241379310344827E-2</v>
      </c>
      <c r="CB8" s="5"/>
      <c r="CD8" s="3" t="s">
        <v>164</v>
      </c>
      <c r="CE8" s="29">
        <f>IFERROR(CE7^2,"-")</f>
        <v>3593836.9461319768</v>
      </c>
      <c r="CG8" s="16">
        <v>5</v>
      </c>
      <c r="CH8" s="6">
        <f>COUNTIF(Respostas_Formatadas!$AJ:$AJ,Tabulacao!$CG8)</f>
        <v>68</v>
      </c>
      <c r="CI8" s="19">
        <f t="shared" si="22"/>
        <v>0.39080459770114945</v>
      </c>
      <c r="CJ8" s="16">
        <v>5</v>
      </c>
      <c r="CK8" s="6">
        <f>COUNTIF(Respostas_Formatadas!$AK:$AK,Tabulacao!$CJ8)</f>
        <v>39</v>
      </c>
      <c r="CL8" s="19">
        <f t="shared" si="23"/>
        <v>0.22413793103448276</v>
      </c>
      <c r="CN8" s="5"/>
      <c r="CQ8" s="5"/>
      <c r="CS8" s="3" t="s">
        <v>976</v>
      </c>
      <c r="CT8" s="6">
        <f>MIN(Respostas_Formatadas!$AN$3:$AN$273)</f>
        <v>1</v>
      </c>
      <c r="CW8" s="5"/>
      <c r="CY8" s="3" t="str">
        <f t="shared" si="1"/>
        <v>Tecnologia em Saneamento Ambiental</v>
      </c>
      <c r="CZ8" s="3" t="str">
        <f>Respostas_Formatadas!AP8</f>
        <v>Inspetor de segurança</v>
      </c>
      <c r="DA8" s="3" t="s">
        <v>1109</v>
      </c>
      <c r="DB8" s="25">
        <f>COUNTIF($DA$3:$DA$273,DA8)</f>
        <v>1</v>
      </c>
      <c r="DD8" s="3" t="s">
        <v>162</v>
      </c>
      <c r="DE8" s="67">
        <f>IFERROR(MEDIAN(Respostas_Formatadas!$AQ:$AQ),"-")</f>
        <v>2000</v>
      </c>
      <c r="DG8" s="16">
        <v>5</v>
      </c>
      <c r="DH8" s="6">
        <f>COUNTIF(Respostas_Formatadas!$AR:$AR,Tabulacao!$DG8)</f>
        <v>17</v>
      </c>
      <c r="DI8" s="19">
        <f t="shared" si="26"/>
        <v>0.10828025477707007</v>
      </c>
      <c r="DJ8" s="16">
        <v>5</v>
      </c>
      <c r="DK8" s="6">
        <f>COUNTIF(Respostas_Formatadas!$AS:$AS,Tabulacao!$DJ8)</f>
        <v>53</v>
      </c>
      <c r="DL8" s="19">
        <f t="shared" si="27"/>
        <v>0.33757961783439489</v>
      </c>
      <c r="DM8" s="16">
        <v>5</v>
      </c>
      <c r="DN8" s="6">
        <f>COUNTIF(Respostas_Formatadas!$AT:$AT,Tabulacao!$DM8)</f>
        <v>28</v>
      </c>
      <c r="DO8" s="19">
        <f t="shared" si="28"/>
        <v>0.17834394904458598</v>
      </c>
      <c r="DP8" s="16">
        <v>5</v>
      </c>
      <c r="DQ8" s="6">
        <f>COUNTIF(Respostas_Formatadas!$AU:$AU,Tabulacao!$DP8)</f>
        <v>25</v>
      </c>
      <c r="DR8" s="19">
        <f t="shared" si="29"/>
        <v>0.15923566878980891</v>
      </c>
      <c r="DS8" s="16">
        <v>5</v>
      </c>
      <c r="DT8" s="6">
        <f>COUNTIF(Respostas_Formatadas!$AV:$AV,Tabulacao!$DS8)</f>
        <v>47</v>
      </c>
      <c r="DU8" s="19">
        <f t="shared" si="98"/>
        <v>0.29936305732484075</v>
      </c>
      <c r="DV8" s="3" t="s">
        <v>196</v>
      </c>
      <c r="DW8" s="6">
        <f>COUNTIF(Respostas_Formatadas!$AW:$AW,Tabulacao!$DV8)</f>
        <v>1</v>
      </c>
      <c r="DX8" s="19">
        <f t="shared" si="30"/>
        <v>7.0422535211267607E-3</v>
      </c>
      <c r="DY8" s="3" t="s">
        <v>207</v>
      </c>
      <c r="DZ8" s="6">
        <f>COUNTIF(Respostas_Formatadas!$AX:$AX,Tabulacao!$DY8)</f>
        <v>21</v>
      </c>
      <c r="EA8" s="19">
        <f t="shared" si="31"/>
        <v>0.13375796178343949</v>
      </c>
      <c r="EB8" s="3" t="s">
        <v>145</v>
      </c>
      <c r="EC8" s="6">
        <f>COUNTIF(Respostas_Formatadas!$AY:$AY,Tabulacao!$EB8)</f>
        <v>0</v>
      </c>
      <c r="ED8" s="19">
        <f t="shared" si="32"/>
        <v>0</v>
      </c>
      <c r="EF8" s="5"/>
      <c r="EI8" s="5"/>
      <c r="EK8" s="3" t="s">
        <v>124</v>
      </c>
      <c r="EL8" s="3" t="str">
        <f>Respostas_Formatadas!BC8</f>
        <v>Carmópolis</v>
      </c>
      <c r="EM8" s="3" t="s">
        <v>325</v>
      </c>
      <c r="EN8" s="25">
        <f>COUNTIF(Respostas_Formatadas!$BC:$BC,Tabulacao!EM8)</f>
        <v>5</v>
      </c>
      <c r="EQ8" s="5"/>
      <c r="ET8" s="5"/>
      <c r="EW8" s="5"/>
      <c r="EY8" s="16">
        <v>5</v>
      </c>
      <c r="EZ8" s="6">
        <f>IFERROR(COUNTIF(Respostas_Formatadas!$BG:$BG,Tabulacao!EY8),"-")</f>
        <v>64</v>
      </c>
      <c r="FA8" s="19">
        <f t="shared" si="37"/>
        <v>0.40764331210191085</v>
      </c>
      <c r="FB8" s="16">
        <v>5</v>
      </c>
      <c r="FC8" s="6">
        <f>IFERROR(COUNTIF(Respostas_Formatadas!$BH:$BH,Tabulacao!FB8),"-")</f>
        <v>30</v>
      </c>
      <c r="FD8" s="19">
        <f t="shared" si="38"/>
        <v>0.19108280254777071</v>
      </c>
      <c r="FE8" s="16">
        <v>5</v>
      </c>
      <c r="FF8" s="6">
        <f>IFERROR(COUNTIF(Respostas_Formatadas!$BI:$BI,Tabulacao!FE8),"-")</f>
        <v>62</v>
      </c>
      <c r="FG8" s="19">
        <f t="shared" si="39"/>
        <v>0.39490445859872614</v>
      </c>
      <c r="FH8" s="16">
        <v>5</v>
      </c>
      <c r="FI8" s="6">
        <f>IFERROR(COUNTIF(Respostas_Formatadas!$BJ:$BJ,Tabulacao!FH8),"-")</f>
        <v>53</v>
      </c>
      <c r="FJ8" s="19">
        <f t="shared" si="40"/>
        <v>0.33757961783439489</v>
      </c>
      <c r="FK8" s="16">
        <v>5</v>
      </c>
      <c r="FL8" s="6">
        <f>IFERROR(COUNTIF(Respostas_Formatadas!$BK:$BK,Tabulacao!FK8),"-")</f>
        <v>80</v>
      </c>
      <c r="FM8" s="19">
        <f t="shared" si="41"/>
        <v>0.50955414012738853</v>
      </c>
      <c r="FN8" s="16">
        <v>5</v>
      </c>
      <c r="FO8" s="6">
        <f>IFERROR(COUNTIF(Respostas_Formatadas!$BL:$BL,Tabulacao!FN8),"-")</f>
        <v>87</v>
      </c>
      <c r="FP8" s="19">
        <f t="shared" si="42"/>
        <v>0.55414012738853502</v>
      </c>
      <c r="FQ8" s="16">
        <v>5</v>
      </c>
      <c r="FR8" s="6">
        <f>IFERROR(COUNTIF(Respostas_Formatadas!$BM:$BM,Tabulacao!FQ8),"-")</f>
        <v>96</v>
      </c>
      <c r="FS8" s="19">
        <f t="shared" si="43"/>
        <v>0.61146496815286622</v>
      </c>
      <c r="FT8" s="16">
        <v>5</v>
      </c>
      <c r="FU8" s="6">
        <f>IFERROR(COUNTIF(Respostas_Formatadas!$BN:$BN,Tabulacao!FT8),"-")</f>
        <v>92</v>
      </c>
      <c r="FV8" s="19">
        <f t="shared" si="44"/>
        <v>0.5859872611464968</v>
      </c>
      <c r="FW8" s="16">
        <v>5</v>
      </c>
      <c r="FX8" s="6">
        <f>IFERROR(COUNTIF(Respostas_Formatadas!$BO:$BO,Tabulacao!FW8),"-")</f>
        <v>56</v>
      </c>
      <c r="FY8" s="19">
        <f t="shared" si="45"/>
        <v>0.35668789808917195</v>
      </c>
      <c r="FZ8" s="16">
        <v>5</v>
      </c>
      <c r="GA8" s="6">
        <f>IFERROR(COUNTIF(Respostas_Formatadas!$BP:$BP,Tabulacao!FZ8),"-")</f>
        <v>58</v>
      </c>
      <c r="GB8" s="19">
        <f t="shared" si="46"/>
        <v>0.36942675159235666</v>
      </c>
      <c r="GC8" s="16">
        <v>5</v>
      </c>
      <c r="GD8" s="6">
        <f>IFERROR(COUNTIF(Respostas_Formatadas!$BQ:$BQ,Tabulacao!GC8),"-")</f>
        <v>44</v>
      </c>
      <c r="GE8" s="19">
        <f t="shared" si="47"/>
        <v>0.28025477707006369</v>
      </c>
      <c r="GF8" s="16">
        <v>5</v>
      </c>
      <c r="GG8" s="6">
        <f>IFERROR(COUNTIF(Respostas_Formatadas!$BR:$BR,Tabulacao!GF8),"-")</f>
        <v>53</v>
      </c>
      <c r="GH8" s="19">
        <f t="shared" si="48"/>
        <v>0.33757961783439489</v>
      </c>
      <c r="GI8" s="16">
        <v>5</v>
      </c>
      <c r="GJ8" s="6">
        <f>IFERROR(COUNTIF(Respostas_Formatadas!$BS:$BS,Tabulacao!GI8),"-")</f>
        <v>6</v>
      </c>
      <c r="GK8" s="19">
        <f t="shared" si="49"/>
        <v>3.8216560509554139E-2</v>
      </c>
      <c r="GL8" s="16">
        <v>5</v>
      </c>
      <c r="GM8" s="6">
        <f>IFERROR(COUNTIF(Respostas_Formatadas!$BT:$BT,Tabulacao!GL8),"-")</f>
        <v>75</v>
      </c>
      <c r="GN8" s="19">
        <f t="shared" si="50"/>
        <v>0.2767527675276753</v>
      </c>
      <c r="GO8" s="16">
        <v>5</v>
      </c>
      <c r="GP8" s="6">
        <f>IFERROR(COUNTIF(Respostas_Formatadas!$BU:$BU,Tabulacao!GO8),"-")</f>
        <v>40</v>
      </c>
      <c r="GQ8" s="19">
        <f t="shared" si="51"/>
        <v>0.14760147601476015</v>
      </c>
      <c r="GR8" s="16">
        <v>5</v>
      </c>
      <c r="GS8" s="6">
        <f>IFERROR(COUNTIF(Respostas_Formatadas!$BV:$BV,Tabulacao!GR8),"-")</f>
        <v>69</v>
      </c>
      <c r="GT8" s="19">
        <f t="shared" si="52"/>
        <v>0.25461254612546125</v>
      </c>
      <c r="GU8" s="16">
        <v>5</v>
      </c>
      <c r="GV8" s="6">
        <f>IFERROR(COUNTIF(Respostas_Formatadas!$BW:$BW,Tabulacao!GU8),"-")</f>
        <v>72</v>
      </c>
      <c r="GW8" s="19">
        <f t="shared" si="53"/>
        <v>0.26568265682656828</v>
      </c>
      <c r="GX8" s="16">
        <v>5</v>
      </c>
      <c r="GY8" s="6">
        <f>IFERROR(COUNTIF(Respostas_Formatadas!$BX:$BX,Tabulacao!GX8),"-")</f>
        <v>93</v>
      </c>
      <c r="GZ8" s="19">
        <f t="shared" si="54"/>
        <v>0.34317343173431736</v>
      </c>
      <c r="HA8" s="16">
        <v>5</v>
      </c>
      <c r="HB8" s="6">
        <f>COUNTIF(Respostas_Formatadas!$BY:$BY,Tabulacao!$HA8)</f>
        <v>128</v>
      </c>
      <c r="HC8" s="19">
        <f t="shared" si="55"/>
        <v>0.47232472324723246</v>
      </c>
      <c r="HD8" s="16">
        <v>5</v>
      </c>
      <c r="HE8" s="6">
        <f>COUNTIF(Respostas_Formatadas!$BZ:$BZ,Tabulacao!$HD8)</f>
        <v>112</v>
      </c>
      <c r="HF8" s="19">
        <f t="shared" si="56"/>
        <v>0.41328413284132842</v>
      </c>
      <c r="HG8" s="16">
        <v>5</v>
      </c>
      <c r="HH8" s="6">
        <f>COUNTIF(Respostas_Formatadas!$CA:$CA,Tabulacao!$HG8)</f>
        <v>146</v>
      </c>
      <c r="HI8" s="19">
        <f t="shared" si="57"/>
        <v>0.53874538745387457</v>
      </c>
      <c r="HJ8" s="16">
        <v>5</v>
      </c>
      <c r="HK8" s="6">
        <f>COUNTIF(Respostas_Formatadas!$CB:$CB,Tabulacao!$HJ8)</f>
        <v>83</v>
      </c>
      <c r="HL8" s="19">
        <f t="shared" si="58"/>
        <v>0.30627306273062732</v>
      </c>
      <c r="HM8" s="16">
        <v>5</v>
      </c>
      <c r="HN8" s="6">
        <f>COUNTIF(Respostas_Formatadas!$CC:$CC,Tabulacao!$HM8)</f>
        <v>95</v>
      </c>
      <c r="HO8" s="19">
        <f t="shared" si="59"/>
        <v>0.35055350553505538</v>
      </c>
      <c r="HP8" s="16">
        <v>5</v>
      </c>
      <c r="HQ8" s="6">
        <f>COUNTIF(Respostas_Formatadas!$CD:$CD,Tabulacao!$HP8)</f>
        <v>79</v>
      </c>
      <c r="HR8" s="19">
        <f t="shared" si="60"/>
        <v>0.29151291512915128</v>
      </c>
      <c r="HS8" s="16">
        <v>5</v>
      </c>
      <c r="HT8" s="6">
        <f>COUNTIF(Respostas_Formatadas!$CE:$CE,Tabulacao!$HS8)</f>
        <v>75</v>
      </c>
      <c r="HU8" s="19">
        <f t="shared" si="61"/>
        <v>0.2767527675276753</v>
      </c>
      <c r="HV8" s="16">
        <v>5</v>
      </c>
      <c r="HW8" s="6">
        <f>COUNTIF(Respostas_Formatadas!$CF:$CF,Tabulacao!$HV8)</f>
        <v>18</v>
      </c>
      <c r="HX8" s="19">
        <f t="shared" si="62"/>
        <v>6.6420664206642069E-2</v>
      </c>
      <c r="HY8" s="16">
        <v>5</v>
      </c>
      <c r="HZ8" s="6">
        <f>COUNTIF(Respostas_Formatadas!$CG:$CG,Tabulacao!$HY8)</f>
        <v>57</v>
      </c>
      <c r="IA8" s="19">
        <f t="shared" si="63"/>
        <v>0.21033210332103322</v>
      </c>
      <c r="IB8" s="3" t="s">
        <v>226</v>
      </c>
      <c r="IC8" s="6">
        <f>COUNTIF(Respostas_Formatadas!$CH:$CJ,Tabulacao!$IB8)</f>
        <v>87</v>
      </c>
      <c r="ID8" s="19">
        <f t="shared" si="64"/>
        <v>0.3210332103321033</v>
      </c>
      <c r="IE8" s="3" t="s">
        <v>235</v>
      </c>
      <c r="IF8" s="6">
        <f>COUNTIF(Respostas_Formatadas!$CK:$CM,Tabulacao!$IE8)</f>
        <v>67</v>
      </c>
      <c r="IG8" s="19">
        <f t="shared" si="65"/>
        <v>0.24723247232472326</v>
      </c>
      <c r="IH8" s="3" t="s">
        <v>245</v>
      </c>
      <c r="II8" s="6">
        <f>COUNTIF(Respostas_Formatadas!$CN:$CN,Tabulacao!$IH8)</f>
        <v>0</v>
      </c>
      <c r="IJ8" s="19">
        <f t="shared" si="66"/>
        <v>0</v>
      </c>
      <c r="IL8" s="5"/>
      <c r="IN8" s="16">
        <v>5</v>
      </c>
      <c r="IO8" s="6">
        <f>COUNTIF(Respostas_Formatadas!$CP:$CP,Tabulacao!$IN8)</f>
        <v>38</v>
      </c>
      <c r="IP8" s="19">
        <f t="shared" si="67"/>
        <v>0.14022140221402213</v>
      </c>
      <c r="IQ8" s="16">
        <v>5</v>
      </c>
      <c r="IR8" s="6">
        <f>COUNTIF(Respostas_Formatadas!$CQ:$CQ,Tabulacao!$IQ8)</f>
        <v>117</v>
      </c>
      <c r="IS8" s="19">
        <f t="shared" si="68"/>
        <v>0.43173431734317341</v>
      </c>
      <c r="IU8" s="5"/>
      <c r="IW8" s="16">
        <v>5</v>
      </c>
      <c r="IX8" s="6">
        <f>COUNTIF(Respostas_Formatadas!$CS:$CS,Tabulacao!$IW8)</f>
        <v>40</v>
      </c>
      <c r="IY8" s="19">
        <f t="shared" si="70"/>
        <v>0.14760147601476015</v>
      </c>
      <c r="IZ8" s="16">
        <v>5</v>
      </c>
      <c r="JA8" s="6">
        <f>COUNTIF(Respostas_Formatadas!$CT:$CT,Tabulacao!$IZ8)</f>
        <v>29</v>
      </c>
      <c r="JB8" s="19">
        <f t="shared" si="71"/>
        <v>0.1070110701107011</v>
      </c>
      <c r="JC8" s="16">
        <v>5</v>
      </c>
      <c r="JD8" s="6">
        <f>COUNTIF(Respostas_Formatadas!$CU:$CU,Tabulacao!$JC8)</f>
        <v>51</v>
      </c>
      <c r="JE8" s="19">
        <f t="shared" si="72"/>
        <v>0.18819188191881919</v>
      </c>
      <c r="JF8" s="16">
        <v>5</v>
      </c>
      <c r="JG8" s="6">
        <f>COUNTIF(Respostas_Formatadas!$CV:$CV,Tabulacao!$JF8)</f>
        <v>36</v>
      </c>
      <c r="JH8" s="19">
        <f t="shared" si="73"/>
        <v>0.13284132841328414</v>
      </c>
      <c r="JI8" s="16">
        <v>5</v>
      </c>
      <c r="JJ8" s="6">
        <f>COUNTIF(Respostas_Formatadas!$CW:$CW,Tabulacao!$JI8)</f>
        <v>58</v>
      </c>
      <c r="JK8" s="19">
        <f t="shared" si="74"/>
        <v>0.2140221402214022</v>
      </c>
      <c r="JL8" s="16">
        <v>5</v>
      </c>
      <c r="JM8" s="6">
        <f>COUNTIF(Respostas_Formatadas!$CX:$CX,Tabulacao!$JL8)</f>
        <v>97</v>
      </c>
      <c r="JN8" s="19">
        <f t="shared" si="75"/>
        <v>0.35793357933579334</v>
      </c>
      <c r="JO8" s="16">
        <v>5</v>
      </c>
      <c r="JP8" s="6">
        <f>COUNTIF(Respostas_Formatadas!$CY:$CY,Tabulacao!$JO8)</f>
        <v>92</v>
      </c>
      <c r="JQ8" s="19">
        <f t="shared" si="76"/>
        <v>0.33948339483394835</v>
      </c>
      <c r="JR8" s="16">
        <v>5</v>
      </c>
      <c r="JS8" s="6">
        <f>COUNTIF(Respostas_Formatadas!$CZ:$CZ,Tabulacao!$JR8)</f>
        <v>96</v>
      </c>
      <c r="JT8" s="19">
        <f t="shared" si="77"/>
        <v>0.35424354243542433</v>
      </c>
      <c r="JU8" s="16">
        <v>5</v>
      </c>
      <c r="JV8" s="6">
        <f>COUNTIF(Respostas_Formatadas!$DA:$DA,Tabulacao!$JU8)</f>
        <v>26</v>
      </c>
      <c r="JW8" s="19">
        <f t="shared" si="78"/>
        <v>9.5940959409594101E-2</v>
      </c>
      <c r="JX8" s="16">
        <v>5</v>
      </c>
      <c r="JY8" s="6">
        <f>COUNTIF(Respostas_Formatadas!$DB:$DB,Tabulacao!$JX8)</f>
        <v>40</v>
      </c>
      <c r="JZ8" s="19">
        <f t="shared" si="79"/>
        <v>0.14760147601476015</v>
      </c>
      <c r="KA8" s="16">
        <v>5</v>
      </c>
      <c r="KB8" s="6">
        <f>COUNTIF(Respostas_Formatadas!$DC:$DC,Tabulacao!$KA8)</f>
        <v>39</v>
      </c>
      <c r="KC8" s="19">
        <f t="shared" si="80"/>
        <v>0.14391143911439114</v>
      </c>
      <c r="KD8" s="16">
        <v>5</v>
      </c>
      <c r="KE8" s="6">
        <f>COUNTIF(Respostas_Formatadas!$DD:$DD,Tabulacao!$KD8)</f>
        <v>89</v>
      </c>
      <c r="KF8" s="19">
        <f t="shared" si="81"/>
        <v>0.32841328413284132</v>
      </c>
      <c r="KG8" s="16">
        <v>5</v>
      </c>
      <c r="KH8" s="6">
        <f>COUNTIF(Respostas_Formatadas!$DE:$DE,Tabulacao!$KG8)</f>
        <v>78</v>
      </c>
      <c r="KI8" s="19">
        <f t="shared" si="82"/>
        <v>0.28782287822878228</v>
      </c>
      <c r="KJ8" s="16">
        <v>5</v>
      </c>
      <c r="KK8" s="6">
        <f>COUNTIF(Respostas_Formatadas!$DF:$DF,Tabulacao!$KJ8)</f>
        <v>98</v>
      </c>
      <c r="KL8" s="19">
        <f t="shared" si="83"/>
        <v>0.36162361623616235</v>
      </c>
      <c r="KM8" s="16">
        <v>5</v>
      </c>
      <c r="KN8" s="6">
        <f>COUNTIF(Respostas_Formatadas!$DG:$DG,Tabulacao!$KM8)</f>
        <v>121</v>
      </c>
      <c r="KO8" s="19">
        <f t="shared" si="84"/>
        <v>0.44649446494464945</v>
      </c>
      <c r="KP8" s="16">
        <v>5</v>
      </c>
      <c r="KQ8" s="6">
        <f>COUNTIF(Respostas_Formatadas!$DH:$DH,Tabulacao!$KP8)</f>
        <v>63</v>
      </c>
      <c r="KR8" s="19">
        <f t="shared" si="85"/>
        <v>0.23247232472324722</v>
      </c>
      <c r="KS8" s="3" t="s">
        <v>253</v>
      </c>
      <c r="KT8" s="6">
        <f>COUNTIF(Respostas_Formatadas!$DI:$DI,Tabulacao!$KS8)</f>
        <v>4</v>
      </c>
      <c r="KU8" s="19">
        <f t="shared" si="86"/>
        <v>1.4760147601476014E-2</v>
      </c>
      <c r="KW8" s="5"/>
      <c r="KY8" s="3" t="s">
        <v>145</v>
      </c>
      <c r="KZ8" s="6">
        <f>COUNTA(Respostas_Formatadas!$DK$3:$DP$273)-SUM(Tabulacao!$KZ$4:$KZ$7)</f>
        <v>9</v>
      </c>
      <c r="LA8" s="19">
        <f t="shared" si="87"/>
        <v>4.8387096774193547E-2</v>
      </c>
      <c r="LB8" s="16">
        <v>5</v>
      </c>
      <c r="LC8" s="6">
        <f>COUNTIF(Respostas_Formatadas!$DQ:$DQ,Tabulacao!$LB8)</f>
        <v>88</v>
      </c>
      <c r="LD8" s="19">
        <f t="shared" si="88"/>
        <v>0.4731182795698925</v>
      </c>
      <c r="LF8" s="5"/>
      <c r="LH8" s="3" t="s">
        <v>145</v>
      </c>
      <c r="LI8" s="6">
        <f>COUNTA(Respostas_Formatadas!$DS$3:$DX$273)-SUM(Tabulacao!$LI$4:$LI$7)</f>
        <v>9</v>
      </c>
      <c r="LJ8" s="19">
        <f t="shared" si="89"/>
        <v>6.3829787234042548E-2</v>
      </c>
      <c r="LK8" s="16">
        <v>5</v>
      </c>
      <c r="LL8" s="6">
        <f>COUNTIF(Respostas_Formatadas!$DY:$DY,Tabulacao!$LK8)</f>
        <v>75</v>
      </c>
      <c r="LM8" s="19">
        <f t="shared" si="90"/>
        <v>0.53191489361702127</v>
      </c>
      <c r="LO8" s="5"/>
      <c r="LQ8" s="16">
        <v>5</v>
      </c>
      <c r="LR8" s="6">
        <f>COUNTIF(Respostas_Formatadas!$EA:$EA,Tabulacao!$LQ8)</f>
        <v>112</v>
      </c>
      <c r="LS8" s="19">
        <f t="shared" si="91"/>
        <v>0.71794871794871795</v>
      </c>
      <c r="LU8" s="5"/>
      <c r="LW8" s="3" t="s">
        <v>268</v>
      </c>
      <c r="LX8" s="6">
        <f>COUNTIF(Respostas_Formatadas!$EC:$EC,Tabulacao!$LW8)</f>
        <v>0</v>
      </c>
      <c r="LY8" s="19">
        <f t="shared" si="92"/>
        <v>0</v>
      </c>
      <c r="LZ8" s="3" t="s">
        <v>164</v>
      </c>
      <c r="MA8" s="29">
        <f>IFERROR(MA7^2,"-")</f>
        <v>52.332103423403389</v>
      </c>
      <c r="MC8" s="3" t="s">
        <v>292</v>
      </c>
      <c r="MD8" s="3" t="s">
        <v>325</v>
      </c>
      <c r="ME8" s="25">
        <v>8</v>
      </c>
      <c r="MF8" s="19">
        <f t="shared" si="2"/>
        <v>2.9520295202952029E-2</v>
      </c>
      <c r="MG8" s="3" t="s">
        <v>292</v>
      </c>
      <c r="MH8" s="3" t="s">
        <v>322</v>
      </c>
      <c r="MI8" s="25">
        <v>9</v>
      </c>
      <c r="MJ8" s="19">
        <f t="shared" si="3"/>
        <v>3.3210332103321034E-2</v>
      </c>
      <c r="MK8" s="3" t="s">
        <v>292</v>
      </c>
      <c r="ML8" s="3" t="s">
        <v>325</v>
      </c>
      <c r="MM8" s="25">
        <v>9</v>
      </c>
      <c r="MN8" s="19">
        <f t="shared" si="4"/>
        <v>3.3210332103321034E-2</v>
      </c>
      <c r="MP8" s="5"/>
      <c r="MS8" s="5"/>
      <c r="MV8" s="5"/>
      <c r="MY8" s="5"/>
      <c r="NB8" s="5"/>
      <c r="NE8" s="5"/>
      <c r="NG8" s="3" t="s">
        <v>276</v>
      </c>
      <c r="NH8" s="6">
        <f>COUNTIF(Respostas_Formatadas!$EQ:$EQ,Tabulacao!$NG8)</f>
        <v>0</v>
      </c>
      <c r="NI8" s="19">
        <f t="shared" si="93"/>
        <v>0</v>
      </c>
      <c r="NJ8" s="3" t="s">
        <v>145</v>
      </c>
      <c r="NK8" s="6">
        <f>COUNTIF(Respostas_Formatadas!$ES:$ES,Tabulacao!$NJ8)</f>
        <v>0</v>
      </c>
      <c r="NL8" s="19">
        <f>IFERROR(NK8/SUM(NK$4:NK$8),"%")</f>
        <v>0</v>
      </c>
      <c r="NN8" s="5"/>
      <c r="NP8" s="3" t="s">
        <v>285</v>
      </c>
      <c r="NQ8" s="6">
        <f>COUNTIF(Respostas_Formatadas!$EV:$EV,Tabulacao!$NP8)</f>
        <v>60</v>
      </c>
      <c r="NR8" s="19">
        <f t="shared" si="95"/>
        <v>0.22140221402214022</v>
      </c>
      <c r="NS8" s="3" t="s">
        <v>285</v>
      </c>
      <c r="NT8" s="6">
        <f>COUNTIF(Respostas_Formatadas!$EW:$EW,Tabulacao!$NS8)</f>
        <v>66</v>
      </c>
      <c r="NU8" s="19">
        <f t="shared" si="96"/>
        <v>0.24354243542435425</v>
      </c>
      <c r="OA8" s="5"/>
      <c r="OD8" s="5"/>
      <c r="OG8" s="16">
        <v>2009</v>
      </c>
      <c r="OH8" s="25">
        <f>IFERROR(COUNTIF(Respostas_Formatadas!$FE:$FE,Tabulacao!$OG8),"-")</f>
        <v>8</v>
      </c>
      <c r="OI8" s="19">
        <f t="shared" si="97"/>
        <v>2.9520295202952029E-2</v>
      </c>
      <c r="OJ8" s="3" t="s">
        <v>163</v>
      </c>
      <c r="OK8" s="117">
        <f>IFERROR(_xlfn.STDEV.S(Respostas_Formatadas!$FF$3:$FF$273),"-")</f>
        <v>0.81057222281461361</v>
      </c>
    </row>
    <row r="9" spans="1:402" ht="15.75" customHeight="1" x14ac:dyDescent="0.2">
      <c r="D9" s="4" t="s">
        <v>124</v>
      </c>
      <c r="E9" s="6">
        <f>COUNTIF(Respostas_Formatadas!$C:$C,Tabulacao!$D9)</f>
        <v>45</v>
      </c>
      <c r="F9" s="19">
        <f t="shared" si="6"/>
        <v>0.16605166051660517</v>
      </c>
      <c r="H9" s="5"/>
      <c r="J9" s="3" t="s">
        <v>140</v>
      </c>
      <c r="K9" s="6">
        <f>COUNTIF(Respostas_Formatadas!$E:$G,Tabulacao!$J9)</f>
        <v>0</v>
      </c>
      <c r="L9" s="19">
        <f t="shared" si="7"/>
        <v>0</v>
      </c>
      <c r="N9" s="5"/>
      <c r="P9" s="4" t="s">
        <v>145</v>
      </c>
      <c r="Q9" s="6">
        <f>(COUNTA(Respostas_Formatadas!$M:$M)-2)-SUM($Q$4:$Q$8)</f>
        <v>0</v>
      </c>
      <c r="R9" s="19">
        <f t="shared" si="9"/>
        <v>0</v>
      </c>
      <c r="T9" s="5"/>
      <c r="W9" s="5"/>
      <c r="Z9" s="5"/>
      <c r="AC9" s="5"/>
      <c r="AF9" s="5"/>
      <c r="AH9" s="3" t="s">
        <v>311</v>
      </c>
      <c r="AI9" s="6">
        <f>IFERROR(COUNTIF(Respostas_Formatadas!$S:$S,$AH9),"-")</f>
        <v>2</v>
      </c>
      <c r="AJ9" s="19">
        <f t="shared" si="0"/>
        <v>3.5087719298245612E-2</v>
      </c>
      <c r="AL9" s="5"/>
      <c r="AO9" s="5"/>
      <c r="AR9" s="5"/>
      <c r="AU9" s="5"/>
      <c r="AX9" s="5"/>
      <c r="BA9" s="5"/>
      <c r="BD9" s="5"/>
      <c r="BG9" s="5"/>
      <c r="BI9" s="3" t="s">
        <v>180</v>
      </c>
      <c r="BJ9" s="6">
        <f>COUNTIF(Respostas_Formatadas!$AB:$AB,Tabulacao!$BI9)</f>
        <v>9</v>
      </c>
      <c r="BK9" s="19">
        <f t="shared" si="18"/>
        <v>0.09</v>
      </c>
      <c r="BL9" s="3" t="s">
        <v>185</v>
      </c>
      <c r="BM9" s="6">
        <f>COUNTIF(Respostas_Formatadas!$AC:$AC,Tabulacao!$BL9)</f>
        <v>13</v>
      </c>
      <c r="BN9" s="19">
        <f t="shared" si="19"/>
        <v>0.17567567567567569</v>
      </c>
      <c r="BO9" s="19"/>
      <c r="BP9" s="3" t="str">
        <f>Respostas_Formatadas!C9</f>
        <v>Tecnologia em Saneamento Ambiental</v>
      </c>
      <c r="BQ9" s="3">
        <f>Respostas_Formatadas!AD9</f>
        <v>0</v>
      </c>
      <c r="BS9" s="5"/>
      <c r="BV9" s="5"/>
      <c r="BY9" s="5"/>
      <c r="CB9" s="5"/>
      <c r="CE9" s="5"/>
      <c r="CH9" s="5"/>
      <c r="CK9" s="5"/>
      <c r="CN9" s="5"/>
      <c r="CQ9" s="5"/>
      <c r="CS9" s="3" t="s">
        <v>163</v>
      </c>
      <c r="CT9" s="29">
        <f>STDEVA(Respostas_Formatadas!$AN$3:$AN$273)</f>
        <v>1.1362640055950723</v>
      </c>
      <c r="CW9" s="5"/>
      <c r="CY9" s="3" t="str">
        <f t="shared" si="1"/>
        <v>Tecnologia em Saneamento Ambiental</v>
      </c>
      <c r="CZ9" s="3">
        <f>Respostas_Formatadas!AP9</f>
        <v>0</v>
      </c>
      <c r="DB9" s="5"/>
      <c r="DD9" s="3" t="s">
        <v>163</v>
      </c>
      <c r="DE9" s="67">
        <f>IFERROR(STDEVA(Respostas_Formatadas!$AQ$3:$AQ$273),"-")</f>
        <v>2856.444804333863</v>
      </c>
      <c r="DH9" s="5"/>
      <c r="DK9" s="5"/>
      <c r="DN9" s="5"/>
      <c r="DQ9" s="5"/>
      <c r="DT9" s="5"/>
      <c r="DV9" s="3" t="s">
        <v>197</v>
      </c>
      <c r="DW9" s="6">
        <f>COUNTIF(Respostas_Formatadas!$AW:$AW,Tabulacao!$DV9)</f>
        <v>6</v>
      </c>
      <c r="DX9" s="19">
        <f t="shared" si="30"/>
        <v>4.2253521126760563E-2</v>
      </c>
      <c r="DZ9" s="5"/>
      <c r="EC9" s="5"/>
      <c r="EF9" s="5"/>
      <c r="EI9" s="5"/>
      <c r="EK9" s="3" t="s">
        <v>124</v>
      </c>
      <c r="EM9" s="3" t="s">
        <v>754</v>
      </c>
      <c r="EN9" s="25">
        <f>COUNTIF(Respostas_Formatadas!$BC:$BC,Tabulacao!EM9)</f>
        <v>2</v>
      </c>
      <c r="EQ9" s="5"/>
      <c r="ET9" s="5"/>
      <c r="EW9" s="5"/>
      <c r="EZ9" s="5"/>
      <c r="FC9" s="5"/>
      <c r="FF9" s="5"/>
      <c r="FI9" s="5"/>
      <c r="FL9" s="5"/>
      <c r="FO9" s="5"/>
      <c r="FR9" s="5"/>
      <c r="FU9" s="5"/>
      <c r="FX9" s="5"/>
      <c r="GA9" s="5"/>
      <c r="GD9" s="5"/>
      <c r="GG9" s="5"/>
      <c r="GJ9" s="5"/>
      <c r="GM9" s="5"/>
      <c r="GP9" s="5"/>
      <c r="GS9" s="5"/>
      <c r="GV9" s="5"/>
      <c r="GY9" s="5"/>
      <c r="HB9" s="5"/>
      <c r="HE9" s="5"/>
      <c r="HH9" s="5"/>
      <c r="HK9" s="5"/>
      <c r="HN9" s="5"/>
      <c r="HQ9" s="5"/>
      <c r="HT9" s="5"/>
      <c r="HW9" s="5"/>
      <c r="HZ9" s="5"/>
      <c r="IB9" s="3" t="s">
        <v>227</v>
      </c>
      <c r="IC9" s="6">
        <f>COUNTIF(Respostas_Formatadas!$CH:$CJ,Tabulacao!$IB9)</f>
        <v>20</v>
      </c>
      <c r="ID9" s="19">
        <f t="shared" si="64"/>
        <v>7.3800738007380073E-2</v>
      </c>
      <c r="IE9" s="3" t="s">
        <v>236</v>
      </c>
      <c r="IF9" s="6">
        <f>COUNTIF(Respostas_Formatadas!$CK:$CM,Tabulacao!$IE9)</f>
        <v>23</v>
      </c>
      <c r="IG9" s="19">
        <f t="shared" si="65"/>
        <v>8.4870848708487087E-2</v>
      </c>
      <c r="IH9" s="3" t="s">
        <v>246</v>
      </c>
      <c r="II9" s="6">
        <f>COUNTIF(Respostas_Formatadas!$CN:$CN,Tabulacao!$IH9)</f>
        <v>8</v>
      </c>
      <c r="IJ9" s="19">
        <f t="shared" si="66"/>
        <v>2.9520295202952029E-2</v>
      </c>
      <c r="IL9" s="5"/>
      <c r="IO9" s="5"/>
      <c r="IR9" s="5"/>
      <c r="IU9" s="5"/>
      <c r="IX9" s="5"/>
      <c r="JA9" s="5"/>
      <c r="JD9" s="5"/>
      <c r="JG9" s="5"/>
      <c r="JJ9" s="5"/>
      <c r="JM9" s="5"/>
      <c r="JP9" s="5"/>
      <c r="JS9" s="5"/>
      <c r="JV9" s="5"/>
      <c r="JY9" s="5"/>
      <c r="KB9" s="5"/>
      <c r="KE9" s="5"/>
      <c r="KH9" s="5"/>
      <c r="KK9" s="5"/>
      <c r="KN9" s="5"/>
      <c r="KQ9" s="5"/>
      <c r="KT9" s="5"/>
      <c r="KW9" s="5"/>
      <c r="KZ9" s="5"/>
      <c r="LC9" s="5"/>
      <c r="LF9" s="5"/>
      <c r="LI9" s="5"/>
      <c r="LL9" s="5"/>
      <c r="LO9" s="5"/>
      <c r="LR9" s="5"/>
      <c r="LU9" s="5"/>
      <c r="LW9" s="3" t="s">
        <v>269</v>
      </c>
      <c r="LX9" s="6">
        <f>COUNTIF(Respostas_Formatadas!$EC:$EC,Tabulacao!$LW9)</f>
        <v>0</v>
      </c>
      <c r="LY9" s="19">
        <f t="shared" si="92"/>
        <v>0</v>
      </c>
      <c r="LZ9" s="4" t="s">
        <v>995</v>
      </c>
      <c r="MA9" s="67">
        <f>MA7/MA4</f>
        <v>0.23871087489620751</v>
      </c>
      <c r="MC9" s="3" t="s">
        <v>292</v>
      </c>
      <c r="MD9" s="3" t="s">
        <v>328</v>
      </c>
      <c r="ME9" s="25">
        <v>8</v>
      </c>
      <c r="MF9" s="19">
        <f t="shared" si="2"/>
        <v>2.9520295202952029E-2</v>
      </c>
      <c r="MG9" s="3" t="s">
        <v>292</v>
      </c>
      <c r="MH9" s="3" t="s">
        <v>659</v>
      </c>
      <c r="MI9" s="25">
        <v>5</v>
      </c>
      <c r="MJ9" s="19">
        <f t="shared" si="3"/>
        <v>1.8450184501845018E-2</v>
      </c>
      <c r="MK9" s="3" t="s">
        <v>292</v>
      </c>
      <c r="ML9" s="3" t="s">
        <v>322</v>
      </c>
      <c r="MM9" s="25">
        <v>8</v>
      </c>
      <c r="MN9" s="19">
        <f t="shared" si="4"/>
        <v>2.9520295202952029E-2</v>
      </c>
      <c r="MP9" s="5"/>
      <c r="MS9" s="5"/>
      <c r="MV9" s="5"/>
      <c r="MY9" s="5"/>
      <c r="NB9" s="5"/>
      <c r="NE9" s="5"/>
      <c r="NG9" s="3" t="s">
        <v>145</v>
      </c>
      <c r="NH9" s="6">
        <f>COUNTIF(Respostas_Formatadas!$EQ:$EQ,Tabulacao!$NG9)</f>
        <v>0</v>
      </c>
      <c r="NI9" s="19">
        <f t="shared" si="93"/>
        <v>0</v>
      </c>
      <c r="NK9" s="5"/>
      <c r="NN9" s="5"/>
      <c r="NP9" s="3" t="s">
        <v>286</v>
      </c>
      <c r="NQ9" s="6">
        <f>COUNTIF(Respostas_Formatadas!$EV:$EV,Tabulacao!$NP9)</f>
        <v>8</v>
      </c>
      <c r="NR9" s="19">
        <f t="shared" si="95"/>
        <v>2.9520295202952029E-2</v>
      </c>
      <c r="NS9" s="3" t="s">
        <v>286</v>
      </c>
      <c r="NT9" s="6">
        <f>COUNTIF(Respostas_Formatadas!$EW:$EW,Tabulacao!$NS9)</f>
        <v>7</v>
      </c>
      <c r="NU9" s="19">
        <f t="shared" si="96"/>
        <v>2.5830258302583026E-2</v>
      </c>
      <c r="OA9" s="5"/>
      <c r="OD9" s="5"/>
      <c r="OG9" s="16">
        <v>2010</v>
      </c>
      <c r="OH9" s="25">
        <f>IFERROR(COUNTIF(Respostas_Formatadas!$FE:$FE,Tabulacao!$OG9),"-")</f>
        <v>6</v>
      </c>
      <c r="OI9" s="19">
        <f t="shared" si="97"/>
        <v>2.2140221402214021E-2</v>
      </c>
      <c r="OJ9" s="3" t="s">
        <v>164</v>
      </c>
      <c r="OK9" s="117">
        <f>OK8^2</f>
        <v>0.65702732839862366</v>
      </c>
    </row>
    <row r="10" spans="1:402" ht="15.75" customHeight="1" x14ac:dyDescent="0.2">
      <c r="D10" s="4" t="s">
        <v>125</v>
      </c>
      <c r="E10" s="6">
        <f>COUNTIF(Respostas_Formatadas!$C:$C,Tabulacao!$D10)</f>
        <v>35</v>
      </c>
      <c r="F10" s="19">
        <f t="shared" si="6"/>
        <v>0.12915129151291513</v>
      </c>
      <c r="H10" s="5"/>
      <c r="K10" s="5"/>
      <c r="N10" s="5"/>
      <c r="Q10" s="5"/>
      <c r="T10" s="5"/>
      <c r="W10" s="5"/>
      <c r="Z10" s="5"/>
      <c r="AC10" s="5"/>
      <c r="AF10" s="5"/>
      <c r="AH10" s="3" t="s">
        <v>943</v>
      </c>
      <c r="AI10" s="6">
        <f>IFERROR(COUNTIF(Respostas_Formatadas!$S:$S,$AH10),"-")</f>
        <v>1</v>
      </c>
      <c r="AJ10" s="19">
        <f t="shared" si="0"/>
        <v>1.7543859649122806E-2</v>
      </c>
      <c r="AL10" s="5"/>
      <c r="AO10" s="5"/>
      <c r="AQ10" s="3" t="s">
        <v>160</v>
      </c>
      <c r="AR10" s="29">
        <f>IFERROR(AVERAGE(Respostas_Formatadas!$V$3:$V$470),"-")</f>
        <v>2.8275862068965516</v>
      </c>
      <c r="AT10" s="3" t="s">
        <v>160</v>
      </c>
      <c r="AU10" s="29">
        <f>IFERROR(AVERAGE(Respostas_Formatadas!$W$3:$W$470),"-")</f>
        <v>2.6551724137931036</v>
      </c>
      <c r="AW10" s="3" t="s">
        <v>160</v>
      </c>
      <c r="AX10" s="29">
        <f>IFERROR(AVERAGE(Respostas_Formatadas!$X$3:$X$470),"-")</f>
        <v>3.6379310344827585</v>
      </c>
      <c r="BA10" s="6"/>
      <c r="BD10" s="5"/>
      <c r="BG10" s="5"/>
      <c r="BI10" s="3" t="s">
        <v>181</v>
      </c>
      <c r="BJ10" s="6">
        <f>COUNTIF(Respostas_Formatadas!$AB:$AB,Tabulacao!$BI10)</f>
        <v>37</v>
      </c>
      <c r="BK10" s="19">
        <f t="shared" si="18"/>
        <v>0.37</v>
      </c>
      <c r="BL10" s="3" t="s">
        <v>181</v>
      </c>
      <c r="BM10" s="6">
        <f>COUNTIF(Respostas_Formatadas!$AC:$AC,Tabulacao!$BL10)</f>
        <v>20</v>
      </c>
      <c r="BN10" s="19">
        <f t="shared" si="19"/>
        <v>0.27027027027027029</v>
      </c>
      <c r="BO10" s="19"/>
      <c r="BP10" s="3" t="str">
        <f>Respostas_Formatadas!C10</f>
        <v>Tecnologia em Saneamento Ambiental</v>
      </c>
      <c r="BQ10" s="3" t="str">
        <f>Respostas_Formatadas!AD10</f>
        <v>Gerente</v>
      </c>
      <c r="BR10" s="4" t="s">
        <v>308</v>
      </c>
      <c r="BS10" s="25">
        <f>COUNTIF($BR$3:$BR$273,BR10)</f>
        <v>1</v>
      </c>
      <c r="BU10" s="3" t="s">
        <v>160</v>
      </c>
      <c r="BV10" s="29">
        <f>IFERROR(AVERAGE(Respostas_Formatadas!$AE$3:$AE$470),"-")</f>
        <v>3.5862068965517242</v>
      </c>
      <c r="BY10" s="5"/>
      <c r="CB10" s="5"/>
      <c r="CE10" s="5"/>
      <c r="CG10" s="3" t="s">
        <v>160</v>
      </c>
      <c r="CH10" s="29">
        <f>IFERROR(AVERAGE(Respostas_Formatadas!$AJ$3:$AJ$470),"-")</f>
        <v>3.7298850574712645</v>
      </c>
      <c r="CJ10" s="3" t="s">
        <v>160</v>
      </c>
      <c r="CK10" s="29">
        <f>IFERROR(AVERAGE(Respostas_Formatadas!$AK$3:$AK$470),"-")</f>
        <v>3.2241379310344827</v>
      </c>
      <c r="CN10" s="5"/>
      <c r="CQ10" s="5"/>
      <c r="CS10" s="3" t="s">
        <v>164</v>
      </c>
      <c r="CT10" s="29">
        <f>CT9^2</f>
        <v>1.2910958904109586</v>
      </c>
      <c r="CW10" s="5"/>
      <c r="CY10" s="3" t="str">
        <f t="shared" si="1"/>
        <v>Tecnologia em Saneamento Ambiental</v>
      </c>
      <c r="CZ10" s="3" t="str">
        <f>Respostas_Formatadas!AP10</f>
        <v>gerente</v>
      </c>
      <c r="DA10" s="3" t="s">
        <v>308</v>
      </c>
      <c r="DB10" s="25">
        <f t="shared" ref="DB10:DB12" si="99">COUNTIF($DA$3:$DA$273,DA10)</f>
        <v>1</v>
      </c>
      <c r="DD10" s="3" t="s">
        <v>164</v>
      </c>
      <c r="DE10" s="29">
        <f>IFERROR(DE9^2,"-")</f>
        <v>8159276.9202059209</v>
      </c>
      <c r="DG10" s="3" t="s">
        <v>160</v>
      </c>
      <c r="DH10" s="29">
        <f>IFERROR(AVERAGE(Respostas_Formatadas!$AR$3:$AR$273),"-")</f>
        <v>2.9171974522292992</v>
      </c>
      <c r="DJ10" s="3" t="s">
        <v>160</v>
      </c>
      <c r="DK10" s="29">
        <f>IFERROR(AVERAGE(Respostas_Formatadas!$AS$3:$AS$470),"-")</f>
        <v>3.5222929936305731</v>
      </c>
      <c r="DM10" s="3" t="s">
        <v>160</v>
      </c>
      <c r="DN10" s="29">
        <f>IFERROR(AVERAGE(Respostas_Formatadas!$AT$3:$AT$470),"-")</f>
        <v>2.9745222929936306</v>
      </c>
      <c r="DP10" s="3" t="s">
        <v>160</v>
      </c>
      <c r="DQ10" s="29">
        <f>IFERROR(AVERAGE(Respostas_Formatadas!$AU$3:$AU$470),"-")</f>
        <v>3.4585987261146496</v>
      </c>
      <c r="DS10" s="3" t="s">
        <v>160</v>
      </c>
      <c r="DT10" s="29">
        <f>IFERROR(AVERAGE(Respostas_Formatadas!$AV$3:$AV$470),"-")</f>
        <v>3.4585987261146496</v>
      </c>
      <c r="DV10" s="3" t="s">
        <v>198</v>
      </c>
      <c r="DW10" s="6">
        <f>COUNTIF(Respostas_Formatadas!$AW:$AW,Tabulacao!$DV10)</f>
        <v>7</v>
      </c>
      <c r="DX10" s="19">
        <f t="shared" si="30"/>
        <v>4.9295774647887321E-2</v>
      </c>
      <c r="DZ10" s="5"/>
      <c r="EC10" s="5"/>
      <c r="EF10" s="5"/>
      <c r="EI10" s="5"/>
      <c r="EK10" s="3" t="s">
        <v>124</v>
      </c>
      <c r="EL10" s="3" t="str">
        <f>Respostas_Formatadas!BC10</f>
        <v>Feira de Santana - BA</v>
      </c>
      <c r="EM10" s="3" t="s">
        <v>853</v>
      </c>
      <c r="EN10" s="25">
        <f>COUNTIF(Respostas_Formatadas!$BC:$BC,Tabulacao!EM10)</f>
        <v>2</v>
      </c>
      <c r="EQ10" s="5"/>
      <c r="ET10" s="5"/>
      <c r="EW10" s="5"/>
      <c r="EY10" s="3" t="s">
        <v>160</v>
      </c>
      <c r="EZ10" s="29">
        <f>IFERROR(AVERAGE(Respostas_Formatadas!$BG$3:$BG$471),"-")</f>
        <v>3.7643312101910826</v>
      </c>
      <c r="FB10" s="3" t="s">
        <v>160</v>
      </c>
      <c r="FC10" s="29">
        <f>IFERROR(AVERAGE(Respostas_Formatadas!$BH$3:$BH$471),"-")</f>
        <v>3.5095541401273884</v>
      </c>
      <c r="FE10" s="3" t="s">
        <v>160</v>
      </c>
      <c r="FF10" s="29">
        <f>IFERROR(AVERAGE(Respostas_Formatadas!$BI$3:$BI$471),"-")</f>
        <v>4.0445859872611463</v>
      </c>
      <c r="FH10" s="3" t="s">
        <v>160</v>
      </c>
      <c r="FI10" s="29">
        <f>IFERROR(AVERAGE(Respostas_Formatadas!$BJ$3:$BJ$471),"-")</f>
        <v>3.5541401273885351</v>
      </c>
      <c r="FK10" s="3" t="s">
        <v>160</v>
      </c>
      <c r="FL10" s="29">
        <f>IFERROR(AVERAGE(Respostas_Formatadas!$BK$3:$BK$471),"-")</f>
        <v>4.1974522292993628</v>
      </c>
      <c r="FN10" s="3" t="s">
        <v>160</v>
      </c>
      <c r="FO10" s="29">
        <f>IFERROR(AVERAGE(Respostas_Formatadas!$BL$3:$BL$471),"-")</f>
        <v>4.2929936305732488</v>
      </c>
      <c r="FQ10" s="3" t="s">
        <v>160</v>
      </c>
      <c r="FR10" s="29">
        <f>IFERROR(AVERAGE(Respostas_Formatadas!$BM$3:$BM$471),"-")</f>
        <v>4.4076433121019107</v>
      </c>
      <c r="FT10" s="3" t="s">
        <v>160</v>
      </c>
      <c r="FU10" s="29">
        <f>IFERROR(AVERAGE(Respostas_Formatadas!$BN$3:$BN$471),"-")</f>
        <v>4.3566878980891719</v>
      </c>
      <c r="FW10" s="3" t="s">
        <v>160</v>
      </c>
      <c r="FX10" s="29">
        <f>IFERROR(AVERAGE(Respostas_Formatadas!$BO$3:$BO$471),"-")</f>
        <v>4.0063694267515926</v>
      </c>
      <c r="FZ10" s="3" t="s">
        <v>160</v>
      </c>
      <c r="GA10" s="29">
        <f>IFERROR(AVERAGE(Respostas_Formatadas!$BP$3:$BP$471),"-")</f>
        <v>3.878980891719745</v>
      </c>
      <c r="GC10" s="3" t="s">
        <v>160</v>
      </c>
      <c r="GD10" s="29">
        <f>IFERROR(AVERAGE(Respostas_Formatadas!$BQ$3:$BQ$471),"-")</f>
        <v>3.4522292993630574</v>
      </c>
      <c r="GF10" s="3" t="s">
        <v>160</v>
      </c>
      <c r="GG10" s="29">
        <f>IFERROR(AVERAGE(Respostas_Formatadas!$BR$3:$BR$471),"-")</f>
        <v>3.515923566878981</v>
      </c>
      <c r="GI10" s="3" t="s">
        <v>160</v>
      </c>
      <c r="GJ10" s="29">
        <f>IFERROR(AVERAGE(Respostas_Formatadas!$BS$3:$BS$471),"-")</f>
        <v>1.9617834394904459</v>
      </c>
      <c r="GL10" s="3" t="s">
        <v>160</v>
      </c>
      <c r="GM10" s="29">
        <f>IFERROR(AVERAGE(Respostas_Formatadas!$BT$3:$BT$471),"-")</f>
        <v>3.8671586715867159</v>
      </c>
      <c r="GO10" s="3" t="s">
        <v>160</v>
      </c>
      <c r="GP10" s="29">
        <f>IFERROR(AVERAGE(Respostas_Formatadas!$BU$3:$BU$471),"-")</f>
        <v>3.5608856088560885</v>
      </c>
      <c r="GR10" s="3" t="s">
        <v>160</v>
      </c>
      <c r="GS10" s="29">
        <f>IFERROR(AVERAGE(Respostas_Formatadas!$BV$3:$BV$471),"-")</f>
        <v>3.915129151291513</v>
      </c>
      <c r="GU10" s="3" t="s">
        <v>160</v>
      </c>
      <c r="GV10" s="29">
        <f>IFERROR(AVERAGE(Respostas_Formatadas!$BW$3:$BW$471),"-")</f>
        <v>3.7453874538745389</v>
      </c>
      <c r="GX10" s="3" t="s">
        <v>160</v>
      </c>
      <c r="GY10" s="29">
        <f>IFERROR(AVERAGE(Respostas_Formatadas!$BX$3:$BX$471),"-")</f>
        <v>4.0221402214022142</v>
      </c>
      <c r="HA10" s="3" t="s">
        <v>160</v>
      </c>
      <c r="HB10" s="29">
        <f>IFERROR(AVERAGE(Respostas_Formatadas!$BY$3:$BY$470),"-")</f>
        <v>4.269372693726937</v>
      </c>
      <c r="HD10" s="3" t="s">
        <v>160</v>
      </c>
      <c r="HE10" s="29">
        <f>IFERROR(AVERAGE(Respostas_Formatadas!$BZ$3:$BZ$470),"-")</f>
        <v>4.1918819188191883</v>
      </c>
      <c r="HG10" s="3" t="s">
        <v>160</v>
      </c>
      <c r="HH10" s="29">
        <f>IFERROR(AVERAGE(Respostas_Formatadas!$CA$3:$CA$470),"-")</f>
        <v>4.3837638376383765</v>
      </c>
      <c r="HJ10" s="3" t="s">
        <v>160</v>
      </c>
      <c r="HK10" s="29">
        <f>IFERROR(AVERAGE(Respostas_Formatadas!$CB$3:$CB$470),"-")</f>
        <v>4.0184501845018454</v>
      </c>
      <c r="HM10" s="3" t="s">
        <v>160</v>
      </c>
      <c r="HN10" s="29">
        <f>IFERROR(AVERAGE(Respostas_Formatadas!$CC$3:$CC$470),"-")</f>
        <v>4.0959409594095941</v>
      </c>
      <c r="HP10" s="3" t="s">
        <v>160</v>
      </c>
      <c r="HQ10" s="29">
        <f>IFERROR(AVERAGE(Respostas_Formatadas!$CD$3:$CD$470),"-")</f>
        <v>3.7970479704797047</v>
      </c>
      <c r="HS10" s="3" t="s">
        <v>160</v>
      </c>
      <c r="HT10" s="29">
        <f>IFERROR(AVERAGE(Respostas_Formatadas!$CE$3:$CE$470),"-")</f>
        <v>3.7675276752767526</v>
      </c>
      <c r="HV10" s="3" t="s">
        <v>160</v>
      </c>
      <c r="HW10" s="29">
        <f>IFERROR(AVERAGE(Respostas_Formatadas!$CF$3:$CF$470),"-")</f>
        <v>2.4538745387453873</v>
      </c>
      <c r="HY10" s="3" t="s">
        <v>160</v>
      </c>
      <c r="HZ10" s="29">
        <f>IFERROR(AVERAGE(Respostas_Formatadas!$CG$3:$CG$470),"-")</f>
        <v>3.2472324723247232</v>
      </c>
      <c r="IB10" s="3" t="s">
        <v>228</v>
      </c>
      <c r="IC10" s="6">
        <f>COUNTIF(Respostas_Formatadas!$CH:$CJ,Tabulacao!$IB10)</f>
        <v>1</v>
      </c>
      <c r="ID10" s="19">
        <f t="shared" si="64"/>
        <v>3.6900369003690036E-3</v>
      </c>
      <c r="IE10" s="3" t="s">
        <v>237</v>
      </c>
      <c r="IF10" s="6">
        <f>COUNTIF(Respostas_Formatadas!$CK:$CM,Tabulacao!$IE10)</f>
        <v>8</v>
      </c>
      <c r="IG10" s="19">
        <f t="shared" si="65"/>
        <v>2.9520295202952029E-2</v>
      </c>
      <c r="IH10" s="3" t="s">
        <v>247</v>
      </c>
      <c r="II10" s="6">
        <f>COUNTIF(Respostas_Formatadas!$CN:$CN,Tabulacao!$IH10)</f>
        <v>2</v>
      </c>
      <c r="IJ10" s="19">
        <f t="shared" si="66"/>
        <v>7.3800738007380072E-3</v>
      </c>
      <c r="IL10" s="5"/>
      <c r="IN10" s="3" t="s">
        <v>160</v>
      </c>
      <c r="IO10" s="29">
        <f>IFERROR(AVERAGE(Respostas_Formatadas!$CP$3:$CP$470),"-")</f>
        <v>2.8634686346863467</v>
      </c>
      <c r="IQ10" s="3" t="s">
        <v>160</v>
      </c>
      <c r="IR10" s="29">
        <f>IFERROR(AVERAGE(Respostas_Formatadas!$CQ$3:$CQ$470),"-")</f>
        <v>4.1771217712177124</v>
      </c>
      <c r="IU10" s="5"/>
      <c r="IW10" s="3" t="s">
        <v>160</v>
      </c>
      <c r="IX10" s="29">
        <f>IFERROR(AVERAGE(Respostas_Formatadas!$CS$3:$CS$470),"-")</f>
        <v>3.2472324723247232</v>
      </c>
      <c r="IZ10" s="3" t="s">
        <v>160</v>
      </c>
      <c r="JA10" s="29">
        <f>IFERROR(AVERAGE(Respostas_Formatadas!$CT$3:$CT$470),"-")</f>
        <v>2.9667896678966788</v>
      </c>
      <c r="JC10" s="3" t="s">
        <v>160</v>
      </c>
      <c r="JD10" s="29">
        <f>IFERROR(AVERAGE(Respostas_Formatadas!$CU$3:$CU$470),"-")</f>
        <v>3.1143911439114391</v>
      </c>
      <c r="JF10" s="3" t="s">
        <v>160</v>
      </c>
      <c r="JG10" s="29">
        <f>IFERROR(AVERAGE(Respostas_Formatadas!$CV$3:$CV$470),"-")</f>
        <v>2.6125461254612548</v>
      </c>
      <c r="JI10" s="3" t="s">
        <v>160</v>
      </c>
      <c r="JJ10" s="29">
        <f>IFERROR(AVERAGE(Respostas_Formatadas!$CW$3:$CW$470),"-")</f>
        <v>3.4760147601476015</v>
      </c>
      <c r="JL10" s="3" t="s">
        <v>160</v>
      </c>
      <c r="JM10" s="29">
        <f>IFERROR(AVERAGE(Respostas_Formatadas!$CX$3:$CX$470),"-")</f>
        <v>4.0590405904059041</v>
      </c>
      <c r="JO10" s="3" t="s">
        <v>160</v>
      </c>
      <c r="JP10" s="29">
        <f>IFERROR(AVERAGE(Respostas_Formatadas!$CY$3:$CY$470),"-")</f>
        <v>4.0110701107011071</v>
      </c>
      <c r="JR10" s="3" t="s">
        <v>160</v>
      </c>
      <c r="JS10" s="29">
        <f>IFERROR(AVERAGE(Respostas_Formatadas!$CZ$3:$CZ$470),"-")</f>
        <v>4.0110701107011071</v>
      </c>
      <c r="JU10" s="3" t="s">
        <v>160</v>
      </c>
      <c r="JV10" s="29">
        <f>IFERROR(AVERAGE(Respostas_Formatadas!$DA$3:$DA$470),"-")</f>
        <v>2.9298892988929888</v>
      </c>
      <c r="JX10" s="3" t="s">
        <v>160</v>
      </c>
      <c r="JY10" s="29">
        <f>IFERROR(AVERAGE(Respostas_Formatadas!$DB$3:$DB$470),"-")</f>
        <v>3.1439114391143912</v>
      </c>
      <c r="KA10" s="3" t="s">
        <v>160</v>
      </c>
      <c r="KB10" s="29">
        <f>IFERROR(AVERAGE(Respostas_Formatadas!$DC$3:$DC$470),"-")</f>
        <v>3.1328413284132841</v>
      </c>
      <c r="KD10" s="3" t="s">
        <v>160</v>
      </c>
      <c r="KE10" s="29">
        <f>IFERROR(AVERAGE(Respostas_Formatadas!$DD$3:$DD$470),"-")</f>
        <v>3.7785977859778597</v>
      </c>
      <c r="KG10" s="3" t="s">
        <v>160</v>
      </c>
      <c r="KH10" s="29">
        <f>IFERROR(AVERAGE(Respostas_Formatadas!$DE$3:$DE$470),"-")</f>
        <v>3.6531365313653135</v>
      </c>
      <c r="KJ10" s="3" t="s">
        <v>160</v>
      </c>
      <c r="KK10" s="29">
        <f>IFERROR(AVERAGE(Respostas_Formatadas!$DF$3:$DF$470),"-")</f>
        <v>3.8708487084870851</v>
      </c>
      <c r="KM10" s="3" t="s">
        <v>160</v>
      </c>
      <c r="KN10" s="29">
        <f>IFERROR(AVERAGE(Respostas_Formatadas!$DG$3:$DG$470),"-")</f>
        <v>4.1107011070110699</v>
      </c>
      <c r="KP10" s="3" t="s">
        <v>160</v>
      </c>
      <c r="KQ10" s="29">
        <f>IFERROR(AVERAGE(Respostas_Formatadas!$DH$3:$DH$470),"-")</f>
        <v>3.4686346863468636</v>
      </c>
      <c r="KT10" s="5"/>
      <c r="KW10" s="5"/>
      <c r="KZ10" s="5"/>
      <c r="LB10" s="3" t="s">
        <v>160</v>
      </c>
      <c r="LC10" s="29">
        <f>IFERROR(AVERAGE(Respostas_Formatadas!$DQ$3:$DQ$470),"-")</f>
        <v>3.913978494623656</v>
      </c>
      <c r="LF10" s="5"/>
      <c r="LI10" s="5"/>
      <c r="LK10" s="3" t="s">
        <v>160</v>
      </c>
      <c r="LL10" s="29">
        <f>IFERROR(AVERAGE(Respostas_Formatadas!$DY$3:$DY$470),"-")</f>
        <v>4.1843971631205674</v>
      </c>
      <c r="LO10" s="5"/>
      <c r="LQ10" s="3" t="s">
        <v>160</v>
      </c>
      <c r="LR10" s="29">
        <f>IFERROR(AVERAGE(Respostas_Formatadas!$EA$3:$EA$470),"-")</f>
        <v>4.5897435897435894</v>
      </c>
      <c r="LU10" s="5"/>
      <c r="LX10" s="5"/>
      <c r="MA10" s="5"/>
      <c r="MC10" s="3" t="s">
        <v>310</v>
      </c>
      <c r="MD10" s="3" t="s">
        <v>659</v>
      </c>
      <c r="ME10" s="25">
        <v>5</v>
      </c>
      <c r="MF10" s="19">
        <f t="shared" si="2"/>
        <v>1.8450184501845018E-2</v>
      </c>
      <c r="MG10" s="3" t="s">
        <v>292</v>
      </c>
      <c r="MH10" s="3" t="s">
        <v>325</v>
      </c>
      <c r="MI10" s="25">
        <v>4</v>
      </c>
      <c r="MJ10" s="19">
        <f t="shared" si="3"/>
        <v>1.4760147601476014E-2</v>
      </c>
      <c r="MK10" s="3" t="s">
        <v>310</v>
      </c>
      <c r="ML10" s="3" t="s">
        <v>778</v>
      </c>
      <c r="MM10" s="25">
        <v>4</v>
      </c>
      <c r="MN10" s="19">
        <f t="shared" si="4"/>
        <v>1.4760147601476014E-2</v>
      </c>
      <c r="MP10" s="5"/>
      <c r="MS10" s="5"/>
      <c r="MV10" s="5"/>
      <c r="MY10" s="5"/>
      <c r="NB10" s="5"/>
      <c r="NE10" s="5"/>
      <c r="NH10" s="5"/>
      <c r="NK10" s="5"/>
      <c r="NN10" s="5"/>
      <c r="NP10" s="3" t="s">
        <v>287</v>
      </c>
      <c r="NQ10" s="6">
        <f>COUNTIF(Respostas_Formatadas!$EV:$EV,Tabulacao!$NP10)</f>
        <v>17</v>
      </c>
      <c r="NR10" s="19">
        <f t="shared" si="95"/>
        <v>6.273062730627306E-2</v>
      </c>
      <c r="NS10" s="3" t="s">
        <v>287</v>
      </c>
      <c r="NT10" s="6">
        <f>COUNTIF(Respostas_Formatadas!$EW:$EW,Tabulacao!$NS10)</f>
        <v>28</v>
      </c>
      <c r="NU10" s="19">
        <f t="shared" si="96"/>
        <v>0.10332103321033211</v>
      </c>
      <c r="OA10" s="5"/>
      <c r="OD10" s="5"/>
      <c r="OG10" s="16">
        <v>2011</v>
      </c>
      <c r="OH10" s="25">
        <f>IFERROR(COUNTIF(Respostas_Formatadas!$FE:$FE,Tabulacao!$OG10),"-")</f>
        <v>4</v>
      </c>
      <c r="OI10" s="19">
        <f t="shared" si="97"/>
        <v>1.4760147601476014E-2</v>
      </c>
      <c r="OJ10" s="3" t="s">
        <v>995</v>
      </c>
      <c r="OK10" s="117">
        <f>OK8/OK4</f>
        <v>0.10785404458335845</v>
      </c>
    </row>
    <row r="11" spans="1:402" ht="15.75" customHeight="1" x14ac:dyDescent="0.2">
      <c r="D11" s="3" t="s">
        <v>126</v>
      </c>
      <c r="E11" s="6">
        <f>COUNTIF(Respostas_Formatadas!$C:$C,Tabulacao!$D11)</f>
        <v>17</v>
      </c>
      <c r="F11" s="19">
        <f t="shared" si="6"/>
        <v>6.273062730627306E-2</v>
      </c>
      <c r="H11" s="5"/>
      <c r="K11" s="5"/>
      <c r="N11" s="5"/>
      <c r="Q11" s="5"/>
      <c r="T11" s="5"/>
      <c r="W11" s="5"/>
      <c r="Z11" s="5"/>
      <c r="AC11" s="5"/>
      <c r="AF11" s="5"/>
      <c r="AH11" s="3" t="s">
        <v>604</v>
      </c>
      <c r="AI11" s="6">
        <f>IFERROR(COUNTIF(Respostas_Formatadas!$S:$S,$AH11),"-")</f>
        <v>1</v>
      </c>
      <c r="AJ11" s="19">
        <f t="shared" si="0"/>
        <v>1.7543859649122806E-2</v>
      </c>
      <c r="AL11" s="5"/>
      <c r="AO11" s="5"/>
      <c r="AQ11" s="3" t="s">
        <v>161</v>
      </c>
      <c r="AR11" s="6">
        <f>IFERROR(INDEX($AQ$4:$AR$8,MATCH(LARGE($AR$4:$AR$8,1),$AR$4:$AR$8,0),1),"-")</f>
        <v>1</v>
      </c>
      <c r="AT11" s="3" t="s">
        <v>161</v>
      </c>
      <c r="AU11" s="6">
        <f>IFERROR(INDEX($AT$4:$AU$8,MATCH(LARGE($AU$4:$AU$8,1),$AU$4:$AU$8,0),1),"-")</f>
        <v>1</v>
      </c>
      <c r="AW11" s="3" t="s">
        <v>161</v>
      </c>
      <c r="AX11" s="6">
        <f>IFERROR(INDEX($AW$4:$AX$8,MATCH(LARGE($AX$4:$AX$8,1),$AX$4:$AX$8,0),1),"-")</f>
        <v>5</v>
      </c>
      <c r="BA11" s="6"/>
      <c r="BD11" s="5"/>
      <c r="BG11" s="5"/>
      <c r="BI11" s="3" t="s">
        <v>182</v>
      </c>
      <c r="BJ11" s="6">
        <f>COUNTIF(Respostas_Formatadas!$AB:$AB,Tabulacao!$BI11)</f>
        <v>4</v>
      </c>
      <c r="BK11" s="19">
        <f t="shared" si="18"/>
        <v>0.04</v>
      </c>
      <c r="BL11" s="3" t="s">
        <v>182</v>
      </c>
      <c r="BM11" s="6">
        <f>COUNTIF(Respostas_Formatadas!$AC:$AC,Tabulacao!$BL11)</f>
        <v>1</v>
      </c>
      <c r="BN11" s="19">
        <f t="shared" si="19"/>
        <v>1.3513513513513514E-2</v>
      </c>
      <c r="BO11" s="19"/>
      <c r="BP11" s="3" t="str">
        <f>Respostas_Formatadas!C11</f>
        <v>Tecnologia em Agroecologia</v>
      </c>
      <c r="BQ11" s="3" t="str">
        <f>Respostas_Formatadas!AD11</f>
        <v>Diretor administrativo</v>
      </c>
      <c r="BR11" s="4" t="s">
        <v>1110</v>
      </c>
      <c r="BS11" s="25">
        <f t="shared" ref="BS11:BS12" si="100">COUNTIF($BR$3:$BR$273,BR11)</f>
        <v>1</v>
      </c>
      <c r="BU11" s="3" t="s">
        <v>161</v>
      </c>
      <c r="BV11" s="6">
        <f>IFERROR(INDEX($BU$4:$BV$8,MATCH(LARGE($BV$4:$BV$8,1),$BV$4:$BV$8,0),1),"-")</f>
        <v>5</v>
      </c>
      <c r="BY11" s="5"/>
      <c r="CB11" s="5"/>
      <c r="CE11" s="5"/>
      <c r="CG11" s="3" t="s">
        <v>161</v>
      </c>
      <c r="CH11" s="6">
        <f>IFERROR(INDEX($CG$4:$CH$8,MATCH(LARGE($CH$4:$CH$8,1),$CH$4:$CH$8,0),1),"-")</f>
        <v>5</v>
      </c>
      <c r="CJ11" s="3" t="s">
        <v>161</v>
      </c>
      <c r="CK11" s="6">
        <f>IFERROR(INDEX($CJ$4:$CK$8,MATCH(LARGE($CK$4:$CK$8,1),$CK$4:$CK$8,0),1),"-")</f>
        <v>4</v>
      </c>
      <c r="CN11" s="5"/>
      <c r="CQ11" s="5"/>
      <c r="CT11" s="5"/>
      <c r="CW11" s="5"/>
      <c r="CY11" s="3" t="str">
        <f t="shared" si="1"/>
        <v>Tecnologia em Agroecologia</v>
      </c>
      <c r="CZ11" s="3" t="str">
        <f>Respostas_Formatadas!AP11</f>
        <v>Gerente de vendas</v>
      </c>
      <c r="DA11" s="3" t="s">
        <v>1217</v>
      </c>
      <c r="DB11" s="25">
        <f t="shared" si="99"/>
        <v>1</v>
      </c>
      <c r="DE11" s="5"/>
      <c r="DG11" s="3" t="s">
        <v>161</v>
      </c>
      <c r="DH11" s="6">
        <f>IFERROR(INDEX($DG$4:$DH$8,MATCH(LARGE($DH$4:$DH$8,1),$DH$4:$DH$8,0),1),"-")</f>
        <v>3</v>
      </c>
      <c r="DJ11" s="3" t="s">
        <v>161</v>
      </c>
      <c r="DK11" s="6">
        <f>IFERROR(INDEX($DJ$4:$DK$8,MATCH(LARGE($DK$4:$DK$8,1),$DK$4:$DK$8,0),1),"-")</f>
        <v>5</v>
      </c>
      <c r="DM11" s="3" t="s">
        <v>161</v>
      </c>
      <c r="DN11" s="6">
        <f>IFERROR(INDEX($DM$4:$DN$8,MATCH(LARGE($DN$4:$DN$8,1),$DN$4:$DN$8,0),1),"-")</f>
        <v>3</v>
      </c>
      <c r="DP11" s="3" t="s">
        <v>161</v>
      </c>
      <c r="DQ11" s="6">
        <f>IFERROR(INDEX($DP$4:$DQ$8,MATCH(LARGE($DQ$4:$DQ$8,1),$DQ$4:$DQ$8,0),1),"-")</f>
        <v>3</v>
      </c>
      <c r="DS11" s="3" t="s">
        <v>161</v>
      </c>
      <c r="DT11" s="6">
        <f>IFERROR(INDEX($DS$4:$DT$8,MATCH(LARGE($DT$4:$DT$8,1),$DT$4:$DT$8,0),1),"-")</f>
        <v>5</v>
      </c>
      <c r="DV11" s="3" t="s">
        <v>199</v>
      </c>
      <c r="DW11" s="6">
        <f>COUNTIF(Respostas_Formatadas!$AW:$AW,Tabulacao!$DV11)</f>
        <v>3</v>
      </c>
      <c r="DX11" s="19">
        <f t="shared" si="30"/>
        <v>2.1126760563380281E-2</v>
      </c>
      <c r="DZ11" s="5"/>
      <c r="EC11" s="5"/>
      <c r="EF11" s="5"/>
      <c r="EI11" s="5"/>
      <c r="EK11" s="3" t="s">
        <v>130</v>
      </c>
      <c r="EL11" s="3" t="str">
        <f>Respostas_Formatadas!BC11</f>
        <v>Barra do Rio Grande - BA</v>
      </c>
      <c r="EM11" s="3" t="s">
        <v>322</v>
      </c>
      <c r="EN11" s="25">
        <f>COUNTIF(Respostas_Formatadas!$BC:$BC,Tabulacao!EM11)</f>
        <v>1</v>
      </c>
      <c r="EQ11" s="5"/>
      <c r="ET11" s="5"/>
      <c r="EW11" s="5"/>
      <c r="EY11" s="3" t="s">
        <v>161</v>
      </c>
      <c r="EZ11" s="6">
        <f>IFERROR(INDEX($EY$4:$EZ$8,MATCH(LARGE($EZ$4:$EZ$8,1),$EZ$4:$EZ$8,0),1),"-")</f>
        <v>5</v>
      </c>
      <c r="FB11" s="3" t="s">
        <v>161</v>
      </c>
      <c r="FC11" s="6">
        <f>IFERROR(INDEX($FB$4:$FC$8,MATCH(LARGE($FC$4:$FC$8,1),$FC$4:$FC$8),1),"-")</f>
        <v>4</v>
      </c>
      <c r="FE11" s="3" t="s">
        <v>161</v>
      </c>
      <c r="FF11" s="6">
        <f>IFERROR(INDEX($FE$4:$FF$8,MATCH(LARGE($FF$4:$FF$8,1),$FF$4:$FF$8),1),"-")</f>
        <v>5</v>
      </c>
      <c r="FH11" s="3" t="s">
        <v>161</v>
      </c>
      <c r="FI11" s="6">
        <f>IFERROR(INDEX($FH$4:$FI$8,MATCH(LARGE($FI$4:$FI$8,1),$FI$4:$FI$8),1),"-")</f>
        <v>5</v>
      </c>
      <c r="FK11" s="3" t="s">
        <v>161</v>
      </c>
      <c r="FL11" s="6">
        <f>IFERROR(INDEX($FK$4:$FL$8,MATCH(LARGE($FL$4:$FL$8,1),$FL$4:$FL$8),1),"-")</f>
        <v>5</v>
      </c>
      <c r="FN11" s="3" t="s">
        <v>161</v>
      </c>
      <c r="FO11" s="6">
        <f>IFERROR(INDEX($FN$4:$FO$8,MATCH(LARGE($FO$4:$FO$8,1),$FO$4:$FO$8),1),"-")</f>
        <v>5</v>
      </c>
      <c r="FQ11" s="3" t="s">
        <v>161</v>
      </c>
      <c r="FR11" s="6">
        <f>IFERROR(INDEX($FQ$4:$FR$8,MATCH(LARGE($FR$4:$FR$8,1),$FR$4:$FR$8),1),"-")</f>
        <v>5</v>
      </c>
      <c r="FT11" s="3" t="s">
        <v>161</v>
      </c>
      <c r="FU11" s="6">
        <f>IFERROR(INDEX($FT$4:$FU$8,MATCH(LARGE($FU$4:$FU$8,1),$FU$4:$FU$8),1),"-")</f>
        <v>5</v>
      </c>
      <c r="FW11" s="3" t="s">
        <v>161</v>
      </c>
      <c r="FX11" s="6">
        <f>IFERROR(INDEX($FW$4:$FX$8,MATCH(LARGE($FX$4:$FX$8,1),$FX$4:$FX$8),1),"-")</f>
        <v>4</v>
      </c>
      <c r="FZ11" s="3" t="s">
        <v>161</v>
      </c>
      <c r="GA11" s="6">
        <f>IFERROR(INDEX($FZ$4:$GA$8,MATCH(LARGE($GA$4:$GA$8,1),$GA$4:$GA$8),1),"-")</f>
        <v>5</v>
      </c>
      <c r="GC11" s="3" t="s">
        <v>161</v>
      </c>
      <c r="GD11" s="6">
        <f>IFERROR(INDEX($GC$4:$GD$8,MATCH(LARGE($GD$4:$GD$8,1),$GD$4:$GD$8),1),"-")</f>
        <v>5</v>
      </c>
      <c r="GF11" s="3" t="s">
        <v>161</v>
      </c>
      <c r="GG11" s="6">
        <f>IFERROR(INDEX($GF$4:$GG$8,MATCH(LARGE($GG$4:$GG$8,1),$GG$4:$GG$8),1),"-")</f>
        <v>5</v>
      </c>
      <c r="GI11" s="3" t="s">
        <v>161</v>
      </c>
      <c r="GJ11" s="6">
        <f>IFERROR(INDEX($GI$4:$GJ$8,MATCH(LARGE($GJ$4:$GJ$8,1),$GJ$4:$GJ$8),1),"-")</f>
        <v>5</v>
      </c>
      <c r="GL11" s="3" t="s">
        <v>161</v>
      </c>
      <c r="GM11" s="6">
        <f>IFERROR(INDEX($GL$4:$GM$8,MATCH(LARGE($GM$4:$GM$8,1),$GM$4:$GM$8),1),"-")</f>
        <v>4</v>
      </c>
      <c r="GO11" s="3" t="s">
        <v>161</v>
      </c>
      <c r="GP11" s="6">
        <f>IFERROR(INDEX($GO$4:$GP$8,MATCH(LARGE($GP$4:$GP$8,1),$GP$4:$GP$8),1),"-")</f>
        <v>3</v>
      </c>
      <c r="GR11" s="3" t="s">
        <v>161</v>
      </c>
      <c r="GS11" s="6">
        <f>IFERROR(INDEX($GR$4:$GS$8,MATCH(LARGE($GS$4:$GS$8,1),$GS$4:$GS$8),1),"-")</f>
        <v>4</v>
      </c>
      <c r="GU11" s="3" t="s">
        <v>161</v>
      </c>
      <c r="GV11" s="6">
        <f>IFERROR(INDEX($GU$4:$GV$8,MATCH(LARGE($GV$4:$GV$8,1),$GV$4:$GV$8),1),"-")</f>
        <v>4</v>
      </c>
      <c r="GX11" s="3" t="s">
        <v>161</v>
      </c>
      <c r="GY11" s="6">
        <f>IFERROR(INDEX($GX$4:$GY$8,MATCH(LARGE($GY$4:$GY$8,1),$GY$4:$GY$8),1),"-")</f>
        <v>4</v>
      </c>
      <c r="HA11" s="3" t="s">
        <v>161</v>
      </c>
      <c r="HB11" s="6">
        <f>IFERROR(INDEX($HA$4:$HB$8,MATCH(LARGE($HB$4:$HB$8,1),$HB$4:$HB$8,0),1),"-")</f>
        <v>5</v>
      </c>
      <c r="HD11" s="3" t="s">
        <v>161</v>
      </c>
      <c r="HE11" s="6">
        <f>IFERROR(INDEX($HD$4:$HE$8,MATCH(LARGE($HE$4:$HE$8,1),$HE$4:$HE$8,0),1),"-")</f>
        <v>5</v>
      </c>
      <c r="HG11" s="3" t="s">
        <v>161</v>
      </c>
      <c r="HH11" s="6">
        <f>IFERROR(INDEX($HG$4:$HH$8,MATCH(LARGE($HH$4:$HH$8,1),$HH$4:$HH$8,0),1),"-")</f>
        <v>5</v>
      </c>
      <c r="HJ11" s="3" t="s">
        <v>161</v>
      </c>
      <c r="HK11" s="6">
        <f>IFERROR(INDEX($HJ$4:$HK$8,MATCH(LARGE($HK$4:$HK$8,1),$HK$4:$HK$8,0),1),"-")</f>
        <v>4</v>
      </c>
      <c r="HM11" s="3" t="s">
        <v>161</v>
      </c>
      <c r="HN11" s="6">
        <f>IFERROR(INDEX($HM$4:$HN$8,MATCH(LARGE($HN$4:$HN$8,1),$HN$4:$HN$8,0),1),"-")</f>
        <v>4</v>
      </c>
      <c r="HP11" s="3" t="s">
        <v>161</v>
      </c>
      <c r="HQ11" s="6">
        <f>IFERROR(INDEX($HP$4:$HQ$8,MATCH(LARGE($HQ$4:$HQ$8,1),$HQ$4:$HQ$8,0),1),"-")</f>
        <v>4</v>
      </c>
      <c r="HS11" s="3" t="s">
        <v>161</v>
      </c>
      <c r="HT11" s="6">
        <f>IFERROR(INDEX($HS$4:$HT$8,MATCH(LARGE($HT$4:$HT$8,1),$HT$4:$HT$8,0),1),"-")</f>
        <v>4</v>
      </c>
      <c r="HV11" s="3" t="s">
        <v>161</v>
      </c>
      <c r="HW11" s="6">
        <f>IFERROR(INDEX($HV$4:$HW$8,MATCH(LARGE($HW$4:$HW$8,1),$HW$4:$HW$8,0),1),"-")</f>
        <v>1</v>
      </c>
      <c r="HY11" s="3" t="s">
        <v>161</v>
      </c>
      <c r="HZ11" s="6">
        <f>IFERROR(INDEX($HY$4:$HZ$8,MATCH(LARGE($HZ$4:$HZ$8,1),$HZ$4:$HZ$8,0),1),"-")</f>
        <v>3</v>
      </c>
      <c r="IB11" s="3" t="s">
        <v>229</v>
      </c>
      <c r="IC11" s="6">
        <f>COUNTIF(Respostas_Formatadas!$CH:$CJ,Tabulacao!$IB11)</f>
        <v>93</v>
      </c>
      <c r="ID11" s="19">
        <f t="shared" si="64"/>
        <v>0.34317343173431736</v>
      </c>
      <c r="IE11" s="3" t="s">
        <v>238</v>
      </c>
      <c r="IF11" s="6">
        <f>COUNTIF(Respostas_Formatadas!$CK:$CM,Tabulacao!$IE11)</f>
        <v>6</v>
      </c>
      <c r="IG11" s="19">
        <f t="shared" si="65"/>
        <v>2.2140221402214021E-2</v>
      </c>
      <c r="II11" s="5"/>
      <c r="IL11" s="5"/>
      <c r="IN11" s="3" t="s">
        <v>161</v>
      </c>
      <c r="IO11" s="6">
        <f>IFERROR(INDEX($IN$4:$IO$8,MATCH(LARGE($IO$4:$IO$8,1),$IO$4:$IO$8,0),1),"-")</f>
        <v>3</v>
      </c>
      <c r="IQ11" s="3" t="s">
        <v>161</v>
      </c>
      <c r="IR11" s="6">
        <f>IFERROR(INDEX($IQ$4:$IR$8,MATCH(LARGE($IR$4:$IR$8,1),$IR$4:$IR$8,0),1),"-")</f>
        <v>5</v>
      </c>
      <c r="IU11" s="5"/>
      <c r="IW11" s="3" t="s">
        <v>161</v>
      </c>
      <c r="IX11" s="6">
        <f>IFERROR(INDEX($IW$4:$IX$8,MATCH(LARGE($IX$4:$IX$8,1),$IX$4:$IX$8,0),1),"-")</f>
        <v>3</v>
      </c>
      <c r="IZ11" s="3" t="s">
        <v>161</v>
      </c>
      <c r="JA11" s="6">
        <f>IFERROR(INDEX($IZ$4:$JA$8,MATCH(LARGE($JA$4:$JA$8,1),$JA$4:$JA$8,0),1),"-")</f>
        <v>3</v>
      </c>
      <c r="JC11" s="3" t="s">
        <v>161</v>
      </c>
      <c r="JD11" s="6">
        <f>IFERROR(INDEX($JF$4:$JG$8,MATCH(LARGE($JG$4:$JG$8,1),$JG$4:$JG$8,0),1),"-")</f>
        <v>1</v>
      </c>
      <c r="JF11" s="3" t="s">
        <v>161</v>
      </c>
      <c r="JG11" s="6">
        <f>IFERROR(INDEX($JF$4:$JG$8,MATCH(LARGE($JG$4:$JG$8,1),$JG$4:$JG$8,0),1),"-")</f>
        <v>1</v>
      </c>
      <c r="JI11" s="3" t="s">
        <v>161</v>
      </c>
      <c r="JJ11" s="6">
        <f>IFERROR(INDEX($JI$4:$JJ$8,MATCH(LARGE($JJ$4:$JJ$8,1),$JJ$4:$JJ$8,0),1),"-")</f>
        <v>4</v>
      </c>
      <c r="JL11" s="3" t="s">
        <v>161</v>
      </c>
      <c r="JM11" s="6">
        <f>IFERROR(INDEX($JL$4:$JM$8,MATCH(LARGE($JM$4:$JM$8,1),$JM$4:$JM$8,0),1),"-")</f>
        <v>4</v>
      </c>
      <c r="JO11" s="3" t="s">
        <v>161</v>
      </c>
      <c r="JP11" s="6">
        <f>IFERROR(INDEX($JO$4:$JP$8,MATCH(LARGE($JP$4:$JP$8,1),$JP$4:$JP$8,0),1),"-")</f>
        <v>4</v>
      </c>
      <c r="JR11" s="3" t="s">
        <v>161</v>
      </c>
      <c r="JS11" s="6">
        <f>IFERROR(INDEX($JR$4:$JS$8,MATCH(LARGE($JS$4:$JS$8,1),$JS$4:$JS$8,0),1),"-")</f>
        <v>4</v>
      </c>
      <c r="JU11" s="3" t="s">
        <v>161</v>
      </c>
      <c r="JV11" s="6">
        <f>IFERROR(INDEX($JU$4:$JV$8,MATCH(LARGE($JV$4:$JV$8,1),$JV$4:$JV$8,0),1),"-")</f>
        <v>3</v>
      </c>
      <c r="JX11" s="3" t="s">
        <v>161</v>
      </c>
      <c r="JY11" s="6">
        <f>IFERROR(INDEX($JX$4:$JY$8,MATCH(LARGE($JY$4:$JY$8,1),$JY$4:$JY$8,0),1),"-")</f>
        <v>3</v>
      </c>
      <c r="KA11" s="3" t="s">
        <v>161</v>
      </c>
      <c r="KB11" s="6">
        <f>IFERROR(INDEX($KA$4:$KB$8,MATCH(LARGE($KB$4:$KB$8,1),$KB$4:$KB$8,0),1),"-")</f>
        <v>3</v>
      </c>
      <c r="KD11" s="3" t="s">
        <v>161</v>
      </c>
      <c r="KE11" s="6">
        <f>IFERROR(INDEX($KD$4:$KE$8,MATCH(LARGE($KE$4:$KE$8,1),$KE$4:$KE$8,0),1),"-")</f>
        <v>5</v>
      </c>
      <c r="KG11" s="3" t="s">
        <v>161</v>
      </c>
      <c r="KH11" s="6">
        <f>IFERROR(INDEX($KG$4:$KH$8,MATCH(LARGE($KH$4:$KH$8,1),$KH$4:$KH$8,0),1),"-")</f>
        <v>4</v>
      </c>
      <c r="KJ11" s="3" t="s">
        <v>161</v>
      </c>
      <c r="KK11" s="6">
        <f>IFERROR(INDEX($KJ$4:$KK$8,MATCH(LARGE($KK$4:$KK$8,1),$KK$4:$KK$8,0),1),"-")</f>
        <v>5</v>
      </c>
      <c r="KM11" s="3" t="s">
        <v>161</v>
      </c>
      <c r="KN11" s="6">
        <f>IFERROR(INDEX($KM$4:$KN$8,MATCH(LARGE($KN$4:$KN$8,1),$KN$4:$KN$8,0),1),"-")</f>
        <v>5</v>
      </c>
      <c r="KP11" s="3" t="s">
        <v>161</v>
      </c>
      <c r="KQ11" s="6">
        <f>IFERROR(INDEX($KP$4:$KR$8,MATCH(LARGE($KR$4:$KR$8,1),$KR$4:$KR$8,0),1),"-")</f>
        <v>3</v>
      </c>
      <c r="KT11" s="5"/>
      <c r="KW11" s="5"/>
      <c r="KZ11" s="5"/>
      <c r="LB11" s="3" t="s">
        <v>161</v>
      </c>
      <c r="LC11" s="6">
        <f>IFERROR(INDEX($LB$4:$LC$8,MATCH(LARGE($LC$4:$LC$8,1),$LC$4:$LC$8,0),1),"-")</f>
        <v>5</v>
      </c>
      <c r="LF11" s="5"/>
      <c r="LI11" s="5"/>
      <c r="LK11" s="3" t="s">
        <v>161</v>
      </c>
      <c r="LL11" s="6">
        <f>IFERROR(INDEX($LK$4:$LL$8,MATCH(LARGE($LL$4:$LL$8,1),$LL$4:$LL$8,0),1),"-")</f>
        <v>5</v>
      </c>
      <c r="LO11" s="5"/>
      <c r="LQ11" s="3" t="s">
        <v>161</v>
      </c>
      <c r="LR11" s="6">
        <f>IFERROR(INDEX($LQ$4:$LR$8,MATCH(LARGE($LR$4:$LR$8,1),$LR$4:$LR$8,0),1),"-")</f>
        <v>5</v>
      </c>
      <c r="LU11" s="5"/>
      <c r="LX11" s="5"/>
      <c r="MA11" s="5"/>
      <c r="MC11" s="3" t="s">
        <v>1299</v>
      </c>
      <c r="MD11" s="3" t="s">
        <v>1284</v>
      </c>
      <c r="ME11" s="25">
        <v>3</v>
      </c>
      <c r="MF11" s="19">
        <f t="shared" si="2"/>
        <v>1.107011070110701E-2</v>
      </c>
      <c r="MG11" s="3" t="s">
        <v>292</v>
      </c>
      <c r="MH11" s="3" t="s">
        <v>824</v>
      </c>
      <c r="MI11" s="25">
        <v>4</v>
      </c>
      <c r="MJ11" s="19">
        <f t="shared" si="3"/>
        <v>1.4760147601476014E-2</v>
      </c>
      <c r="MK11" s="3" t="s">
        <v>1299</v>
      </c>
      <c r="ML11" s="3" t="s">
        <v>1298</v>
      </c>
      <c r="MM11" s="25">
        <v>4</v>
      </c>
      <c r="MN11" s="19">
        <f t="shared" si="4"/>
        <v>1.4760147601476014E-2</v>
      </c>
      <c r="MP11" s="5"/>
      <c r="MS11" s="5"/>
      <c r="MV11" s="5"/>
      <c r="MY11" s="5"/>
      <c r="NB11" s="5"/>
      <c r="NE11" s="5"/>
      <c r="NH11" s="5"/>
      <c r="NK11" s="5"/>
      <c r="NN11" s="5"/>
      <c r="NP11" s="3" t="s">
        <v>288</v>
      </c>
      <c r="NQ11" s="6">
        <f>COUNTIF(Respostas_Formatadas!$EV:$EV,Tabulacao!$NP11)</f>
        <v>13</v>
      </c>
      <c r="NR11" s="19">
        <f t="shared" si="95"/>
        <v>4.797047970479705E-2</v>
      </c>
      <c r="NS11" s="3" t="s">
        <v>288</v>
      </c>
      <c r="NT11" s="6">
        <f>COUNTIF(Respostas_Formatadas!$EW:$EW,Tabulacao!$NS11)</f>
        <v>17</v>
      </c>
      <c r="NU11" s="19">
        <f t="shared" si="96"/>
        <v>6.273062730627306E-2</v>
      </c>
      <c r="OA11" s="5"/>
      <c r="OD11" s="5"/>
      <c r="OG11" s="16">
        <v>2012</v>
      </c>
      <c r="OH11" s="25">
        <f>IFERROR(COUNTIF(Respostas_Formatadas!$FE:$FE,Tabulacao!$OG11),"-")</f>
        <v>3</v>
      </c>
      <c r="OI11" s="19">
        <f t="shared" si="97"/>
        <v>1.107011070110701E-2</v>
      </c>
    </row>
    <row r="12" spans="1:402" ht="15.75" customHeight="1" x14ac:dyDescent="0.2">
      <c r="D12" s="3" t="s">
        <v>127</v>
      </c>
      <c r="E12" s="6">
        <f>COUNTIF(Respostas_Formatadas!$C:$C,Tabulacao!$D12)</f>
        <v>17</v>
      </c>
      <c r="F12" s="19">
        <f t="shared" si="6"/>
        <v>6.273062730627306E-2</v>
      </c>
      <c r="H12" s="5"/>
      <c r="K12" s="5"/>
      <c r="N12" s="5"/>
      <c r="Q12" s="5"/>
      <c r="T12" s="5"/>
      <c r="W12" s="5"/>
      <c r="Z12" s="5"/>
      <c r="AC12" s="5"/>
      <c r="AF12" s="5"/>
      <c r="AH12" s="3" t="s">
        <v>598</v>
      </c>
      <c r="AI12" s="6">
        <f>IFERROR(COUNTIF(Respostas_Formatadas!$S:$S,$AH12),"-")</f>
        <v>1</v>
      </c>
      <c r="AJ12" s="19">
        <f t="shared" si="0"/>
        <v>1.7543859649122806E-2</v>
      </c>
      <c r="AL12" s="5"/>
      <c r="AO12" s="5"/>
      <c r="AQ12" s="3" t="s">
        <v>162</v>
      </c>
      <c r="AR12" s="6">
        <f>IFERROR(MEDIAN(Respostas_Formatadas!$V$3:$V$471),"-")</f>
        <v>3</v>
      </c>
      <c r="AT12" s="3" t="s">
        <v>162</v>
      </c>
      <c r="AU12" s="6">
        <f>IFERROR(MEDIAN(Respostas_Formatadas!$W$3:$W$471),"-")</f>
        <v>3</v>
      </c>
      <c r="AW12" s="3" t="s">
        <v>162</v>
      </c>
      <c r="AX12" s="6">
        <f>IFERROR(MEDIAN(Respostas_Formatadas!$X$3:$X$471),"-")</f>
        <v>4</v>
      </c>
      <c r="BA12" s="6"/>
      <c r="BD12" s="5"/>
      <c r="BG12" s="5"/>
      <c r="BI12" s="3" t="s">
        <v>183</v>
      </c>
      <c r="BJ12" s="6">
        <f>COUNTIF(Respostas_Formatadas!$AB:$AB,Tabulacao!$BI12)</f>
        <v>1</v>
      </c>
      <c r="BK12" s="19">
        <f t="shared" si="18"/>
        <v>0.01</v>
      </c>
      <c r="BL12" s="3" t="s">
        <v>183</v>
      </c>
      <c r="BM12" s="6">
        <f>COUNTIF(Respostas_Formatadas!$AC:$AC,Tabulacao!$BL12)</f>
        <v>4</v>
      </c>
      <c r="BN12" s="19">
        <f t="shared" si="19"/>
        <v>5.4054054054054057E-2</v>
      </c>
      <c r="BO12" s="19"/>
      <c r="BP12" s="3" t="str">
        <f>Respostas_Formatadas!C12</f>
        <v>Tecnologia em Gestão de Turismo</v>
      </c>
      <c r="BQ12" s="3" t="str">
        <f>Respostas_Formatadas!AD12</f>
        <v xml:space="preserve">ATENDENTE DE HOSPEDAGEM </v>
      </c>
      <c r="BR12" s="4" t="s">
        <v>1111</v>
      </c>
      <c r="BS12" s="25">
        <f t="shared" si="100"/>
        <v>1</v>
      </c>
      <c r="BU12" s="3" t="s">
        <v>162</v>
      </c>
      <c r="BV12" s="6">
        <f>IFERROR(MEDIAN(Respostas_Formatadas!$AE$3:$AE$471),"-")</f>
        <v>4</v>
      </c>
      <c r="BY12" s="5"/>
      <c r="CB12" s="5"/>
      <c r="CE12" s="5"/>
      <c r="CG12" s="3" t="s">
        <v>162</v>
      </c>
      <c r="CH12" s="6">
        <f>IFERROR(MEDIAN(Respostas_Formatadas!$AJ$3:$AJ$471),"-")</f>
        <v>4</v>
      </c>
      <c r="CJ12" s="3" t="s">
        <v>162</v>
      </c>
      <c r="CK12" s="6">
        <f>IFERROR(MEDIAN(Respostas_Formatadas!$AK$3:$AK$471),"-")</f>
        <v>3</v>
      </c>
      <c r="CN12" s="5"/>
      <c r="CQ12" s="5"/>
      <c r="CT12" s="5"/>
      <c r="CW12" s="5"/>
      <c r="CY12" s="3" t="str">
        <f t="shared" si="1"/>
        <v>Tecnologia em Gestão de Turismo</v>
      </c>
      <c r="CZ12" s="3" t="str">
        <f>Respostas_Formatadas!AP12</f>
        <v xml:space="preserve">RECEPÇÃO </v>
      </c>
      <c r="DA12" s="3" t="s">
        <v>1218</v>
      </c>
      <c r="DB12" s="25">
        <f t="shared" si="99"/>
        <v>1</v>
      </c>
      <c r="DE12" s="5"/>
      <c r="DG12" s="3" t="s">
        <v>162</v>
      </c>
      <c r="DH12" s="6">
        <f>IFERROR(MEDIAN(Respostas_Formatadas!$AR$3:$AR$273),"-")</f>
        <v>3</v>
      </c>
      <c r="DJ12" s="3" t="s">
        <v>162</v>
      </c>
      <c r="DK12" s="6">
        <f>IFERROR(MEDIAN(Respostas_Formatadas!$AS$3:$AS$471),"-")</f>
        <v>4</v>
      </c>
      <c r="DM12" s="3" t="s">
        <v>162</v>
      </c>
      <c r="DN12" s="6">
        <f>IFERROR(MEDIAN(Respostas_Formatadas!$AT$3:$AT$471),"-")</f>
        <v>3</v>
      </c>
      <c r="DP12" s="3" t="s">
        <v>162</v>
      </c>
      <c r="DQ12" s="6">
        <f>IFERROR(MEDIAN(Respostas_Formatadas!$AU$3:$AU$471),"-")</f>
        <v>4</v>
      </c>
      <c r="DS12" s="3" t="s">
        <v>162</v>
      </c>
      <c r="DT12" s="6">
        <f>IFERROR(MEDIAN(Respostas_Formatadas!$AV$3:$AV$471),"-")</f>
        <v>4</v>
      </c>
      <c r="DV12" s="3" t="s">
        <v>200</v>
      </c>
      <c r="DW12" s="6">
        <f>COUNTIF(Respostas_Formatadas!$AW:$AW,Tabulacao!$DV12)</f>
        <v>4</v>
      </c>
      <c r="DX12" s="19">
        <f t="shared" si="30"/>
        <v>2.8169014084507043E-2</v>
      </c>
      <c r="DZ12" s="5"/>
      <c r="EC12" s="5"/>
      <c r="EF12" s="5"/>
      <c r="EI12" s="5"/>
      <c r="EK12" s="3" t="s">
        <v>125</v>
      </c>
      <c r="EL12" s="3" t="str">
        <f>Respostas_Formatadas!BC12</f>
        <v>Aracaju</v>
      </c>
      <c r="EM12" s="3" t="s">
        <v>778</v>
      </c>
      <c r="EN12" s="25">
        <f>COUNTIF(Respostas_Formatadas!$BC:$BC,Tabulacao!EM12)</f>
        <v>1</v>
      </c>
      <c r="EQ12" s="5"/>
      <c r="ET12" s="5"/>
      <c r="EW12" s="5"/>
      <c r="EY12" s="3" t="s">
        <v>162</v>
      </c>
      <c r="EZ12" s="6">
        <f>IFERROR(MEDIAN(Respostas_Formatadas!$BG$3:$BG$471),"-")</f>
        <v>4</v>
      </c>
      <c r="FB12" s="3" t="s">
        <v>162</v>
      </c>
      <c r="FC12" s="6">
        <f>IFERROR(MEDIAN(Respostas_Formatadas!$BH$3:$BH$471),"-")</f>
        <v>4</v>
      </c>
      <c r="FE12" s="3" t="s">
        <v>162</v>
      </c>
      <c r="FF12" s="6">
        <f>IFERROR(MEDIAN(Respostas_Formatadas!$BI$3:$BI$471),"-")</f>
        <v>4</v>
      </c>
      <c r="FH12" s="3" t="s">
        <v>162</v>
      </c>
      <c r="FI12" s="6">
        <f>IFERROR(MEDIAN(Respostas_Formatadas!$BJ$3:$BJ$471),"-")</f>
        <v>4</v>
      </c>
      <c r="FK12" s="3" t="s">
        <v>162</v>
      </c>
      <c r="FL12" s="6">
        <f>IFERROR(MEDIAN(Respostas_Formatadas!$BK$3:$BK$471),"-")</f>
        <v>5</v>
      </c>
      <c r="FN12" s="3" t="s">
        <v>162</v>
      </c>
      <c r="FO12" s="6">
        <f>IFERROR(MEDIAN(Respostas_Formatadas!$BL$3:$BL$471),"-")</f>
        <v>5</v>
      </c>
      <c r="FQ12" s="3" t="s">
        <v>162</v>
      </c>
      <c r="FR12" s="6">
        <f>IFERROR(MEDIAN(Respostas_Formatadas!$BM$3:$BM$471),"-")</f>
        <v>5</v>
      </c>
      <c r="FT12" s="3" t="s">
        <v>162</v>
      </c>
      <c r="FU12" s="6">
        <f>IFERROR(MEDIAN(Respostas_Formatadas!$BN$3:$BN$471),"-")</f>
        <v>5</v>
      </c>
      <c r="FW12" s="3" t="s">
        <v>162</v>
      </c>
      <c r="FX12" s="6">
        <f>IFERROR(MEDIAN(Respostas_Formatadas!$BO$3:$BO$471),"-")</f>
        <v>4</v>
      </c>
      <c r="FZ12" s="3" t="s">
        <v>162</v>
      </c>
      <c r="GA12" s="6">
        <f>IFERROR(MEDIAN(Respostas_Formatadas!$BP$3:$BP$471),"-")</f>
        <v>4</v>
      </c>
      <c r="GC12" s="3" t="s">
        <v>162</v>
      </c>
      <c r="GD12" s="6">
        <f>IFERROR(MEDIAN(Respostas_Formatadas!$BQ$3:$BQ$471),"-")</f>
        <v>4</v>
      </c>
      <c r="GF12" s="3" t="s">
        <v>162</v>
      </c>
      <c r="GG12" s="6">
        <f>IFERROR(MEDIAN(Respostas_Formatadas!$BR$3:$BR$471),"-")</f>
        <v>4</v>
      </c>
      <c r="GI12" s="3" t="s">
        <v>162</v>
      </c>
      <c r="GJ12" s="6">
        <f>IFERROR(MEDIAN(Respostas_Formatadas!$BS$3:$BS$471),"-")</f>
        <v>2</v>
      </c>
      <c r="GL12" s="3" t="s">
        <v>162</v>
      </c>
      <c r="GM12" s="6">
        <f>IFERROR(MEDIAN(Respostas_Formatadas!$BT$3:$BT$471),"-")</f>
        <v>4</v>
      </c>
      <c r="GO12" s="3" t="s">
        <v>162</v>
      </c>
      <c r="GP12" s="6">
        <f>IFERROR(MEDIAN(Respostas_Formatadas!$BU$3:$BU$471),"-")</f>
        <v>4</v>
      </c>
      <c r="GR12" s="3" t="s">
        <v>162</v>
      </c>
      <c r="GS12" s="6">
        <f>IFERROR(MEDIAN(Respostas_Formatadas!$BV$3:$BV$471),"-")</f>
        <v>4</v>
      </c>
      <c r="GU12" s="3" t="s">
        <v>162</v>
      </c>
      <c r="GV12" s="6">
        <f>IFERROR(MEDIAN(Respostas_Formatadas!$BW$3:$BW$471),"-")</f>
        <v>4</v>
      </c>
      <c r="GX12" s="3" t="s">
        <v>162</v>
      </c>
      <c r="GY12" s="6">
        <f>IFERROR(MEDIAN(Respostas_Formatadas!$BX$3:$BX$471),"-")</f>
        <v>4</v>
      </c>
      <c r="HA12" s="3" t="s">
        <v>162</v>
      </c>
      <c r="HB12" s="6">
        <f>IFERROR(MEDIAN(Respostas_Formatadas!$BY$3:$BY$471),"-")</f>
        <v>4</v>
      </c>
      <c r="HD12" s="3" t="s">
        <v>162</v>
      </c>
      <c r="HE12" s="6">
        <f>IFERROR(MEDIAN(Respostas_Formatadas!$BZ$3:$BZ$471),"-")</f>
        <v>4</v>
      </c>
      <c r="HG12" s="3" t="s">
        <v>162</v>
      </c>
      <c r="HH12" s="6">
        <f>IFERROR(MEDIAN(Respostas_Formatadas!$CA$3:$CA$471),"-")</f>
        <v>5</v>
      </c>
      <c r="HJ12" s="3" t="s">
        <v>162</v>
      </c>
      <c r="HK12" s="6">
        <f>IFERROR(MEDIAN(Respostas_Formatadas!$CB$3:$CB$471),"-")</f>
        <v>4</v>
      </c>
      <c r="HM12" s="3" t="s">
        <v>162</v>
      </c>
      <c r="HN12" s="6">
        <f>IFERROR(MEDIAN(Respostas_Formatadas!$CC$3:$CC$471),"-")</f>
        <v>4</v>
      </c>
      <c r="HP12" s="3" t="s">
        <v>162</v>
      </c>
      <c r="HQ12" s="6">
        <f>IFERROR(MEDIAN(Respostas_Formatadas!$CD$3:$CD$471),"-")</f>
        <v>4</v>
      </c>
      <c r="HS12" s="3" t="s">
        <v>162</v>
      </c>
      <c r="HT12" s="6">
        <f>IFERROR(MEDIAN(Respostas_Formatadas!$CE$3:$CE$471),"-")</f>
        <v>4</v>
      </c>
      <c r="HV12" s="3" t="s">
        <v>162</v>
      </c>
      <c r="HW12" s="6">
        <f>IFERROR(MEDIAN(Respostas_Formatadas!$CF$3:$CF$471),"-")</f>
        <v>2</v>
      </c>
      <c r="HY12" s="3" t="s">
        <v>162</v>
      </c>
      <c r="HZ12" s="6">
        <f>IFERROR(MEDIAN(Respostas_Formatadas!$CG$3:$CG$471),"-")</f>
        <v>3</v>
      </c>
      <c r="IB12" s="3" t="s">
        <v>230</v>
      </c>
      <c r="IC12" s="6">
        <f>COUNTIF(Respostas_Formatadas!$CH:$CJ,Tabulacao!$IB12)</f>
        <v>21</v>
      </c>
      <c r="ID12" s="19">
        <f t="shared" si="64"/>
        <v>7.7490774907749083E-2</v>
      </c>
      <c r="IE12" s="3" t="s">
        <v>239</v>
      </c>
      <c r="IF12" s="6">
        <f>COUNTIF(Respostas_Formatadas!$CK:$CM,Tabulacao!$IE12)</f>
        <v>70</v>
      </c>
      <c r="IG12" s="19">
        <f t="shared" si="65"/>
        <v>0.25830258302583026</v>
      </c>
      <c r="II12" s="5"/>
      <c r="IL12" s="5"/>
      <c r="IN12" s="3" t="s">
        <v>162</v>
      </c>
      <c r="IO12" s="6">
        <f>IFERROR(MEDIAN(Respostas_Formatadas!$CP$3:$CP$471),"-")</f>
        <v>3</v>
      </c>
      <c r="IQ12" s="3" t="s">
        <v>162</v>
      </c>
      <c r="IR12" s="6">
        <f>IFERROR(MEDIAN(Respostas_Formatadas!$CQ$3:$CQ$471),"-")</f>
        <v>4</v>
      </c>
      <c r="IU12" s="5"/>
      <c r="IW12" s="3" t="s">
        <v>162</v>
      </c>
      <c r="IX12" s="6">
        <f>IFERROR(MEDIAN(Respostas_Formatadas!$CS$3:$CS$471),"-")</f>
        <v>3</v>
      </c>
      <c r="IZ12" s="3" t="s">
        <v>162</v>
      </c>
      <c r="JA12" s="6">
        <f>IFERROR(MEDIAN(Respostas_Formatadas!$CT$3:$CT$471),"-")</f>
        <v>3</v>
      </c>
      <c r="JC12" s="3" t="s">
        <v>162</v>
      </c>
      <c r="JD12" s="6">
        <f>IFERROR(MEDIAN(Respostas_Formatadas!$CU$3:$CU$471),"-")</f>
        <v>3</v>
      </c>
      <c r="JF12" s="3" t="s">
        <v>162</v>
      </c>
      <c r="JG12" s="6">
        <f>IFERROR(MEDIAN(Respostas_Formatadas!$CV$3:$CV$471),"-")</f>
        <v>3</v>
      </c>
      <c r="JI12" s="3" t="s">
        <v>162</v>
      </c>
      <c r="JJ12" s="6">
        <f>IFERROR(MEDIAN(Respostas_Formatadas!$CW$3:$CW$471),"-")</f>
        <v>4</v>
      </c>
      <c r="JL12" s="3" t="s">
        <v>162</v>
      </c>
      <c r="JM12" s="6">
        <f>IFERROR(MEDIAN(Respostas_Formatadas!$CX$3:$CX$471),"-")</f>
        <v>4</v>
      </c>
      <c r="JO12" s="3" t="s">
        <v>162</v>
      </c>
      <c r="JP12" s="6">
        <f>IFERROR(MEDIAN(Respostas_Formatadas!$CY$3:$CY$471),"-")</f>
        <v>4</v>
      </c>
      <c r="JR12" s="3" t="s">
        <v>162</v>
      </c>
      <c r="JS12" s="6">
        <f>IFERROR(MEDIAN(Respostas_Formatadas!$CZ$3:$CZ$471),"-")</f>
        <v>4</v>
      </c>
      <c r="JU12" s="3" t="s">
        <v>162</v>
      </c>
      <c r="JV12" s="6">
        <f>IFERROR(MEDIAN(Respostas_Formatadas!$DA$3:$DA$471),"-")</f>
        <v>3</v>
      </c>
      <c r="JX12" s="3" t="s">
        <v>162</v>
      </c>
      <c r="JY12" s="6">
        <f>IFERROR(MEDIAN(Respostas_Formatadas!$DB$3:$DB$471),"-")</f>
        <v>3</v>
      </c>
      <c r="KA12" s="3" t="s">
        <v>162</v>
      </c>
      <c r="KB12" s="6">
        <f>IFERROR(MEDIAN(Respostas_Formatadas!$DC$3:$DC$471),"-")</f>
        <v>3</v>
      </c>
      <c r="KD12" s="3" t="s">
        <v>162</v>
      </c>
      <c r="KE12" s="6">
        <f>IFERROR(MEDIAN(Respostas_Formatadas!$DD$3:$DD$471),"-")</f>
        <v>4</v>
      </c>
      <c r="KG12" s="3" t="s">
        <v>162</v>
      </c>
      <c r="KH12" s="6">
        <f>IFERROR(MEDIAN(Respostas_Formatadas!$DE$3:$DE$471),"-")</f>
        <v>4</v>
      </c>
      <c r="KJ12" s="3" t="s">
        <v>162</v>
      </c>
      <c r="KK12" s="6">
        <f>IFERROR(MEDIAN(Respostas_Formatadas!$DF$3:$DF$471),"-")</f>
        <v>4</v>
      </c>
      <c r="KM12" s="3" t="s">
        <v>162</v>
      </c>
      <c r="KN12" s="6">
        <f>IFERROR(MEDIAN(Respostas_Formatadas!$DG$3:$DG$471),"-")</f>
        <v>4</v>
      </c>
      <c r="KP12" s="3" t="s">
        <v>162</v>
      </c>
      <c r="KQ12" s="6">
        <f>IFERROR(MEDIAN(Respostas_Formatadas!$DH$3:$DH$471),"-")</f>
        <v>3</v>
      </c>
      <c r="KT12" s="5"/>
      <c r="KW12" s="5"/>
      <c r="KZ12" s="5"/>
      <c r="LB12" s="3" t="s">
        <v>162</v>
      </c>
      <c r="LC12" s="6">
        <f>IFERROR(MEDIAN(Respostas_Formatadas!$DQ$3:$DQ$471),"-")</f>
        <v>4</v>
      </c>
      <c r="LF12" s="5"/>
      <c r="LI12" s="5"/>
      <c r="LK12" s="3" t="s">
        <v>162</v>
      </c>
      <c r="LL12" s="6">
        <f>IFERROR(MEDIAN(Respostas_Formatadas!$DY$3:$DY$471),"-")</f>
        <v>5</v>
      </c>
      <c r="LO12" s="5"/>
      <c r="LQ12" s="3" t="s">
        <v>162</v>
      </c>
      <c r="LR12" s="6">
        <f>IFERROR(MEDIAN(Respostas_Formatadas!$EA$3:$EA$471),"-")</f>
        <v>5</v>
      </c>
      <c r="LU12" s="5"/>
      <c r="LX12" s="5"/>
      <c r="MA12" s="5"/>
      <c r="MC12" s="3" t="s">
        <v>292</v>
      </c>
      <c r="MD12" s="3" t="s">
        <v>778</v>
      </c>
      <c r="ME12" s="25">
        <v>3</v>
      </c>
      <c r="MF12" s="19">
        <f t="shared" si="2"/>
        <v>1.107011070110701E-2</v>
      </c>
      <c r="MG12" s="3" t="s">
        <v>292</v>
      </c>
      <c r="MH12" s="3" t="s">
        <v>778</v>
      </c>
      <c r="MI12" s="25">
        <v>3</v>
      </c>
      <c r="MJ12" s="19">
        <f t="shared" si="3"/>
        <v>1.107011070110701E-2</v>
      </c>
      <c r="MK12" s="3" t="s">
        <v>292</v>
      </c>
      <c r="ML12" s="3" t="s">
        <v>616</v>
      </c>
      <c r="MM12" s="25">
        <v>3</v>
      </c>
      <c r="MN12" s="19">
        <f t="shared" si="4"/>
        <v>1.107011070110701E-2</v>
      </c>
      <c r="MP12" s="5"/>
      <c r="MS12" s="5"/>
      <c r="MV12" s="5"/>
      <c r="MY12" s="5"/>
      <c r="NB12" s="5"/>
      <c r="NE12" s="5"/>
      <c r="NH12" s="5"/>
      <c r="NK12" s="5"/>
      <c r="NN12" s="5"/>
      <c r="NQ12" s="5"/>
      <c r="NT12" s="5"/>
      <c r="OA12" s="5"/>
      <c r="OD12" s="5"/>
      <c r="OG12" s="16">
        <v>2013</v>
      </c>
      <c r="OH12" s="25">
        <f>IFERROR(COUNTIF(Respostas_Formatadas!$FE:$FE,Tabulacao!$OG12),"-")</f>
        <v>18</v>
      </c>
      <c r="OI12" s="19">
        <f t="shared" si="97"/>
        <v>6.6420664206642069E-2</v>
      </c>
    </row>
    <row r="13" spans="1:402" ht="15.75" customHeight="1" x14ac:dyDescent="0.2">
      <c r="D13" s="3" t="s">
        <v>128</v>
      </c>
      <c r="E13" s="6">
        <f>COUNTIF(Respostas_Formatadas!$C:$C,Tabulacao!$D13)</f>
        <v>13</v>
      </c>
      <c r="F13" s="19">
        <f t="shared" si="6"/>
        <v>4.797047970479705E-2</v>
      </c>
      <c r="H13" s="5"/>
      <c r="K13" s="5"/>
      <c r="N13" s="5"/>
      <c r="Q13" s="5"/>
      <c r="T13" s="5"/>
      <c r="W13" s="5"/>
      <c r="Z13" s="5"/>
      <c r="AC13" s="5"/>
      <c r="AF13" s="5"/>
      <c r="AH13" s="3" t="s">
        <v>942</v>
      </c>
      <c r="AI13" s="6">
        <f>IFERROR(COUNTIF(Respostas_Formatadas!$S:$S,$AH13),"-")</f>
        <v>1</v>
      </c>
      <c r="AJ13" s="19">
        <f t="shared" si="0"/>
        <v>1.7543859649122806E-2</v>
      </c>
      <c r="AL13" s="5"/>
      <c r="AO13" s="5"/>
      <c r="AQ13" s="3" t="s">
        <v>163</v>
      </c>
      <c r="AR13" s="29">
        <f>IFERROR(STDEVA(Respostas_Formatadas!$V$3:$V$471),"-")</f>
        <v>1.4404912787021444</v>
      </c>
      <c r="AT13" s="3" t="s">
        <v>163</v>
      </c>
      <c r="AU13" s="29">
        <f>IFERROR(STDEVA(Respostas_Formatadas!$W$3:$W$471),"-")</f>
        <v>1.4932799662056895</v>
      </c>
      <c r="AW13" s="3" t="s">
        <v>163</v>
      </c>
      <c r="AX13" s="29">
        <f>IFERROR(STDEVA(Respostas_Formatadas!$X$3:$X$471),"-")</f>
        <v>1.3726434461461701</v>
      </c>
      <c r="BA13" s="6"/>
      <c r="BD13" s="5"/>
      <c r="BG13" s="5"/>
      <c r="BI13" s="3" t="s">
        <v>184</v>
      </c>
      <c r="BJ13" s="6">
        <f>COUNTIF(Respostas_Formatadas!$AB:$AB,Tabulacao!$BI13)</f>
        <v>16</v>
      </c>
      <c r="BK13" s="19">
        <f t="shared" si="18"/>
        <v>0.16</v>
      </c>
      <c r="BL13" s="3" t="s">
        <v>186</v>
      </c>
      <c r="BM13" s="6">
        <f>COUNTIF(Respostas_Formatadas!$AC:$AC,Tabulacao!$BL13)</f>
        <v>18</v>
      </c>
      <c r="BN13" s="19">
        <f t="shared" si="19"/>
        <v>0.24324324324324326</v>
      </c>
      <c r="BO13" s="19"/>
      <c r="BP13" s="3" t="str">
        <f>Respostas_Formatadas!C13</f>
        <v>Tecnologia em Logística</v>
      </c>
      <c r="BQ13" s="3">
        <f>Respostas_Formatadas!AD13</f>
        <v>0</v>
      </c>
      <c r="BS13" s="5"/>
      <c r="BU13" s="3" t="s">
        <v>163</v>
      </c>
      <c r="BV13" s="29">
        <f>IFERROR(STDEVA(Respostas_Formatadas!$AE$3:$AE$471),"-")</f>
        <v>1.5547928816801488</v>
      </c>
      <c r="BY13" s="5"/>
      <c r="CB13" s="5"/>
      <c r="CE13" s="5"/>
      <c r="CG13" s="3" t="s">
        <v>163</v>
      </c>
      <c r="CH13" s="29">
        <f>IFERROR(STDEVA(Respostas_Formatadas!$AJ$3:$AJ$471),"-")</f>
        <v>1.3306189565465742</v>
      </c>
      <c r="CJ13" s="3" t="s">
        <v>163</v>
      </c>
      <c r="CK13" s="29">
        <f>IFERROR(STDEVA(Respostas_Formatadas!$AK$3:$AK$471),"-")</f>
        <v>1.3690607317513128</v>
      </c>
      <c r="CN13" s="5"/>
      <c r="CQ13" s="5"/>
      <c r="CT13" s="5"/>
      <c r="CW13" s="5"/>
      <c r="CY13" s="3" t="str">
        <f t="shared" si="1"/>
        <v>Tecnologia em Logística</v>
      </c>
      <c r="CZ13" s="3">
        <f>Respostas_Formatadas!AP13</f>
        <v>0</v>
      </c>
      <c r="DB13" s="5"/>
      <c r="DE13" s="5"/>
      <c r="DG13" s="3" t="s">
        <v>163</v>
      </c>
      <c r="DH13" s="29">
        <f>IFERROR(STDEVA(Respostas_Formatadas!$AR$3:$AR$273),"-")</f>
        <v>1.1655403910077033</v>
      </c>
      <c r="DJ13" s="3" t="s">
        <v>163</v>
      </c>
      <c r="DK13" s="29">
        <f>IFERROR(STDEVA(Respostas_Formatadas!$AS$3:$AS$471),"-")</f>
        <v>1.3755464520726191</v>
      </c>
      <c r="DM13" s="3" t="s">
        <v>163</v>
      </c>
      <c r="DN13" s="29">
        <f>IFERROR(STDEVA(Respostas_Formatadas!$AT$3:$AT$471),"-")</f>
        <v>1.3394844233260685</v>
      </c>
      <c r="DP13" s="3" t="s">
        <v>163</v>
      </c>
      <c r="DQ13" s="29">
        <f>IFERROR(STDEVA(Respostas_Formatadas!$AU$3:$AU$471),"-")</f>
        <v>1.0651257651748887</v>
      </c>
      <c r="DS13" s="3" t="s">
        <v>163</v>
      </c>
      <c r="DT13" s="29">
        <f>IFERROR(STDEVA(Respostas_Formatadas!$AV$3:$AV$471),"-")</f>
        <v>1.3515918718115629</v>
      </c>
      <c r="DV13" s="3" t="s">
        <v>201</v>
      </c>
      <c r="DW13" s="6">
        <f>COUNTIF(Respostas_Formatadas!$AW:$AW,Tabulacao!$DV13)</f>
        <v>3</v>
      </c>
      <c r="DX13" s="19">
        <f t="shared" si="30"/>
        <v>2.1126760563380281E-2</v>
      </c>
      <c r="DZ13" s="5"/>
      <c r="EC13" s="5"/>
      <c r="EF13" s="5"/>
      <c r="EI13" s="5"/>
      <c r="EK13" s="3" t="s">
        <v>127</v>
      </c>
      <c r="EM13" s="3" t="s">
        <v>1289</v>
      </c>
      <c r="EN13" s="25">
        <f>COUNTIF(Respostas_Formatadas!$BC:$BC,Tabulacao!EM13)</f>
        <v>1</v>
      </c>
      <c r="EQ13" s="5"/>
      <c r="ET13" s="5"/>
      <c r="EW13" s="5"/>
      <c r="EY13" s="3" t="s">
        <v>163</v>
      </c>
      <c r="EZ13" s="29">
        <f>IFERROR(_xlfn.STDEV.S(Respostas_Formatadas!$BG$3:$BG$471),"-")</f>
        <v>1.3734671053929919</v>
      </c>
      <c r="FB13" s="3" t="s">
        <v>163</v>
      </c>
      <c r="FC13" s="29">
        <f>IFERROR(_xlfn.STDEV.S(Respostas_Formatadas!$BH$3:$BH$471),"-")</f>
        <v>1.1244248352785002</v>
      </c>
      <c r="FE13" s="3" t="s">
        <v>163</v>
      </c>
      <c r="FF13" s="29">
        <f>IFERROR(_xlfn.STDEV.S(Respostas_Formatadas!$BI$3:$BI$471),"-")</f>
        <v>0.97628251641298314</v>
      </c>
      <c r="FH13" s="3" t="s">
        <v>163</v>
      </c>
      <c r="FI13" s="29">
        <f>IFERROR(_xlfn.STDEV.S(Respostas_Formatadas!$BJ$3:$BJ$471),"-")</f>
        <v>1.336829891843246</v>
      </c>
      <c r="FK13" s="3" t="s">
        <v>163</v>
      </c>
      <c r="FL13" s="29">
        <f>IFERROR(_xlfn.STDEV.S(Respostas_Formatadas!$BK$3:$BK$471),"-")</f>
        <v>0.99640051188020162</v>
      </c>
      <c r="FN13" s="3" t="s">
        <v>163</v>
      </c>
      <c r="FO13" s="29">
        <f>IFERROR(_xlfn.STDEV.S(Respostas_Formatadas!$BL$3:$BL$471),"-")</f>
        <v>0.9490963752150523</v>
      </c>
      <c r="FQ13" s="3" t="s">
        <v>163</v>
      </c>
      <c r="FR13" s="29">
        <f>IFERROR(_xlfn.STDEV.S(Respostas_Formatadas!$BM$3:$BM$471),"-")</f>
        <v>0.91955545288609397</v>
      </c>
      <c r="FT13" s="3" t="s">
        <v>163</v>
      </c>
      <c r="FU13" s="29">
        <f>IFERROR(_xlfn.STDEV.S(Respostas_Formatadas!$BN$3:$BN$471),"-")</f>
        <v>0.93378701556057608</v>
      </c>
      <c r="FW13" s="3" t="s">
        <v>163</v>
      </c>
      <c r="FX13" s="29">
        <f>IFERROR(_xlfn.STDEV.S(Respostas_Formatadas!$BO$3:$BO$471),"-")</f>
        <v>1.0031796582624637</v>
      </c>
      <c r="FZ13" s="3" t="s">
        <v>163</v>
      </c>
      <c r="GA13" s="29">
        <f>IFERROR(_xlfn.STDEV.S(Respostas_Formatadas!$BP$3:$BP$471),"-")</f>
        <v>1.0939830687724283</v>
      </c>
      <c r="GC13" s="3" t="s">
        <v>163</v>
      </c>
      <c r="GD13" s="29">
        <f>IFERROR(_xlfn.STDEV.S(Respostas_Formatadas!$BQ$3:$BQ$471),"-")</f>
        <v>1.3370742067156367</v>
      </c>
      <c r="GF13" s="3" t="s">
        <v>163</v>
      </c>
      <c r="GG13" s="29">
        <f>IFERROR(_xlfn.STDEV.S(Respostas_Formatadas!$BR$3:$BR$471),"-")</f>
        <v>1.3941503043228898</v>
      </c>
      <c r="GI13" s="3" t="s">
        <v>163</v>
      </c>
      <c r="GJ13" s="29">
        <f>IFERROR(_xlfn.STDEV.S(Respostas_Formatadas!$BS$3:$BS$471),"-")</f>
        <v>1.1596050959020232</v>
      </c>
      <c r="GL13" s="3" t="s">
        <v>163</v>
      </c>
      <c r="GM13" s="29">
        <f>IFERROR(_xlfn.STDEV.S(Respostas_Formatadas!$BT$3:$BT$471),"-")</f>
        <v>0.95688095195356604</v>
      </c>
      <c r="GO13" s="3" t="s">
        <v>163</v>
      </c>
      <c r="GP13" s="29">
        <f>IFERROR(_xlfn.STDEV.S(Respostas_Formatadas!$BU$3:$BU$471),"-")</f>
        <v>0.9000933849779239</v>
      </c>
      <c r="GR13" s="3" t="s">
        <v>163</v>
      </c>
      <c r="GS13" s="29">
        <f>IFERROR(_xlfn.STDEV.S(Respostas_Formatadas!$BV$3:$BV$471),"-")</f>
        <v>0.85428759681560362</v>
      </c>
      <c r="GU13" s="3" t="s">
        <v>163</v>
      </c>
      <c r="GV13" s="29">
        <f>IFERROR(_xlfn.STDEV.S(Respostas_Formatadas!$BW$3:$BW$471),"-")</f>
        <v>1.0530937391313122</v>
      </c>
      <c r="GX13" s="3" t="s">
        <v>163</v>
      </c>
      <c r="GY13" s="29">
        <f>IFERROR(_xlfn.STDEV.S(Respostas_Formatadas!$BX$3:$BX$471),"-")</f>
        <v>0.89415210958759672</v>
      </c>
      <c r="HA13" s="3" t="s">
        <v>163</v>
      </c>
      <c r="HB13" s="29">
        <f>IFERROR(STDEVA(Respostas_Formatadas!$BY$3:$BY$471),"-")</f>
        <v>0.83740293712373493</v>
      </c>
      <c r="HD13" s="3" t="s">
        <v>163</v>
      </c>
      <c r="HE13" s="29">
        <f>IFERROR(STDEVA(Respostas_Formatadas!$BZ$3:$BZ$471),"-")</f>
        <v>0.82556858122235299</v>
      </c>
      <c r="HG13" s="3" t="s">
        <v>163</v>
      </c>
      <c r="HH13" s="29">
        <f>IFERROR(STDEVA(Respostas_Formatadas!$CA$3:$CA$471),"-")</f>
        <v>0.79835145162833487</v>
      </c>
      <c r="HJ13" s="3" t="s">
        <v>163</v>
      </c>
      <c r="HK13" s="29">
        <f>IFERROR(STDEVA(Respostas_Formatadas!$CB$3:$CB$471),"-")</f>
        <v>0.81855280849008316</v>
      </c>
      <c r="HM13" s="3" t="s">
        <v>163</v>
      </c>
      <c r="HN13" s="29">
        <f>IFERROR(STDEVA(Respostas_Formatadas!$CC$3:$CC$471),"-")</f>
        <v>0.85093746790176961</v>
      </c>
      <c r="HP13" s="3" t="s">
        <v>163</v>
      </c>
      <c r="HQ13" s="29">
        <f>IFERROR(STDEVA(Respostas_Formatadas!$CD$3:$CD$471),"-")</f>
        <v>1.0712361125360841</v>
      </c>
      <c r="HS13" s="3" t="s">
        <v>163</v>
      </c>
      <c r="HT13" s="29">
        <f>IFERROR(STDEVA(Respostas_Formatadas!$CE$3:$CE$471),"-")</f>
        <v>1.0189941364684925</v>
      </c>
      <c r="HV13" s="3" t="s">
        <v>163</v>
      </c>
      <c r="HW13" s="29">
        <f>IFERROR(STDEVA(Respostas_Formatadas!$CF$3:$CF$471),"-")</f>
        <v>1.2430151987007945</v>
      </c>
      <c r="HY13" s="3" t="s">
        <v>163</v>
      </c>
      <c r="HZ13" s="29">
        <f>IFERROR(STDEVA(Respostas_Formatadas!$CG$3:$CG$471),"-")</f>
        <v>1.2858711189871814</v>
      </c>
      <c r="IB13" s="3" t="s">
        <v>231</v>
      </c>
      <c r="IC13" s="6">
        <f>COUNTIF(Respostas_Formatadas!$CH:$CJ,Tabulacao!$IB13)</f>
        <v>7</v>
      </c>
      <c r="ID13" s="19">
        <f t="shared" si="64"/>
        <v>2.5830258302583026E-2</v>
      </c>
      <c r="IE13" s="3" t="s">
        <v>240</v>
      </c>
      <c r="IF13" s="6">
        <f>COUNTIF(Respostas_Formatadas!$CK:$CM,Tabulacao!$IE13)</f>
        <v>72</v>
      </c>
      <c r="IG13" s="19">
        <f t="shared" si="65"/>
        <v>0.26568265682656828</v>
      </c>
      <c r="II13" s="5"/>
      <c r="IL13" s="5"/>
      <c r="IN13" s="3" t="s">
        <v>163</v>
      </c>
      <c r="IO13" s="29">
        <f>IFERROR(STDEVA(Respostas_Formatadas!$CP$3:$CP$471),"-")</f>
        <v>1.3249015889147651</v>
      </c>
      <c r="IQ13" s="3" t="s">
        <v>163</v>
      </c>
      <c r="IR13" s="29">
        <f>IFERROR(STDEVA(Respostas_Formatadas!$CQ$3:$CQ$471),"-")</f>
        <v>0.88505734273642833</v>
      </c>
      <c r="IU13" s="5"/>
      <c r="IW13" s="3" t="s">
        <v>163</v>
      </c>
      <c r="IX13" s="29">
        <f>IFERROR(STDEVA(Respostas_Formatadas!$CS$3:$CS$471),"-")</f>
        <v>1.089402527984344</v>
      </c>
      <c r="IZ13" s="3" t="s">
        <v>163</v>
      </c>
      <c r="JA13" s="29">
        <f>IFERROR(STDEVA(Respostas_Formatadas!$CT$3:$CT$471),"-")</f>
        <v>1.2090723518023447</v>
      </c>
      <c r="JC13" s="3" t="s">
        <v>163</v>
      </c>
      <c r="JD13" s="29">
        <f>IFERROR(STDEVA(Respostas_Formatadas!$CU$3:$CU$471),"-")</f>
        <v>1.3044849622782808</v>
      </c>
      <c r="JF13" s="3" t="s">
        <v>163</v>
      </c>
      <c r="JG13" s="29">
        <f>IFERROR(STDEVA(Respostas_Formatadas!$CV$3:$CV$471),"-")</f>
        <v>1.3988319772733033</v>
      </c>
      <c r="JI13" s="3" t="s">
        <v>163</v>
      </c>
      <c r="JJ13" s="29">
        <f>IFERROR(STDEVA(Respostas_Formatadas!$CW$3:$CW$471),"-")</f>
        <v>1.1636374895940482</v>
      </c>
      <c r="JL13" s="3" t="s">
        <v>163</v>
      </c>
      <c r="JM13" s="29">
        <f>IFERROR(STDEVA(Respostas_Formatadas!$CX$3:$CX$471),"-")</f>
        <v>0.8455884441410223</v>
      </c>
      <c r="JO13" s="3" t="s">
        <v>163</v>
      </c>
      <c r="JP13" s="29">
        <f>IFERROR(STDEVA(Respostas_Formatadas!$CY$3:$CY$471),"-")</f>
        <v>0.87128425787985331</v>
      </c>
      <c r="JR13" s="3" t="s">
        <v>163</v>
      </c>
      <c r="JS13" s="29">
        <f>IFERROR(STDEVA(Respostas_Formatadas!$CZ$3:$CZ$471),"-")</f>
        <v>0.9208828084605204</v>
      </c>
      <c r="JU13" s="3" t="s">
        <v>163</v>
      </c>
      <c r="JV13" s="29">
        <f>IFERROR(STDEVA(Respostas_Formatadas!$DA$3:$DA$471),"-")</f>
        <v>1.1795603334685638</v>
      </c>
      <c r="JX13" s="3" t="s">
        <v>163</v>
      </c>
      <c r="JY13" s="29">
        <f>IFERROR(STDEVA(Respostas_Formatadas!$DB$3:$DB$471),"-")</f>
        <v>1.1633085859745016</v>
      </c>
      <c r="KA13" s="3" t="s">
        <v>163</v>
      </c>
      <c r="KB13" s="29">
        <f>IFERROR(STDEVA(Respostas_Formatadas!$DC$3:$DC$471),"-")</f>
        <v>1.1502297873116356</v>
      </c>
      <c r="KD13" s="3" t="s">
        <v>163</v>
      </c>
      <c r="KE13" s="29">
        <f>IFERROR(STDEVA(Respostas_Formatadas!$DD$3:$DD$471),"-")</f>
        <v>1.1749166513522182</v>
      </c>
      <c r="KG13" s="3" t="s">
        <v>163</v>
      </c>
      <c r="KH13" s="29">
        <f>IFERROR(STDEVA(Respostas_Formatadas!$DE$3:$DE$471),"-")</f>
        <v>1.2433450013577316</v>
      </c>
      <c r="KJ13" s="3" t="s">
        <v>163</v>
      </c>
      <c r="KK13" s="29">
        <f>IFERROR(STDEVA(Respostas_Formatadas!$DF$3:$DF$471),"-")</f>
        <v>1.145813159090356</v>
      </c>
      <c r="KM13" s="3" t="s">
        <v>163</v>
      </c>
      <c r="KN13" s="29">
        <f>IFERROR(STDEVA(Respostas_Formatadas!$DG$3:$DG$471),"-")</f>
        <v>1.0304241607575229</v>
      </c>
      <c r="KP13" s="3" t="s">
        <v>163</v>
      </c>
      <c r="KQ13" s="29">
        <f>IFERROR(STDEVA(Respostas_Formatadas!$DH$3:$DH$471),"-")</f>
        <v>1.1506574527021791</v>
      </c>
      <c r="KT13" s="5"/>
      <c r="KW13" s="5"/>
      <c r="KZ13" s="5"/>
      <c r="LB13" s="3" t="s">
        <v>163</v>
      </c>
      <c r="LC13" s="29">
        <f>IFERROR(STDEVA(Respostas_Formatadas!$DQ$3:$DQ$471),"-")</f>
        <v>1.3368451282150509</v>
      </c>
      <c r="LF13" s="5"/>
      <c r="LI13" s="5"/>
      <c r="LK13" s="3" t="s">
        <v>163</v>
      </c>
      <c r="LL13" s="29">
        <f>IFERROR(STDEVA(Respostas_Formatadas!$DY$3:$DY$471),"-")</f>
        <v>1.1250576929932623</v>
      </c>
      <c r="LO13" s="5"/>
      <c r="LQ13" s="3" t="s">
        <v>163</v>
      </c>
      <c r="LR13" s="29">
        <f>IFERROR(STDEVA(Respostas_Formatadas!$EA$3:$EA$471),"-")</f>
        <v>0.743763705728267</v>
      </c>
      <c r="LU13" s="5"/>
      <c r="LX13" s="5"/>
      <c r="MA13" s="5"/>
      <c r="MC13" s="3" t="s">
        <v>322</v>
      </c>
      <c r="MD13" s="3" t="s">
        <v>648</v>
      </c>
      <c r="ME13" s="25">
        <v>3</v>
      </c>
      <c r="MF13" s="19">
        <f t="shared" si="2"/>
        <v>1.107011070110701E-2</v>
      </c>
      <c r="MG13" s="3" t="s">
        <v>322</v>
      </c>
      <c r="MH13" s="3" t="s">
        <v>341</v>
      </c>
      <c r="MI13" s="25">
        <v>3</v>
      </c>
      <c r="MJ13" s="19">
        <f t="shared" si="3"/>
        <v>1.107011070110701E-2</v>
      </c>
      <c r="MK13" s="3" t="s">
        <v>322</v>
      </c>
      <c r="ML13" s="3" t="s">
        <v>1289</v>
      </c>
      <c r="MM13" s="25">
        <v>3</v>
      </c>
      <c r="MN13" s="19">
        <f t="shared" si="4"/>
        <v>1.107011070110701E-2</v>
      </c>
      <c r="MP13" s="5"/>
      <c r="MS13" s="5"/>
      <c r="MV13" s="5"/>
      <c r="MY13" s="5"/>
      <c r="NB13" s="5"/>
      <c r="NE13" s="5"/>
      <c r="NH13" s="5"/>
      <c r="NK13" s="5"/>
      <c r="NN13" s="5"/>
      <c r="NQ13" s="5"/>
      <c r="NT13" s="5"/>
      <c r="OA13" s="5"/>
      <c r="OD13" s="5"/>
      <c r="OG13" s="16">
        <v>2014</v>
      </c>
      <c r="OH13" s="25">
        <f>IFERROR(COUNTIF(Respostas_Formatadas!$FE:$FE,Tabulacao!$OG13),"-")</f>
        <v>20</v>
      </c>
      <c r="OI13" s="19">
        <f t="shared" si="97"/>
        <v>7.3800738007380073E-2</v>
      </c>
    </row>
    <row r="14" spans="1:402" ht="15.75" customHeight="1" x14ac:dyDescent="0.2">
      <c r="D14" s="3" t="s">
        <v>129</v>
      </c>
      <c r="E14" s="6">
        <f>COUNTIF(Respostas_Formatadas!$C:$C,Tabulacao!$D14)</f>
        <v>3</v>
      </c>
      <c r="F14" s="19">
        <f t="shared" si="6"/>
        <v>1.107011070110701E-2</v>
      </c>
      <c r="H14" s="5"/>
      <c r="K14" s="5"/>
      <c r="N14" s="5"/>
      <c r="Q14" s="5"/>
      <c r="T14" s="5"/>
      <c r="W14" s="5"/>
      <c r="Z14" s="5"/>
      <c r="AC14" s="5"/>
      <c r="AF14" s="5"/>
      <c r="AH14" s="3" t="s">
        <v>934</v>
      </c>
      <c r="AI14" s="6">
        <f>IFERROR(COUNTIF(Respostas_Formatadas!$S:$S,$AH14),"-")</f>
        <v>1</v>
      </c>
      <c r="AJ14" s="19">
        <f t="shared" si="0"/>
        <v>1.7543859649122806E-2</v>
      </c>
      <c r="AL14" s="5"/>
      <c r="AO14" s="5"/>
      <c r="AQ14" s="3" t="s">
        <v>164</v>
      </c>
      <c r="AR14" s="29">
        <f>IFERROR(_xlfn.VAR.S(Respostas_Formatadas!V3:$V$471),"-")</f>
        <v>2.075015124016939</v>
      </c>
      <c r="AT14" s="3" t="s">
        <v>164</v>
      </c>
      <c r="AU14" s="29">
        <f>IFERROR(AU13^2,"-")</f>
        <v>2.229885057471265</v>
      </c>
      <c r="AW14" s="3" t="s">
        <v>164</v>
      </c>
      <c r="AX14" s="29">
        <f>IFERROR(AX13^2,"-")</f>
        <v>1.8841500302480336</v>
      </c>
      <c r="BA14" s="6"/>
      <c r="BD14" s="5"/>
      <c r="BG14" s="5"/>
      <c r="BI14" s="3" t="s">
        <v>145</v>
      </c>
      <c r="BJ14" s="6">
        <f>$BA$5-SUM($BJ$4:$BJ$13)</f>
        <v>1</v>
      </c>
      <c r="BK14" s="19">
        <f t="shared" si="18"/>
        <v>0.01</v>
      </c>
      <c r="BL14" s="3" t="s">
        <v>145</v>
      </c>
      <c r="BM14" s="6">
        <f>COUNTIF(Respostas_Formatadas!$AC:$AC,Tabulacao!$BL14)</f>
        <v>0</v>
      </c>
      <c r="BN14" s="19">
        <f t="shared" ref="BN14" si="101">IFERROR(BM14/SUM(BM$4:BM$13),"%")</f>
        <v>0</v>
      </c>
      <c r="BO14" s="19"/>
      <c r="BP14" s="3" t="str">
        <f>Respostas_Formatadas!C14</f>
        <v>Bacharelado em Engenharia Civil</v>
      </c>
      <c r="BQ14" s="3" t="str">
        <f>Respostas_Formatadas!AD14</f>
        <v>Entrevistador</v>
      </c>
      <c r="BR14" s="4" t="s">
        <v>323</v>
      </c>
      <c r="BS14" s="25">
        <f>COUNTIF($BR$3:$BR$273,BR14)</f>
        <v>1</v>
      </c>
      <c r="BU14" s="3" t="s">
        <v>164</v>
      </c>
      <c r="BV14" s="29">
        <f>IFERROR(BV13^2,"-")</f>
        <v>2.4173809049232613</v>
      </c>
      <c r="BY14" s="5"/>
      <c r="CB14" s="5"/>
      <c r="CE14" s="5"/>
      <c r="CG14" s="3" t="s">
        <v>164</v>
      </c>
      <c r="CH14" s="29">
        <f>IFERROR(CH13^2,"-")</f>
        <v>1.7705468075210939</v>
      </c>
      <c r="CJ14" s="3" t="s">
        <v>164</v>
      </c>
      <c r="CK14" s="29">
        <f>IFERROR(CK13^2,"-")</f>
        <v>1.8743272872234402</v>
      </c>
      <c r="CN14" s="5"/>
      <c r="CQ14" s="5"/>
      <c r="CT14" s="5"/>
      <c r="CW14" s="5"/>
      <c r="CY14" s="3" t="str">
        <f t="shared" si="1"/>
        <v>Bacharelado em Engenharia Civil</v>
      </c>
      <c r="CZ14" s="3" t="str">
        <f>Respostas_Formatadas!AP14</f>
        <v>entrevistador</v>
      </c>
      <c r="DA14" s="3" t="s">
        <v>323</v>
      </c>
      <c r="DB14" s="25">
        <f t="shared" ref="DB14:DB15" si="102">COUNTIF($DA$3:$DA$273,DA14)</f>
        <v>1</v>
      </c>
      <c r="DE14" s="5"/>
      <c r="DG14" s="3" t="s">
        <v>164</v>
      </c>
      <c r="DH14" s="29">
        <f>IFERROR(DH13^2,"-")</f>
        <v>1.35848440307039</v>
      </c>
      <c r="DJ14" s="3" t="s">
        <v>164</v>
      </c>
      <c r="DK14" s="29">
        <f>IFERROR(DK13^2,"-")</f>
        <v>1.8921280418095701</v>
      </c>
      <c r="DM14" s="3" t="s">
        <v>164</v>
      </c>
      <c r="DN14" s="29">
        <f>IFERROR(DN13^2,"-")</f>
        <v>1.7942185203331704</v>
      </c>
      <c r="DP14" s="3" t="s">
        <v>164</v>
      </c>
      <c r="DQ14" s="29">
        <f>IFERROR(DQ13^2,"-")</f>
        <v>1.134492895639392</v>
      </c>
      <c r="DS14" s="3" t="s">
        <v>164</v>
      </c>
      <c r="DT14" s="29">
        <f>IFERROR(DT13^2,"-")</f>
        <v>1.8268005879470843</v>
      </c>
      <c r="DV14" s="3" t="s">
        <v>202</v>
      </c>
      <c r="DW14" s="6">
        <f>COUNTIF(Respostas_Formatadas!$AW:$AW,Tabulacao!$DV14)</f>
        <v>1</v>
      </c>
      <c r="DX14" s="19">
        <f t="shared" si="30"/>
        <v>7.0422535211267607E-3</v>
      </c>
      <c r="DZ14" s="5"/>
      <c r="EC14" s="5"/>
      <c r="EF14" s="5"/>
      <c r="EI14" s="5"/>
      <c r="EK14" s="3" t="s">
        <v>119</v>
      </c>
      <c r="EL14" s="3" t="str">
        <f>Respostas_Formatadas!BC14</f>
        <v>Aracaju</v>
      </c>
      <c r="EM14" s="3" t="s">
        <v>659</v>
      </c>
      <c r="EN14" s="25">
        <f>COUNTIF(Respostas_Formatadas!$BC:$BC,Tabulacao!EM14)</f>
        <v>1</v>
      </c>
      <c r="EQ14" s="5"/>
      <c r="ET14" s="5"/>
      <c r="EW14" s="5"/>
      <c r="EY14" s="3" t="s">
        <v>164</v>
      </c>
      <c r="EZ14" s="29">
        <f>IFERROR((EZ13)^2,"-")</f>
        <v>1.8864118895966038</v>
      </c>
      <c r="FB14" s="3" t="s">
        <v>164</v>
      </c>
      <c r="FC14" s="29">
        <f>IFERROR((FC13)^2,"-")</f>
        <v>1.2643312101910824</v>
      </c>
      <c r="FE14" s="3" t="s">
        <v>164</v>
      </c>
      <c r="FF14" s="29">
        <f>IFERROR((FF13)^2,"-")</f>
        <v>0.95312755185366671</v>
      </c>
      <c r="FH14" s="3" t="s">
        <v>164</v>
      </c>
      <c r="FI14" s="29">
        <f>IFERROR((FI13)^2,"-")</f>
        <v>1.7871141597256246</v>
      </c>
      <c r="FK14" s="3" t="s">
        <v>164</v>
      </c>
      <c r="FL14" s="29">
        <f>IFERROR((FL13)^2,"-")</f>
        <v>0.99281398007512778</v>
      </c>
      <c r="FN14" s="3" t="s">
        <v>164</v>
      </c>
      <c r="FO14" s="29">
        <f>IFERROR((FO13)^2,"-")</f>
        <v>0.90078392944635133</v>
      </c>
      <c r="FQ14" s="3" t="s">
        <v>164</v>
      </c>
      <c r="FR14" s="29">
        <f>IFERROR((FR13)^2,"-")</f>
        <v>0.84558223093254936</v>
      </c>
      <c r="FT14" s="3" t="s">
        <v>164</v>
      </c>
      <c r="FU14" s="29">
        <f>IFERROR((FU13)^2,"-")</f>
        <v>0.8719581904295276</v>
      </c>
      <c r="FW14" s="3" t="s">
        <v>164</v>
      </c>
      <c r="FX14" s="29">
        <f>IFERROR((FX13)^2,"-")</f>
        <v>1.0063694267515935</v>
      </c>
      <c r="FZ14" s="3" t="s">
        <v>164</v>
      </c>
      <c r="GA14" s="29">
        <f>IFERROR((GA13)^2,"-")</f>
        <v>1.1967989547607396</v>
      </c>
      <c r="GC14" s="3" t="s">
        <v>164</v>
      </c>
      <c r="GD14" s="29">
        <f>IFERROR((GD13)^2,"-")</f>
        <v>1.7877674342642491</v>
      </c>
      <c r="GF14" s="3" t="s">
        <v>164</v>
      </c>
      <c r="GG14" s="29">
        <f>IFERROR((GG13)^2,"-")</f>
        <v>1.9436550710436062</v>
      </c>
      <c r="GI14" s="3" t="s">
        <v>164</v>
      </c>
      <c r="GJ14" s="29">
        <f>IFERROR((GJ13)^2,"-")</f>
        <v>1.3446839784419404</v>
      </c>
      <c r="GL14" s="3" t="s">
        <v>164</v>
      </c>
      <c r="GM14" s="29">
        <f>IFERROR((GM13)^2,"-")</f>
        <v>0.9156211562115627</v>
      </c>
      <c r="GO14" s="3" t="s">
        <v>164</v>
      </c>
      <c r="GP14" s="29">
        <f>IFERROR((GP13)^2,"-")</f>
        <v>0.81016810168101716</v>
      </c>
      <c r="GR14" s="3" t="s">
        <v>164</v>
      </c>
      <c r="GS14" s="29">
        <f>IFERROR((GS13)^2,"-")</f>
        <v>0.72980729807297928</v>
      </c>
      <c r="GU14" s="3" t="s">
        <v>164</v>
      </c>
      <c r="GV14" s="29">
        <f>IFERROR((GV13)^2,"-")</f>
        <v>1.1090064233975683</v>
      </c>
      <c r="GX14" s="3" t="s">
        <v>164</v>
      </c>
      <c r="GY14" s="29">
        <f>IFERROR((GY13)^2,"-")</f>
        <v>0.79950799507994963</v>
      </c>
      <c r="HA14" s="3" t="s">
        <v>164</v>
      </c>
      <c r="HB14" s="29">
        <f>IFERROR(HB13^2,"-")</f>
        <v>0.70124367910345797</v>
      </c>
      <c r="HD14" s="3" t="s">
        <v>164</v>
      </c>
      <c r="HE14" s="29">
        <f>IFERROR(HE13^2,"-")</f>
        <v>0.68156348230148889</v>
      </c>
      <c r="HG14" s="3" t="s">
        <v>164</v>
      </c>
      <c r="HH14" s="29">
        <f>IFERROR(HH13^2,"-")</f>
        <v>0.63736504031706953</v>
      </c>
      <c r="HJ14" s="3" t="s">
        <v>164</v>
      </c>
      <c r="HK14" s="29">
        <f>IFERROR(HK13^2,"-")</f>
        <v>0.67002870028700279</v>
      </c>
      <c r="HM14" s="3" t="s">
        <v>164</v>
      </c>
      <c r="HN14" s="29">
        <f>IFERROR(HN13^2,"-")</f>
        <v>0.7240945742790752</v>
      </c>
      <c r="HP14" s="3" t="s">
        <v>164</v>
      </c>
      <c r="HQ14" s="29">
        <f>IFERROR(HQ13^2,"-")</f>
        <v>1.1475468088014218</v>
      </c>
      <c r="HS14" s="3" t="s">
        <v>164</v>
      </c>
      <c r="HT14" s="29">
        <f>IFERROR(HT13^2,"-")</f>
        <v>1.0383490501571686</v>
      </c>
      <c r="HV14" s="3" t="s">
        <v>164</v>
      </c>
      <c r="HW14" s="29">
        <f>IFERROR(HW13^2,"-")</f>
        <v>1.5450867842011755</v>
      </c>
      <c r="HY14" s="3" t="s">
        <v>164</v>
      </c>
      <c r="HZ14" s="29">
        <f>IFERROR(HZ13^2,"-")</f>
        <v>1.653464534645346</v>
      </c>
      <c r="IB14" s="3" t="s">
        <v>145</v>
      </c>
      <c r="IC14" s="6">
        <f>COUNTA(Respostas_Formatadas!$CH$3:$CJ$273)-SUM($IC$4:$IC$13)</f>
        <v>31</v>
      </c>
      <c r="ID14" s="19">
        <f t="shared" si="64"/>
        <v>0.11439114391143912</v>
      </c>
      <c r="IE14" s="3" t="s">
        <v>231</v>
      </c>
      <c r="IF14" s="6">
        <f>COUNTIF(Respostas_Formatadas!$CK:$CK,Tabulacao!$IE14)</f>
        <v>1</v>
      </c>
      <c r="IG14" s="19">
        <f t="shared" si="65"/>
        <v>3.6900369003690036E-3</v>
      </c>
      <c r="II14" s="5"/>
      <c r="IL14" s="5"/>
      <c r="IN14" s="3" t="s">
        <v>164</v>
      </c>
      <c r="IO14" s="29">
        <f>IFERROR(IO13^2,"-")</f>
        <v>1.7553642203088691</v>
      </c>
      <c r="IQ14" s="3" t="s">
        <v>164</v>
      </c>
      <c r="IR14" s="29">
        <f>IFERROR(IR13^2,"-")</f>
        <v>0.78332649993166759</v>
      </c>
      <c r="IU14" s="5"/>
      <c r="IW14" s="3" t="s">
        <v>164</v>
      </c>
      <c r="IX14" s="29">
        <f>IFERROR(IX13^2,"-")</f>
        <v>1.1867978679786795</v>
      </c>
      <c r="IZ14" s="3" t="s">
        <v>164</v>
      </c>
      <c r="JA14" s="29">
        <f>IFERROR(JA13^2,"-")</f>
        <v>1.4618559518928529</v>
      </c>
      <c r="JC14" s="3" t="s">
        <v>164</v>
      </c>
      <c r="JD14" s="29">
        <f>IFERROR(JD13^2,"-")</f>
        <v>1.7016810168101677</v>
      </c>
      <c r="JF14" s="3" t="s">
        <v>164</v>
      </c>
      <c r="JG14" s="29">
        <f>IFERROR(JG13^2,"-")</f>
        <v>1.9567309006423395</v>
      </c>
      <c r="JI14" s="3" t="s">
        <v>164</v>
      </c>
      <c r="JJ14" s="29">
        <f>IFERROR(JJ13^2,"-")</f>
        <v>1.3540522071887386</v>
      </c>
      <c r="JL14" s="3" t="s">
        <v>164</v>
      </c>
      <c r="JM14" s="29">
        <f>IFERROR(JM13^2,"-")</f>
        <v>0.71501981686483485</v>
      </c>
      <c r="JO14" s="3" t="s">
        <v>164</v>
      </c>
      <c r="JP14" s="29">
        <f>IFERROR(JP13^2,"-")</f>
        <v>0.75913625802924667</v>
      </c>
      <c r="JR14" s="3" t="s">
        <v>164</v>
      </c>
      <c r="JS14" s="29">
        <f>IFERROR(JS13^2,"-")</f>
        <v>0.84802514691813546</v>
      </c>
      <c r="JU14" s="3" t="s">
        <v>164</v>
      </c>
      <c r="JV14" s="29">
        <f>IFERROR(JV13^2,"-")</f>
        <v>1.3913625802924694</v>
      </c>
      <c r="JX14" s="3" t="s">
        <v>164</v>
      </c>
      <c r="JY14" s="29">
        <f>IFERROR(JY13^2,"-")</f>
        <v>1.3532868662019943</v>
      </c>
      <c r="KA14" s="3" t="s">
        <v>164</v>
      </c>
      <c r="KB14" s="29">
        <f>IFERROR(KB13^2,"-")</f>
        <v>1.3230285636189705</v>
      </c>
      <c r="KD14" s="3" t="s">
        <v>164</v>
      </c>
      <c r="KE14" s="29">
        <f>IFERROR(KE13^2,"-")</f>
        <v>1.38042913762471</v>
      </c>
      <c r="KG14" s="3" t="s">
        <v>164</v>
      </c>
      <c r="KH14" s="29">
        <f>IFERROR(KH13^2,"-")</f>
        <v>1.5459067924012577</v>
      </c>
      <c r="KJ14" s="3" t="s">
        <v>164</v>
      </c>
      <c r="KK14" s="29">
        <f>IFERROR(KK13^2,"-")</f>
        <v>1.3128877955446214</v>
      </c>
      <c r="KM14" s="3" t="s">
        <v>164</v>
      </c>
      <c r="KN14" s="29">
        <f>IFERROR(KN13^2,"-")</f>
        <v>1.0617739510728452</v>
      </c>
      <c r="KP14" s="3" t="s">
        <v>164</v>
      </c>
      <c r="KQ14" s="29">
        <f>IFERROR(KQ13^2,"-")</f>
        <v>1.3240125734590675</v>
      </c>
      <c r="KT14" s="5"/>
      <c r="KW14" s="5"/>
      <c r="KZ14" s="5"/>
      <c r="LB14" s="3" t="s">
        <v>164</v>
      </c>
      <c r="LC14" s="29">
        <f>IFERROR(LC13^2,"-")</f>
        <v>1.7871548968323159</v>
      </c>
      <c r="LF14" s="5"/>
      <c r="LI14" s="5"/>
      <c r="LK14" s="3" t="s">
        <v>164</v>
      </c>
      <c r="LL14" s="29">
        <f>IFERROR(LL13^2,"-")</f>
        <v>1.2657548125633216</v>
      </c>
      <c r="LO14" s="5"/>
      <c r="LQ14" s="3" t="s">
        <v>164</v>
      </c>
      <c r="LR14" s="29">
        <f>IFERROR(LR13^2,"-")</f>
        <v>0.55318444995864413</v>
      </c>
      <c r="LU14" s="5"/>
      <c r="LX14" s="5"/>
      <c r="MA14" s="5"/>
      <c r="MC14" s="3" t="s">
        <v>325</v>
      </c>
      <c r="MD14" s="3" t="s">
        <v>824</v>
      </c>
      <c r="ME14" s="25">
        <v>3</v>
      </c>
      <c r="MF14" s="19">
        <f t="shared" si="2"/>
        <v>1.107011070110701E-2</v>
      </c>
      <c r="MG14" s="3" t="s">
        <v>292</v>
      </c>
      <c r="MH14" s="3" t="s">
        <v>616</v>
      </c>
      <c r="MI14" s="25">
        <v>2</v>
      </c>
      <c r="MJ14" s="19">
        <f t="shared" si="3"/>
        <v>7.3800738007380072E-3</v>
      </c>
      <c r="MK14" s="3" t="s">
        <v>292</v>
      </c>
      <c r="ML14" s="3" t="s">
        <v>754</v>
      </c>
      <c r="MM14" s="25">
        <v>3</v>
      </c>
      <c r="MN14" s="19">
        <f t="shared" si="4"/>
        <v>1.107011070110701E-2</v>
      </c>
      <c r="MP14" s="5"/>
      <c r="MS14" s="5"/>
      <c r="MV14" s="5"/>
      <c r="MY14" s="5"/>
      <c r="NB14" s="5"/>
      <c r="NE14" s="5"/>
      <c r="NH14" s="5"/>
      <c r="NK14" s="5"/>
      <c r="NN14" s="5"/>
      <c r="NQ14" s="5"/>
      <c r="NT14" s="5"/>
      <c r="OA14" s="5"/>
      <c r="OD14" s="5"/>
      <c r="OG14" s="16">
        <v>2015</v>
      </c>
      <c r="OH14" s="25">
        <f>IFERROR(COUNTIF(Respostas_Formatadas!$FE:$FE,Tabulacao!$OG14),"-")</f>
        <v>29</v>
      </c>
      <c r="OI14" s="19">
        <f t="shared" si="97"/>
        <v>0.1070110701107011</v>
      </c>
    </row>
    <row r="15" spans="1:402" ht="15.75" customHeight="1" x14ac:dyDescent="0.2">
      <c r="D15" s="3" t="s">
        <v>130</v>
      </c>
      <c r="E15" s="6">
        <f>COUNTIF(Respostas_Formatadas!$C:$C,Tabulacao!$D15)</f>
        <v>16</v>
      </c>
      <c r="F15" s="19">
        <f t="shared" si="6"/>
        <v>5.9040590405904057E-2</v>
      </c>
      <c r="H15" s="5"/>
      <c r="K15" s="5"/>
      <c r="N15" s="5"/>
      <c r="Q15" s="5"/>
      <c r="T15" s="5"/>
      <c r="W15" s="5"/>
      <c r="Z15" s="5"/>
      <c r="AC15" s="5"/>
      <c r="AF15" s="5"/>
      <c r="AH15" s="3" t="s">
        <v>579</v>
      </c>
      <c r="AI15" s="6">
        <f>IFERROR(COUNTIF(Respostas_Formatadas!$S:$S,$AH15),"-")</f>
        <v>2</v>
      </c>
      <c r="AJ15" s="19">
        <f t="shared" si="0"/>
        <v>3.5087719298245612E-2</v>
      </c>
      <c r="AL15" s="5"/>
      <c r="AO15" s="5"/>
      <c r="AR15" s="5"/>
      <c r="AU15" s="5"/>
      <c r="AX15" s="5"/>
      <c r="BA15" s="5"/>
      <c r="BD15" s="5"/>
      <c r="BG15" s="5"/>
      <c r="BJ15" s="5"/>
      <c r="BM15" s="5"/>
      <c r="BP15" s="3" t="str">
        <f>Respostas_Formatadas!C15</f>
        <v>Tecnologia em Agroecologia</v>
      </c>
      <c r="BQ15" s="3">
        <f>Respostas_Formatadas!AD15</f>
        <v>0</v>
      </c>
      <c r="BS15" s="5"/>
      <c r="BU15" s="3" t="s">
        <v>995</v>
      </c>
      <c r="BV15" s="67">
        <f>BV13/BV10</f>
        <v>0.43354801508388763</v>
      </c>
      <c r="BY15" s="5"/>
      <c r="CB15" s="5"/>
      <c r="CE15" s="5"/>
      <c r="CH15" s="5"/>
      <c r="CK15" s="5"/>
      <c r="CN15" s="5"/>
      <c r="CQ15" s="5"/>
      <c r="CT15" s="5"/>
      <c r="CW15" s="5"/>
      <c r="CY15" s="3" t="str">
        <f t="shared" si="1"/>
        <v>Tecnologia em Agroecologia</v>
      </c>
      <c r="CZ15" s="3" t="str">
        <f>Respostas_Formatadas!AP15</f>
        <v>Auxiliar Administrativo</v>
      </c>
      <c r="DA15" s="3" t="s">
        <v>326</v>
      </c>
      <c r="DB15" s="25">
        <f t="shared" si="102"/>
        <v>3</v>
      </c>
      <c r="DE15" s="5"/>
      <c r="DG15" s="3" t="s">
        <v>995</v>
      </c>
      <c r="DH15" s="67">
        <f>DH13/DH10</f>
        <v>0.39954113840220401</v>
      </c>
      <c r="DJ15" s="3" t="s">
        <v>995</v>
      </c>
      <c r="DK15" s="67">
        <f>DK13/DK10</f>
        <v>0.39052584624846509</v>
      </c>
      <c r="DM15" s="3" t="s">
        <v>995</v>
      </c>
      <c r="DN15" s="67">
        <f>DN13/DN10</f>
        <v>0.45031917443724362</v>
      </c>
      <c r="DP15" s="3" t="s">
        <v>995</v>
      </c>
      <c r="DQ15" s="67">
        <f>DQ13/DQ10</f>
        <v>0.30796453983877997</v>
      </c>
      <c r="DS15" s="3" t="s">
        <v>995</v>
      </c>
      <c r="DT15" s="67">
        <f>DT13/DT10</f>
        <v>0.39079175667479815</v>
      </c>
      <c r="DW15" s="67"/>
      <c r="DZ15" s="5"/>
      <c r="EC15" s="5"/>
      <c r="EF15" s="5"/>
      <c r="EI15" s="5"/>
      <c r="EK15" s="3" t="s">
        <v>130</v>
      </c>
      <c r="EL15" s="3" t="str">
        <f>Respostas_Formatadas!BC15</f>
        <v>Estância</v>
      </c>
      <c r="EM15" s="3" t="s">
        <v>528</v>
      </c>
      <c r="EN15" s="25">
        <f>COUNTIF(Respostas_Formatadas!$BC:$BC,Tabulacao!EM15)</f>
        <v>1</v>
      </c>
      <c r="EQ15" s="5"/>
      <c r="ET15" s="5"/>
      <c r="EW15" s="5"/>
      <c r="EY15" s="3" t="s">
        <v>995</v>
      </c>
      <c r="EZ15" s="67">
        <f>EZ13/EZ10</f>
        <v>0.36486351192334981</v>
      </c>
      <c r="FB15" s="3" t="s">
        <v>995</v>
      </c>
      <c r="FC15" s="67">
        <f>FC13/FC10</f>
        <v>0.32038965360930044</v>
      </c>
      <c r="FE15" s="3" t="s">
        <v>995</v>
      </c>
      <c r="FF15" s="67">
        <f>FF13/FF10</f>
        <v>0.24138008673517852</v>
      </c>
      <c r="FH15" s="3" t="s">
        <v>995</v>
      </c>
      <c r="FI15" s="67">
        <f>FI13/FI10</f>
        <v>0.37613314161180933</v>
      </c>
      <c r="FK15" s="3" t="s">
        <v>995</v>
      </c>
      <c r="FL15" s="67">
        <f>FL13/FL10</f>
        <v>0.23738221603215731</v>
      </c>
      <c r="FN15" s="3" t="s">
        <v>995</v>
      </c>
      <c r="FO15" s="67">
        <f>FO13/FO10</f>
        <v>0.22108031292101366</v>
      </c>
      <c r="FQ15" s="3" t="s">
        <v>995</v>
      </c>
      <c r="FR15" s="67">
        <f>FR13/FR10</f>
        <v>0.20862746546693173</v>
      </c>
      <c r="FT15" s="3" t="s">
        <v>995</v>
      </c>
      <c r="FU15" s="67">
        <f>FU13/FU10</f>
        <v>0.21433415415644802</v>
      </c>
      <c r="FW15" s="3" t="s">
        <v>995</v>
      </c>
      <c r="FX15" s="67">
        <f>FX13/FX10</f>
        <v>0.25039619451066264</v>
      </c>
      <c r="FZ15" s="3" t="s">
        <v>995</v>
      </c>
      <c r="GA15" s="67">
        <f>GA13/GA10</f>
        <v>0.28202847585758828</v>
      </c>
      <c r="GC15" s="3" t="s">
        <v>995</v>
      </c>
      <c r="GD15" s="67">
        <f>GD13/GD10</f>
        <v>0.3873074731630165</v>
      </c>
      <c r="GF15" s="3" t="s">
        <v>995</v>
      </c>
      <c r="GG15" s="67">
        <f>GG13/GG10</f>
        <v>0.39652463365705376</v>
      </c>
      <c r="GI15" s="3" t="s">
        <v>995</v>
      </c>
      <c r="GJ15" s="67">
        <f>GJ13/GJ10</f>
        <v>0.59109740278122613</v>
      </c>
      <c r="GL15" s="3" t="s">
        <v>995</v>
      </c>
      <c r="GM15" s="67">
        <f>GM13/GM10</f>
        <v>0.2474377270795958</v>
      </c>
      <c r="GO15" s="3" t="s">
        <v>995</v>
      </c>
      <c r="GP15" s="67">
        <f>GP13/GP10</f>
        <v>0.2527723392010543</v>
      </c>
      <c r="GR15" s="3" t="s">
        <v>995</v>
      </c>
      <c r="GS15" s="67">
        <f>GS13/GS10</f>
        <v>0.21820163877194024</v>
      </c>
      <c r="GU15" s="3" t="s">
        <v>995</v>
      </c>
      <c r="GV15" s="67">
        <f>GV13/GV10</f>
        <v>0.28117084069417303</v>
      </c>
      <c r="GX15" s="3" t="s">
        <v>995</v>
      </c>
      <c r="GY15" s="67">
        <f>GY13/GY10</f>
        <v>0.22230754284242082</v>
      </c>
      <c r="HA15" s="3" t="s">
        <v>995</v>
      </c>
      <c r="HB15" s="67">
        <f>HB13/HB10</f>
        <v>0.19614191526407276</v>
      </c>
      <c r="HD15" s="3" t="s">
        <v>995</v>
      </c>
      <c r="HE15" s="67">
        <f>HE13/HE10</f>
        <v>0.19694461752751555</v>
      </c>
      <c r="HG15" s="3" t="s">
        <v>995</v>
      </c>
      <c r="HH15" s="67">
        <f>HH13/HH10</f>
        <v>0.18211552474013362</v>
      </c>
      <c r="HJ15" s="3" t="s">
        <v>995</v>
      </c>
      <c r="HK15" s="67">
        <f>HK13/HK10</f>
        <v>0.20369863278311526</v>
      </c>
      <c r="HM15" s="3" t="s">
        <v>995</v>
      </c>
      <c r="HN15" s="67">
        <f>HN13/HN10</f>
        <v>0.20775139982106267</v>
      </c>
      <c r="HP15" s="3" t="s">
        <v>995</v>
      </c>
      <c r="HQ15" s="67">
        <f>HQ13/HQ10</f>
        <v>0.28212340767471217</v>
      </c>
      <c r="HS15" s="3" t="s">
        <v>995</v>
      </c>
      <c r="HT15" s="67">
        <f>HT13/HT10</f>
        <v>0.27046759156019734</v>
      </c>
      <c r="HV15" s="3" t="s">
        <v>995</v>
      </c>
      <c r="HW15" s="67">
        <f>HW13/HW10</f>
        <v>0.50655205841791773</v>
      </c>
      <c r="HY15" s="3" t="s">
        <v>995</v>
      </c>
      <c r="HZ15" s="67">
        <f>HZ13/HZ10</f>
        <v>0.3959898559608252</v>
      </c>
      <c r="IC15" s="5"/>
      <c r="IE15" s="3" t="s">
        <v>145</v>
      </c>
      <c r="IF15" s="6">
        <f>COUNTA(Respostas_Formatadas!$CK$3:$CM$273)-SUM($IF$4:$IF$14)</f>
        <v>30</v>
      </c>
      <c r="IG15" s="19">
        <f t="shared" si="65"/>
        <v>0.11070110701107011</v>
      </c>
      <c r="II15" s="5"/>
      <c r="IL15" s="5"/>
      <c r="IN15" s="4" t="s">
        <v>995</v>
      </c>
      <c r="IO15" s="67">
        <f>IO13/IO10</f>
        <v>0.46269114767513059</v>
      </c>
      <c r="IQ15" s="4" t="s">
        <v>995</v>
      </c>
      <c r="IR15" s="67">
        <f>IR13/IR10</f>
        <v>0.21188210236887992</v>
      </c>
      <c r="IU15" s="5"/>
      <c r="IW15" s="3" t="s">
        <v>995</v>
      </c>
      <c r="IX15" s="67">
        <f>IX13/IX10</f>
        <v>0.33548646032245139</v>
      </c>
      <c r="IZ15" s="3" t="s">
        <v>995</v>
      </c>
      <c r="JA15" s="67">
        <f>JA13/JA10</f>
        <v>0.40753558126671074</v>
      </c>
      <c r="JC15" s="3" t="s">
        <v>995</v>
      </c>
      <c r="JD15" s="67">
        <f>JD13/JD10</f>
        <v>0.41885713836186506</v>
      </c>
      <c r="JF15" s="3" t="s">
        <v>995</v>
      </c>
      <c r="JG15" s="67">
        <f>JG13/JG10</f>
        <v>0.53542862406930114</v>
      </c>
      <c r="JI15" s="3" t="s">
        <v>995</v>
      </c>
      <c r="JJ15" s="67">
        <f>JJ13/JJ10</f>
        <v>0.33476195295115402</v>
      </c>
      <c r="JL15" s="3" t="s">
        <v>995</v>
      </c>
      <c r="JM15" s="67">
        <f>JM13/JM10</f>
        <v>0.20832224396565185</v>
      </c>
      <c r="JO15" s="3" t="s">
        <v>995</v>
      </c>
      <c r="JP15" s="67">
        <f>JP13/JP10</f>
        <v>0.21721990237850988</v>
      </c>
      <c r="JR15" s="3" t="s">
        <v>995</v>
      </c>
      <c r="JS15" s="67">
        <f>JS13/JS10</f>
        <v>0.22958531839264124</v>
      </c>
      <c r="JU15" s="3" t="s">
        <v>995</v>
      </c>
      <c r="JV15" s="67">
        <f>JV13/JV10</f>
        <v>0.40259552943322519</v>
      </c>
      <c r="JX15" s="3" t="s">
        <v>995</v>
      </c>
      <c r="JY15" s="67">
        <f>JY13/JY10</f>
        <v>0.37001951502240604</v>
      </c>
      <c r="KA15" s="3" t="s">
        <v>995</v>
      </c>
      <c r="KB15" s="67">
        <f>KB13/KB10</f>
        <v>0.36715226426555153</v>
      </c>
      <c r="KD15" s="3" t="s">
        <v>995</v>
      </c>
      <c r="KE15" s="67">
        <f>KE13/KE10</f>
        <v>0.31093985597309681</v>
      </c>
      <c r="KG15" s="3" t="s">
        <v>995</v>
      </c>
      <c r="KH15" s="67">
        <f>KH13/KH10</f>
        <v>0.34034999532115684</v>
      </c>
      <c r="KJ15" s="3" t="s">
        <v>995</v>
      </c>
      <c r="KK15" s="67">
        <f>KK13/KK10</f>
        <v>0.29601083518921489</v>
      </c>
      <c r="KM15" s="3" t="s">
        <v>995</v>
      </c>
      <c r="KN15" s="67">
        <f>KN13/KN10</f>
        <v>0.25066871415196473</v>
      </c>
      <c r="KP15" s="3" t="s">
        <v>995</v>
      </c>
      <c r="KQ15" s="67">
        <f>KQ13/KQ10</f>
        <v>0.33173209540669207</v>
      </c>
      <c r="KT15" s="5"/>
      <c r="KW15" s="5"/>
      <c r="KZ15" s="5"/>
      <c r="LB15" s="3" t="s">
        <v>995</v>
      </c>
      <c r="LC15" s="67">
        <f>LC13/LC10</f>
        <v>0.34155658495604319</v>
      </c>
      <c r="LF15" s="5"/>
      <c r="LI15" s="5"/>
      <c r="LK15" s="3" t="s">
        <v>995</v>
      </c>
      <c r="LL15" s="67">
        <f>LL13/LL10</f>
        <v>0.26886971985093217</v>
      </c>
      <c r="LO15" s="5"/>
      <c r="LQ15" s="3" t="s">
        <v>995</v>
      </c>
      <c r="LR15" s="67">
        <f>LR13/LR10</f>
        <v>0.16204907554973416</v>
      </c>
      <c r="LU15" s="5"/>
      <c r="LX15" s="5"/>
      <c r="MA15" s="5"/>
      <c r="MC15" s="3" t="s">
        <v>325</v>
      </c>
      <c r="MD15" s="3" t="s">
        <v>1287</v>
      </c>
      <c r="ME15" s="25">
        <v>3</v>
      </c>
      <c r="MF15" s="19">
        <f t="shared" si="2"/>
        <v>1.107011070110701E-2</v>
      </c>
      <c r="MG15" s="3" t="s">
        <v>325</v>
      </c>
      <c r="MH15" s="3" t="s">
        <v>853</v>
      </c>
      <c r="MI15" s="25">
        <v>2</v>
      </c>
      <c r="MJ15" s="19">
        <f t="shared" si="3"/>
        <v>7.3800738007380072E-3</v>
      </c>
      <c r="MK15" s="3" t="s">
        <v>325</v>
      </c>
      <c r="ML15" s="3" t="s">
        <v>659</v>
      </c>
      <c r="MM15" s="25">
        <v>2</v>
      </c>
      <c r="MN15" s="19">
        <f t="shared" si="4"/>
        <v>7.3800738007380072E-3</v>
      </c>
      <c r="MP15" s="5"/>
      <c r="MS15" s="5"/>
      <c r="MV15" s="5"/>
      <c r="MY15" s="5"/>
      <c r="NB15" s="5"/>
      <c r="NE15" s="5"/>
      <c r="NH15" s="5"/>
      <c r="NK15" s="5"/>
      <c r="NN15" s="5"/>
      <c r="NQ15" s="5"/>
      <c r="NT15" s="5"/>
      <c r="OA15" s="5"/>
      <c r="OD15" s="5"/>
      <c r="OG15" s="16">
        <v>2016</v>
      </c>
      <c r="OH15" s="25">
        <f>IFERROR(COUNTIF(Respostas_Formatadas!$FE:$FE,Tabulacao!$OG15),"-")</f>
        <v>48</v>
      </c>
      <c r="OI15" s="19">
        <f t="shared" si="97"/>
        <v>0.17712177121771217</v>
      </c>
    </row>
    <row r="16" spans="1:402" ht="15.75" customHeight="1" x14ac:dyDescent="0.2">
      <c r="D16" s="28" t="s">
        <v>621</v>
      </c>
      <c r="E16" s="30">
        <f>SUM(E4:E15)</f>
        <v>271</v>
      </c>
      <c r="F16" s="32">
        <f>SUM(F4:F15)</f>
        <v>1</v>
      </c>
      <c r="AH16" s="3" t="s">
        <v>725</v>
      </c>
      <c r="AI16" s="6">
        <f>IFERROR(COUNTIF(Respostas_Formatadas!$S:$S,$AH16),"-")</f>
        <v>4</v>
      </c>
      <c r="AJ16" s="19">
        <f t="shared" si="0"/>
        <v>7.0175438596491224E-2</v>
      </c>
      <c r="BP16" s="3" t="str">
        <f>Respostas_Formatadas!C16</f>
        <v>Tecnologia em Laticínios</v>
      </c>
      <c r="BQ16" s="3">
        <f>Respostas_Formatadas!AD16</f>
        <v>0</v>
      </c>
      <c r="CY16" s="3" t="str">
        <f t="shared" si="1"/>
        <v>Tecnologia em Laticínios</v>
      </c>
      <c r="CZ16" s="3">
        <f>Respostas_Formatadas!AP16</f>
        <v>0</v>
      </c>
      <c r="EK16" s="3" t="s">
        <v>128</v>
      </c>
      <c r="EM16" s="3" t="s">
        <v>1292</v>
      </c>
      <c r="EN16" s="25">
        <f>COUNTIF(Respostas_Formatadas!$BC:$BC,Tabulacao!EM16)</f>
        <v>1</v>
      </c>
      <c r="MC16" s="3" t="s">
        <v>328</v>
      </c>
      <c r="MD16" s="3" t="s">
        <v>341</v>
      </c>
      <c r="ME16" s="25">
        <v>3</v>
      </c>
      <c r="MF16" s="19">
        <f t="shared" si="2"/>
        <v>1.107011070110701E-2</v>
      </c>
      <c r="MG16" s="3" t="s">
        <v>328</v>
      </c>
      <c r="MH16" s="3" t="s">
        <v>344</v>
      </c>
      <c r="MI16" s="25">
        <v>2</v>
      </c>
      <c r="MJ16" s="19">
        <f t="shared" si="3"/>
        <v>7.3800738007380072E-3</v>
      </c>
      <c r="MK16" s="3" t="s">
        <v>328</v>
      </c>
      <c r="ML16" s="3" t="s">
        <v>824</v>
      </c>
      <c r="MM16" s="25">
        <v>2</v>
      </c>
      <c r="MN16" s="19">
        <f t="shared" si="4"/>
        <v>7.3800738007380072E-3</v>
      </c>
      <c r="OG16" s="16">
        <v>2017</v>
      </c>
      <c r="OH16" s="25">
        <f>IFERROR(COUNTIF(Respostas_Formatadas!$FE:$FE,Tabulacao!$OG16),"-")</f>
        <v>79</v>
      </c>
      <c r="OI16" s="19">
        <f t="shared" si="97"/>
        <v>0.29151291512915128</v>
      </c>
    </row>
    <row r="17" spans="4:399" ht="15.75" customHeight="1" x14ac:dyDescent="0.2">
      <c r="AH17" s="3" t="s">
        <v>947</v>
      </c>
      <c r="AI17" s="6">
        <f>IFERROR(COUNTIF(Respostas_Formatadas!$S:$S,$AH17),"-")</f>
        <v>1</v>
      </c>
      <c r="AJ17" s="19">
        <f t="shared" si="0"/>
        <v>1.7543859649122806E-2</v>
      </c>
      <c r="BP17" s="3" t="str">
        <f>Respostas_Formatadas!C17</f>
        <v>Bacharelado em Engenharia Civil</v>
      </c>
      <c r="BQ17" s="3">
        <f>Respostas_Formatadas!AD17</f>
        <v>0</v>
      </c>
      <c r="CY17" s="3" t="str">
        <f t="shared" si="1"/>
        <v>Bacharelado em Engenharia Civil</v>
      </c>
      <c r="CZ17" s="3">
        <f>Respostas_Formatadas!AP17</f>
        <v>0</v>
      </c>
      <c r="EK17" s="3" t="s">
        <v>119</v>
      </c>
      <c r="EM17" s="3" t="s">
        <v>627</v>
      </c>
      <c r="EN17" s="25">
        <f>COUNTIF(Respostas_Formatadas!$BC:$BC,Tabulacao!EM17)</f>
        <v>1</v>
      </c>
      <c r="MC17" s="3" t="s">
        <v>292</v>
      </c>
      <c r="MD17" s="3" t="s">
        <v>1298</v>
      </c>
      <c r="ME17" s="25">
        <v>3</v>
      </c>
      <c r="MF17" s="19">
        <f t="shared" si="2"/>
        <v>1.107011070110701E-2</v>
      </c>
      <c r="MG17" s="3" t="s">
        <v>292</v>
      </c>
      <c r="MH17" s="3" t="s">
        <v>796</v>
      </c>
      <c r="MI17" s="25">
        <v>2</v>
      </c>
      <c r="MJ17" s="19">
        <f t="shared" si="3"/>
        <v>7.3800738007380072E-3</v>
      </c>
      <c r="MK17" s="3" t="s">
        <v>325</v>
      </c>
      <c r="ML17" s="3" t="s">
        <v>853</v>
      </c>
      <c r="MM17" s="25">
        <v>2</v>
      </c>
      <c r="MN17" s="19">
        <f t="shared" si="4"/>
        <v>7.3800738007380072E-3</v>
      </c>
      <c r="OG17" s="16">
        <v>2018</v>
      </c>
      <c r="OH17" s="25">
        <f>IFERROR(COUNTIF(Respostas_Formatadas!$FE:$FE,Tabulacao!$OG17),"-")</f>
        <v>51</v>
      </c>
      <c r="OI17" s="19">
        <f t="shared" si="97"/>
        <v>0.18819188191881919</v>
      </c>
    </row>
    <row r="18" spans="4:399" ht="15.75" customHeight="1" x14ac:dyDescent="0.2">
      <c r="D18" s="26" t="s">
        <v>765</v>
      </c>
      <c r="E18" s="27" t="s">
        <v>131</v>
      </c>
      <c r="F18" s="27" t="s">
        <v>132</v>
      </c>
      <c r="AH18" s="3" t="s">
        <v>806</v>
      </c>
      <c r="AI18" s="6">
        <f>IFERROR(COUNTIF(Respostas_Formatadas!$S:$S,$AH18),"-")</f>
        <v>1</v>
      </c>
      <c r="AJ18" s="19">
        <f t="shared" si="0"/>
        <v>1.7543859649122806E-2</v>
      </c>
      <c r="BP18" s="3" t="str">
        <f>Respostas_Formatadas!C18</f>
        <v>Tecnologia em Gestão de Turismo</v>
      </c>
      <c r="BQ18" s="3" t="str">
        <f>Respostas_Formatadas!AD18</f>
        <v>AUXILIAR ADMINISTRATIVO</v>
      </c>
      <c r="BR18" s="3" t="s">
        <v>326</v>
      </c>
      <c r="BS18" s="25">
        <f t="shared" ref="BS18:BS20" si="103">COUNTIF($BR$3:$BR$273,BR18)</f>
        <v>7</v>
      </c>
      <c r="CY18" s="3" t="str">
        <f t="shared" si="1"/>
        <v>Tecnologia em Gestão de Turismo</v>
      </c>
      <c r="CZ18" s="3" t="str">
        <f>Respostas_Formatadas!AP18</f>
        <v>ORÇAMENTISTA</v>
      </c>
      <c r="DA18" s="3" t="s">
        <v>1219</v>
      </c>
      <c r="DB18" s="25">
        <f t="shared" ref="DB18:DB20" si="104">COUNTIF($DA$3:$DA$273,DA18)</f>
        <v>1</v>
      </c>
      <c r="EK18" s="3" t="s">
        <v>125</v>
      </c>
      <c r="EL18" s="3" t="str">
        <f>Respostas_Formatadas!BC18</f>
        <v>Aracaju</v>
      </c>
      <c r="EM18" s="3" t="s">
        <v>843</v>
      </c>
      <c r="EN18" s="25">
        <f>COUNTIF(Respostas_Formatadas!$BC:$BC,Tabulacao!EM18)</f>
        <v>1</v>
      </c>
      <c r="MC18" s="3" t="s">
        <v>292</v>
      </c>
      <c r="MD18" s="3" t="s">
        <v>616</v>
      </c>
      <c r="ME18" s="25">
        <v>2</v>
      </c>
      <c r="MF18" s="19">
        <f t="shared" si="2"/>
        <v>7.3800738007380072E-3</v>
      </c>
      <c r="MG18" s="3" t="s">
        <v>292</v>
      </c>
      <c r="MH18" s="3" t="s">
        <v>645</v>
      </c>
      <c r="MI18" s="25">
        <v>2</v>
      </c>
      <c r="MJ18" s="19">
        <f t="shared" si="3"/>
        <v>7.3800738007380072E-3</v>
      </c>
      <c r="MK18" s="3" t="s">
        <v>292</v>
      </c>
      <c r="ML18" s="3" t="s">
        <v>645</v>
      </c>
      <c r="MM18" s="25">
        <v>2</v>
      </c>
      <c r="MN18" s="19">
        <f t="shared" si="4"/>
        <v>7.3800738007380072E-3</v>
      </c>
      <c r="OG18" s="25"/>
    </row>
    <row r="19" spans="4:399" ht="15.75" customHeight="1" x14ac:dyDescent="0.2">
      <c r="D19" s="4" t="s">
        <v>119</v>
      </c>
      <c r="E19" s="25">
        <v>70</v>
      </c>
      <c r="F19" s="19">
        <f>E4/E19</f>
        <v>0.68571428571428572</v>
      </c>
      <c r="AH19" s="3" t="s">
        <v>941</v>
      </c>
      <c r="AI19" s="6">
        <f>IFERROR(COUNTIF(Respostas_Formatadas!$S:$S,$AH19),"-")</f>
        <v>2</v>
      </c>
      <c r="AJ19" s="19">
        <f t="shared" si="0"/>
        <v>3.5087719298245612E-2</v>
      </c>
      <c r="BP19" s="3" t="str">
        <f>Respostas_Formatadas!C19</f>
        <v>Tecnologia em Saneamento Ambiental</v>
      </c>
      <c r="BQ19" s="3" t="str">
        <f>Respostas_Formatadas!AD19</f>
        <v>Porteiro</v>
      </c>
      <c r="BR19" s="3" t="s">
        <v>334</v>
      </c>
      <c r="BS19" s="25">
        <f t="shared" si="103"/>
        <v>1</v>
      </c>
      <c r="CY19" s="3" t="str">
        <f t="shared" si="1"/>
        <v>Tecnologia em Saneamento Ambiental</v>
      </c>
      <c r="CZ19" s="3" t="str">
        <f>Respostas_Formatadas!AP19</f>
        <v>Porteira</v>
      </c>
      <c r="DA19" s="3" t="s">
        <v>335</v>
      </c>
      <c r="DB19" s="25">
        <f t="shared" si="104"/>
        <v>1</v>
      </c>
      <c r="EK19" s="3" t="s">
        <v>124</v>
      </c>
      <c r="EL19" s="3" t="str">
        <f>Respostas_Formatadas!BC19</f>
        <v>Aracaju</v>
      </c>
      <c r="EM19" s="3" t="s">
        <v>1284</v>
      </c>
      <c r="EN19" s="25">
        <f>COUNTIF(Respostas_Formatadas!$BC:$BC,Tabulacao!EM19)</f>
        <v>1</v>
      </c>
      <c r="MC19" s="3" t="s">
        <v>1277</v>
      </c>
      <c r="MD19" s="3" t="s">
        <v>1289</v>
      </c>
      <c r="ME19" s="25">
        <v>2</v>
      </c>
      <c r="MF19" s="19">
        <f t="shared" si="2"/>
        <v>7.3800738007380072E-3</v>
      </c>
      <c r="MG19" s="3" t="s">
        <v>292</v>
      </c>
      <c r="MH19" s="3" t="s">
        <v>1292</v>
      </c>
      <c r="MI19" s="25">
        <v>2</v>
      </c>
      <c r="MJ19" s="19">
        <f t="shared" si="3"/>
        <v>7.3800738007380072E-3</v>
      </c>
      <c r="MK19" s="3" t="s">
        <v>292</v>
      </c>
      <c r="ML19" s="3" t="s">
        <v>528</v>
      </c>
      <c r="MM19" s="25">
        <v>2</v>
      </c>
      <c r="MN19" s="19">
        <f t="shared" si="4"/>
        <v>7.3800738007380072E-3</v>
      </c>
      <c r="OG19" s="25"/>
    </row>
    <row r="20" spans="4:399" ht="15.75" customHeight="1" x14ac:dyDescent="0.2">
      <c r="D20" s="4" t="s">
        <v>120</v>
      </c>
      <c r="E20" s="25">
        <v>18</v>
      </c>
      <c r="F20" s="19">
        <f t="shared" ref="F20:F30" si="105">E5/E20</f>
        <v>1.0555555555555556</v>
      </c>
      <c r="AH20" s="3" t="s">
        <v>697</v>
      </c>
      <c r="AI20" s="6">
        <f>IFERROR(COUNTIF(Respostas_Formatadas!$S:$S,$AH20),"-")</f>
        <v>3</v>
      </c>
      <c r="AJ20" s="19">
        <f t="shared" si="0"/>
        <v>5.2631578947368418E-2</v>
      </c>
      <c r="BP20" s="3" t="str">
        <f>Respostas_Formatadas!C20</f>
        <v>Bacharelado em Sistemas de Informação</v>
      </c>
      <c r="BQ20" s="3" t="str">
        <f>Respostas_Formatadas!AD20</f>
        <v>Analista de Sistemas</v>
      </c>
      <c r="BR20" s="3" t="s">
        <v>298</v>
      </c>
      <c r="BS20" s="25">
        <f t="shared" si="103"/>
        <v>5</v>
      </c>
      <c r="CY20" s="3" t="str">
        <f t="shared" si="1"/>
        <v>Bacharelado em Sistemas de Informação</v>
      </c>
      <c r="CZ20" s="3" t="str">
        <f>Respostas_Formatadas!AP20</f>
        <v>Programador de Sistemas</v>
      </c>
      <c r="DA20" s="3" t="s">
        <v>340</v>
      </c>
      <c r="DB20" s="25">
        <f t="shared" si="104"/>
        <v>2</v>
      </c>
      <c r="EK20" s="3" t="s">
        <v>120</v>
      </c>
      <c r="EL20" s="3" t="str">
        <f>Respostas_Formatadas!BC20</f>
        <v>Aracaju</v>
      </c>
      <c r="EM20" s="3" t="s">
        <v>353</v>
      </c>
      <c r="EN20" s="25">
        <f>COUNTIF(Respostas_Formatadas!$BC:$BC,Tabulacao!EM20)</f>
        <v>1</v>
      </c>
      <c r="MC20" s="3" t="s">
        <v>341</v>
      </c>
      <c r="MD20" s="3" t="s">
        <v>627</v>
      </c>
      <c r="ME20" s="25">
        <v>2</v>
      </c>
      <c r="MF20" s="19">
        <f t="shared" si="2"/>
        <v>7.3800738007380072E-3</v>
      </c>
      <c r="MG20" s="3" t="s">
        <v>341</v>
      </c>
      <c r="MH20" s="3" t="s">
        <v>627</v>
      </c>
      <c r="MI20" s="25">
        <v>1</v>
      </c>
      <c r="MJ20" s="19">
        <f t="shared" si="3"/>
        <v>3.6900369003690036E-3</v>
      </c>
      <c r="MK20" s="3" t="s">
        <v>399</v>
      </c>
      <c r="ML20" s="3" t="s">
        <v>1293</v>
      </c>
      <c r="MM20" s="25">
        <v>2</v>
      </c>
      <c r="MN20" s="19">
        <f t="shared" si="4"/>
        <v>7.3800738007380072E-3</v>
      </c>
      <c r="OG20" s="25"/>
    </row>
    <row r="21" spans="4:399" ht="15.75" customHeight="1" x14ac:dyDescent="0.2">
      <c r="D21" s="4" t="s">
        <v>121</v>
      </c>
      <c r="E21" s="25">
        <v>61</v>
      </c>
      <c r="F21" s="19">
        <f t="shared" si="105"/>
        <v>0.45901639344262296</v>
      </c>
      <c r="AH21" s="3" t="s">
        <v>944</v>
      </c>
      <c r="AI21" s="6">
        <f>IFERROR(COUNTIF(Respostas_Formatadas!$S:$S,$AH21),"-")</f>
        <v>1</v>
      </c>
      <c r="AJ21" s="19">
        <f t="shared" si="0"/>
        <v>1.7543859649122806E-2</v>
      </c>
      <c r="BP21" s="3" t="str">
        <f>Respostas_Formatadas!C21</f>
        <v>Licenciatura em Física</v>
      </c>
      <c r="BQ21" s="3">
        <f>Respostas_Formatadas!AD21</f>
        <v>0</v>
      </c>
      <c r="CY21" s="3" t="str">
        <f t="shared" si="1"/>
        <v>Licenciatura em Física</v>
      </c>
      <c r="CZ21" s="3">
        <f>Respostas_Formatadas!AP21</f>
        <v>0</v>
      </c>
      <c r="EK21" s="3" t="s">
        <v>123</v>
      </c>
      <c r="EM21" s="3" t="s">
        <v>310</v>
      </c>
      <c r="EN21" s="25">
        <f>COUNTIF(Respostas_Formatadas!$BC:$BC,Tabulacao!EM21)</f>
        <v>1</v>
      </c>
      <c r="MC21" s="3" t="s">
        <v>344</v>
      </c>
      <c r="MD21" s="3" t="s">
        <v>1299</v>
      </c>
      <c r="ME21" s="25">
        <v>2</v>
      </c>
      <c r="MF21" s="19">
        <f t="shared" si="2"/>
        <v>7.3800738007380072E-3</v>
      </c>
      <c r="MG21" s="3" t="s">
        <v>344</v>
      </c>
      <c r="MH21" s="3" t="s">
        <v>528</v>
      </c>
      <c r="MI21" s="25">
        <v>1</v>
      </c>
      <c r="MJ21" s="19">
        <f t="shared" si="3"/>
        <v>3.6900369003690036E-3</v>
      </c>
      <c r="MK21" s="3" t="s">
        <v>399</v>
      </c>
      <c r="ML21" s="3" t="s">
        <v>341</v>
      </c>
      <c r="MM21" s="25">
        <v>1</v>
      </c>
      <c r="MN21" s="19">
        <f t="shared" si="4"/>
        <v>3.6900369003690036E-3</v>
      </c>
      <c r="OG21" s="25"/>
    </row>
    <row r="22" spans="4:399" ht="15.75" customHeight="1" x14ac:dyDescent="0.2">
      <c r="D22" s="4" t="s">
        <v>122</v>
      </c>
      <c r="E22" s="25">
        <v>45</v>
      </c>
      <c r="F22" s="19">
        <f t="shared" si="105"/>
        <v>0.48888888888888887</v>
      </c>
      <c r="AH22" s="3" t="s">
        <v>936</v>
      </c>
      <c r="AI22" s="6">
        <f>IFERROR(COUNTIF(Respostas_Formatadas!$S:$S,$AH22),"-")</f>
        <v>1</v>
      </c>
      <c r="AJ22" s="19">
        <f t="shared" si="0"/>
        <v>1.7543859649122806E-2</v>
      </c>
      <c r="BP22" s="3" t="str">
        <f>Respostas_Formatadas!C22</f>
        <v>Tecnologia em Logística</v>
      </c>
      <c r="BQ22" s="3">
        <f>Respostas_Formatadas!AD22</f>
        <v>0</v>
      </c>
      <c r="CY22" s="3" t="str">
        <f t="shared" si="1"/>
        <v>Tecnologia em Logística</v>
      </c>
      <c r="CZ22" s="3">
        <f>Respostas_Formatadas!AP22</f>
        <v>0</v>
      </c>
      <c r="EK22" s="3" t="s">
        <v>127</v>
      </c>
      <c r="EM22" s="3" t="s">
        <v>1280</v>
      </c>
      <c r="EN22" s="25">
        <f>COUNTIF(Respostas_Formatadas!$BC:$BC,Tabulacao!EM22)</f>
        <v>1</v>
      </c>
      <c r="MC22" s="3" t="s">
        <v>358</v>
      </c>
      <c r="MD22" s="3" t="s">
        <v>1285</v>
      </c>
      <c r="ME22" s="25">
        <v>2</v>
      </c>
      <c r="MF22" s="19">
        <f t="shared" si="2"/>
        <v>7.3800738007380072E-3</v>
      </c>
      <c r="MG22" s="3" t="s">
        <v>848</v>
      </c>
      <c r="MH22" s="3" t="s">
        <v>1293</v>
      </c>
      <c r="MI22" s="25">
        <v>1</v>
      </c>
      <c r="MJ22" s="19">
        <f t="shared" si="3"/>
        <v>3.6900369003690036E-3</v>
      </c>
      <c r="MK22" s="3" t="s">
        <v>358</v>
      </c>
      <c r="ML22" s="3" t="s">
        <v>344</v>
      </c>
      <c r="MM22" s="25">
        <v>1</v>
      </c>
      <c r="MN22" s="19">
        <f t="shared" si="4"/>
        <v>3.6900369003690036E-3</v>
      </c>
      <c r="OG22" s="25"/>
    </row>
    <row r="23" spans="4:399" ht="15.75" customHeight="1" x14ac:dyDescent="0.2">
      <c r="D23" s="4" t="s">
        <v>123</v>
      </c>
      <c r="E23" s="25">
        <v>3</v>
      </c>
      <c r="F23" s="19">
        <f t="shared" si="105"/>
        <v>2.6666666666666665</v>
      </c>
      <c r="AH23" s="3" t="s">
        <v>938</v>
      </c>
      <c r="AI23" s="6">
        <f>IFERROR(COUNTIF(Respostas_Formatadas!$S:$S,$AH23),"-")</f>
        <v>3</v>
      </c>
      <c r="AJ23" s="19">
        <f t="shared" si="0"/>
        <v>5.2631578947368418E-2</v>
      </c>
      <c r="BP23" s="3" t="str">
        <f>Respostas_Formatadas!C23</f>
        <v>Bacharelado em Sistemas de Informação</v>
      </c>
      <c r="BQ23" s="3" t="str">
        <f>Respostas_Formatadas!AD23</f>
        <v>Técnico de TI</v>
      </c>
      <c r="BR23" s="3" t="s">
        <v>289</v>
      </c>
      <c r="BS23" s="25">
        <f t="shared" ref="BS23:BS24" si="106">COUNTIF($BR$3:$BR$273,BR23)</f>
        <v>2</v>
      </c>
      <c r="CY23" s="3" t="str">
        <f t="shared" si="1"/>
        <v>Bacharelado em Sistemas de Informação</v>
      </c>
      <c r="CZ23" s="3" t="str">
        <f>Respostas_Formatadas!AP23</f>
        <v>Técnico de TI/Analista de Dados</v>
      </c>
      <c r="DA23" s="3" t="s">
        <v>289</v>
      </c>
      <c r="DB23" s="25">
        <f t="shared" ref="DB23:DB24" si="107">COUNTIF($DA$3:$DA$273,DA23)</f>
        <v>2</v>
      </c>
      <c r="EK23" s="3" t="s">
        <v>120</v>
      </c>
      <c r="EL23" s="3" t="str">
        <f>Respostas_Formatadas!BC23</f>
        <v>Lagarto</v>
      </c>
      <c r="EM23" s="3" t="s">
        <v>1279</v>
      </c>
      <c r="EN23" s="25">
        <f>COUNTIF(Respostas_Formatadas!$BC:$BC,Tabulacao!EM23)</f>
        <v>1</v>
      </c>
      <c r="MC23" s="3" t="s">
        <v>291</v>
      </c>
      <c r="MD23" s="3" t="s">
        <v>528</v>
      </c>
      <c r="ME23" s="25">
        <v>2</v>
      </c>
      <c r="MF23" s="19">
        <f t="shared" si="2"/>
        <v>7.3800738007380072E-3</v>
      </c>
      <c r="MG23" s="3" t="s">
        <v>291</v>
      </c>
      <c r="MH23" s="3" t="s">
        <v>761</v>
      </c>
      <c r="MI23" s="25">
        <v>1</v>
      </c>
      <c r="MJ23" s="19">
        <f t="shared" si="3"/>
        <v>3.6900369003690036E-3</v>
      </c>
      <c r="MK23" s="3" t="s">
        <v>291</v>
      </c>
      <c r="ML23" s="3" t="s">
        <v>1292</v>
      </c>
      <c r="MM23" s="25">
        <v>1</v>
      </c>
      <c r="MN23" s="19">
        <f t="shared" si="4"/>
        <v>3.6900369003690036E-3</v>
      </c>
      <c r="OG23" s="25"/>
    </row>
    <row r="24" spans="4:399" ht="15.75" customHeight="1" x14ac:dyDescent="0.2">
      <c r="D24" s="4" t="s">
        <v>124</v>
      </c>
      <c r="E24" s="25">
        <v>63</v>
      </c>
      <c r="F24" s="19">
        <f t="shared" si="105"/>
        <v>0.7142857142857143</v>
      </c>
      <c r="AH24" s="3" t="s">
        <v>733</v>
      </c>
      <c r="AI24" s="6">
        <f>IFERROR(COUNTIF(Respostas_Formatadas!$S:$S,$AH24),"-")</f>
        <v>1</v>
      </c>
      <c r="AJ24" s="19">
        <f t="shared" si="0"/>
        <v>1.7543859649122806E-2</v>
      </c>
      <c r="BP24" s="3" t="str">
        <f>Respostas_Formatadas!C24</f>
        <v>Tecnologia em Laticínios</v>
      </c>
      <c r="BQ24" s="3" t="str">
        <f>Respostas_Formatadas!AD24</f>
        <v>Motorista</v>
      </c>
      <c r="BR24" s="3" t="s">
        <v>352</v>
      </c>
      <c r="BS24" s="25">
        <f t="shared" si="106"/>
        <v>1</v>
      </c>
      <c r="CY24" s="3" t="str">
        <f t="shared" si="1"/>
        <v>Tecnologia em Laticínios</v>
      </c>
      <c r="CZ24" s="3" t="str">
        <f>Respostas_Formatadas!AP24</f>
        <v>Motorista</v>
      </c>
      <c r="DA24" s="3" t="s">
        <v>352</v>
      </c>
      <c r="DB24" s="25">
        <f t="shared" si="107"/>
        <v>1</v>
      </c>
      <c r="EK24" s="3" t="s">
        <v>128</v>
      </c>
      <c r="EL24" s="3" t="str">
        <f>Respostas_Formatadas!BC24</f>
        <v>Poço Redondo</v>
      </c>
      <c r="EM24" s="3" t="s">
        <v>1300</v>
      </c>
      <c r="EN24" s="25">
        <f>COUNTIF(Respostas_Formatadas!$BC:$BC,Tabulacao!EM24)</f>
        <v>1</v>
      </c>
      <c r="MC24" s="3" t="s">
        <v>354</v>
      </c>
      <c r="MD24" s="3" t="s">
        <v>853</v>
      </c>
      <c r="ME24" s="25">
        <v>2</v>
      </c>
      <c r="MF24" s="19">
        <f t="shared" si="2"/>
        <v>7.3800738007380072E-3</v>
      </c>
      <c r="MG24" s="3" t="s">
        <v>328</v>
      </c>
      <c r="MH24" s="3" t="s">
        <v>800</v>
      </c>
      <c r="MI24" s="25">
        <v>1</v>
      </c>
      <c r="MJ24" s="19">
        <f t="shared" si="3"/>
        <v>3.6900369003690036E-3</v>
      </c>
      <c r="MK24" s="3" t="s">
        <v>353</v>
      </c>
      <c r="ML24" s="3" t="s">
        <v>627</v>
      </c>
      <c r="MM24" s="25">
        <v>1</v>
      </c>
      <c r="MN24" s="19">
        <f t="shared" si="4"/>
        <v>3.6900369003690036E-3</v>
      </c>
      <c r="OG24" s="25"/>
    </row>
    <row r="25" spans="4:399" ht="15.75" customHeight="1" x14ac:dyDescent="0.2">
      <c r="D25" s="4" t="s">
        <v>125</v>
      </c>
      <c r="E25" s="25">
        <v>82</v>
      </c>
      <c r="F25" s="19">
        <f t="shared" si="105"/>
        <v>0.42682926829268292</v>
      </c>
      <c r="AH25" s="3" t="s">
        <v>508</v>
      </c>
      <c r="AI25" s="6">
        <f>IFERROR(COUNTIF(Respostas_Formatadas!$S:$S,$AH25),"-")</f>
        <v>1</v>
      </c>
      <c r="AJ25" s="19">
        <f t="shared" si="0"/>
        <v>1.7543859649122806E-2</v>
      </c>
      <c r="BP25" s="3" t="str">
        <f>Respostas_Formatadas!C25</f>
        <v>Licenciatura em Química</v>
      </c>
      <c r="BQ25" s="3">
        <f>Respostas_Formatadas!AD25</f>
        <v>0</v>
      </c>
      <c r="CY25" s="3" t="str">
        <f t="shared" si="1"/>
        <v>Licenciatura em Química</v>
      </c>
      <c r="CZ25" s="3">
        <f>Respostas_Formatadas!AP25</f>
        <v>0</v>
      </c>
      <c r="EK25" s="3" t="s">
        <v>121</v>
      </c>
      <c r="EL25" s="3" t="str">
        <f>Respostas_Formatadas!BC25</f>
        <v>Balneário Camboriú - SC</v>
      </c>
      <c r="EM25" s="3" t="s">
        <v>1303</v>
      </c>
      <c r="EN25" s="25">
        <f>COUNTIF(Respostas_Formatadas!$BC:$BC,Tabulacao!EM25)</f>
        <v>1</v>
      </c>
      <c r="MC25" s="3" t="s">
        <v>292</v>
      </c>
      <c r="MD25" s="3" t="s">
        <v>353</v>
      </c>
      <c r="ME25" s="25">
        <v>2</v>
      </c>
      <c r="MF25" s="19">
        <f t="shared" si="2"/>
        <v>7.3800738007380072E-3</v>
      </c>
      <c r="MG25" s="3" t="s">
        <v>292</v>
      </c>
      <c r="MH25" s="3" t="s">
        <v>843</v>
      </c>
      <c r="MI25" s="25">
        <v>1</v>
      </c>
      <c r="MJ25" s="19">
        <f t="shared" si="3"/>
        <v>3.6900369003690036E-3</v>
      </c>
      <c r="MK25" s="3" t="s">
        <v>1300</v>
      </c>
      <c r="ML25" s="3" t="s">
        <v>761</v>
      </c>
      <c r="MM25" s="25">
        <v>1</v>
      </c>
      <c r="MN25" s="19">
        <f t="shared" si="4"/>
        <v>3.6900369003690036E-3</v>
      </c>
      <c r="OG25" s="25"/>
    </row>
    <row r="26" spans="4:399" ht="15.75" customHeight="1" x14ac:dyDescent="0.2">
      <c r="D26" s="3" t="s">
        <v>126</v>
      </c>
      <c r="E26" s="25">
        <v>26</v>
      </c>
      <c r="F26" s="19">
        <f t="shared" si="105"/>
        <v>0.65384615384615385</v>
      </c>
      <c r="AH26" s="3" t="s">
        <v>935</v>
      </c>
      <c r="AI26" s="6">
        <f>IFERROR(COUNTIF(Respostas_Formatadas!$S:$S,$AH26),"-")</f>
        <v>1</v>
      </c>
      <c r="AJ26" s="19">
        <f t="shared" si="0"/>
        <v>1.7543859649122806E-2</v>
      </c>
      <c r="BP26" s="3" t="str">
        <f>Respostas_Formatadas!C26</f>
        <v>Licenciatura em Química</v>
      </c>
      <c r="BQ26" s="3">
        <f>Respostas_Formatadas!AD26</f>
        <v>0</v>
      </c>
      <c r="CY26" s="3" t="str">
        <f t="shared" si="1"/>
        <v>Licenciatura em Química</v>
      </c>
      <c r="CZ26" s="3">
        <f>Respostas_Formatadas!AP26</f>
        <v>0</v>
      </c>
      <c r="EK26" s="3" t="s">
        <v>121</v>
      </c>
      <c r="EM26" s="3" t="s">
        <v>1306</v>
      </c>
      <c r="EN26" s="25">
        <f>COUNTIF(Respostas_Formatadas!$BC:$BC,Tabulacao!EM26)</f>
        <v>1</v>
      </c>
      <c r="MC26" s="3" t="s">
        <v>358</v>
      </c>
      <c r="MD26" s="3" t="s">
        <v>344</v>
      </c>
      <c r="ME26" s="25">
        <v>2</v>
      </c>
      <c r="MF26" s="19">
        <f t="shared" si="2"/>
        <v>7.3800738007380072E-3</v>
      </c>
      <c r="MG26" s="3" t="s">
        <v>358</v>
      </c>
      <c r="MH26" s="3" t="s">
        <v>543</v>
      </c>
      <c r="MI26" s="25">
        <v>1</v>
      </c>
      <c r="MJ26" s="19">
        <f t="shared" si="3"/>
        <v>3.6900369003690036E-3</v>
      </c>
      <c r="MK26" s="3" t="s">
        <v>292</v>
      </c>
      <c r="ML26" s="3" t="s">
        <v>843</v>
      </c>
      <c r="MM26" s="25">
        <v>1</v>
      </c>
      <c r="MN26" s="19">
        <f t="shared" si="4"/>
        <v>3.6900369003690036E-3</v>
      </c>
      <c r="OG26" s="25"/>
    </row>
    <row r="27" spans="4:399" ht="15.75" customHeight="1" x14ac:dyDescent="0.2">
      <c r="D27" s="3" t="s">
        <v>127</v>
      </c>
      <c r="E27" s="25">
        <v>31</v>
      </c>
      <c r="F27" s="19">
        <f t="shared" si="105"/>
        <v>0.54838709677419351</v>
      </c>
      <c r="AH27" s="3" t="s">
        <v>946</v>
      </c>
      <c r="AI27" s="6">
        <f>IFERROR(COUNTIF(Respostas_Formatadas!$S:$S,$AH27),"-")</f>
        <v>1</v>
      </c>
      <c r="AJ27" s="19">
        <f t="shared" si="0"/>
        <v>1.7543859649122806E-2</v>
      </c>
      <c r="BP27" s="3" t="str">
        <f>Respostas_Formatadas!C27</f>
        <v>Tecnologia em Logística</v>
      </c>
      <c r="BQ27" s="3">
        <f>Respostas_Formatadas!AD27</f>
        <v>0</v>
      </c>
      <c r="CY27" s="3" t="str">
        <f t="shared" si="1"/>
        <v>Tecnologia em Logística</v>
      </c>
      <c r="CZ27" s="3">
        <f>Respostas_Formatadas!AP27</f>
        <v>0</v>
      </c>
      <c r="EK27" s="3" t="s">
        <v>127</v>
      </c>
      <c r="EM27" s="3" t="s">
        <v>1308</v>
      </c>
      <c r="EN27" s="25">
        <f>COUNTIF(Respostas_Formatadas!$BC:$BC,Tabulacao!EM27)</f>
        <v>1</v>
      </c>
      <c r="MC27" s="3" t="s">
        <v>322</v>
      </c>
      <c r="MD27" s="3" t="s">
        <v>1293</v>
      </c>
      <c r="ME27" s="25">
        <v>2</v>
      </c>
      <c r="MF27" s="19">
        <f t="shared" si="2"/>
        <v>7.3800738007380072E-3</v>
      </c>
      <c r="MG27" s="3" t="s">
        <v>322</v>
      </c>
      <c r="MH27" s="3" t="s">
        <v>848</v>
      </c>
      <c r="MI27" s="25">
        <v>1</v>
      </c>
      <c r="MJ27" s="19">
        <f t="shared" si="3"/>
        <v>3.6900369003690036E-3</v>
      </c>
      <c r="MK27" s="3" t="s">
        <v>322</v>
      </c>
      <c r="ML27" s="3" t="s">
        <v>423</v>
      </c>
      <c r="MM27" s="25">
        <v>1</v>
      </c>
      <c r="MN27" s="19">
        <f t="shared" si="4"/>
        <v>3.6900369003690036E-3</v>
      </c>
      <c r="OG27" s="25"/>
    </row>
    <row r="28" spans="4:399" ht="15.75" customHeight="1" x14ac:dyDescent="0.2">
      <c r="D28" s="3" t="s">
        <v>128</v>
      </c>
      <c r="E28" s="25">
        <v>37</v>
      </c>
      <c r="F28" s="19">
        <f t="shared" si="105"/>
        <v>0.35135135135135137</v>
      </c>
      <c r="AH28" s="3" t="s">
        <v>937</v>
      </c>
      <c r="AI28" s="6">
        <f>IFERROR(COUNTIF(Respostas_Formatadas!$S:$S,$AH28),"-")</f>
        <v>2</v>
      </c>
      <c r="AJ28" s="19">
        <f t="shared" si="0"/>
        <v>3.5087719298245612E-2</v>
      </c>
      <c r="BP28" s="3" t="str">
        <f>Respostas_Formatadas!C28</f>
        <v>Bacharelado em Engenharia Civil</v>
      </c>
      <c r="BQ28" s="3" t="str">
        <f>Respostas_Formatadas!AD28</f>
        <v>Engenheira Civil</v>
      </c>
      <c r="BR28" s="3" t="s">
        <v>424</v>
      </c>
      <c r="BS28" s="25">
        <f t="shared" ref="BS28:BS35" si="108">COUNTIF($BR$3:$BR$273,BR28)</f>
        <v>8</v>
      </c>
      <c r="CY28" s="3" t="str">
        <f t="shared" si="1"/>
        <v>Bacharelado em Engenharia Civil</v>
      </c>
      <c r="CZ28" s="3" t="str">
        <f>Respostas_Formatadas!AP28</f>
        <v>Engenheira civil</v>
      </c>
      <c r="DA28" s="3" t="s">
        <v>424</v>
      </c>
      <c r="DB28" s="25">
        <f t="shared" ref="DB28:DB32" si="109">COUNTIF($DA$3:$DA$273,DA28)</f>
        <v>14</v>
      </c>
      <c r="EK28" s="3" t="s">
        <v>119</v>
      </c>
      <c r="EL28" s="3" t="str">
        <f>Respostas_Formatadas!BC28</f>
        <v>Aracaju</v>
      </c>
      <c r="EM28" s="3" t="s">
        <v>1309</v>
      </c>
      <c r="EN28" s="25">
        <f>COUNTIF(Respostas_Formatadas!$BC:$BC,Tabulacao!EM28)</f>
        <v>1</v>
      </c>
      <c r="MC28" s="3" t="s">
        <v>292</v>
      </c>
      <c r="MD28" s="3" t="s">
        <v>796</v>
      </c>
      <c r="ME28" s="25">
        <v>2</v>
      </c>
      <c r="MF28" s="19">
        <f t="shared" si="2"/>
        <v>7.3800738007380072E-3</v>
      </c>
      <c r="MG28" s="3" t="s">
        <v>292</v>
      </c>
      <c r="MH28" s="3" t="s">
        <v>510</v>
      </c>
      <c r="MI28" s="25">
        <v>1</v>
      </c>
      <c r="MJ28" s="19">
        <f t="shared" si="3"/>
        <v>3.6900369003690036E-3</v>
      </c>
      <c r="MK28" s="3" t="s">
        <v>292</v>
      </c>
      <c r="ML28" s="3" t="s">
        <v>1284</v>
      </c>
      <c r="MM28" s="25">
        <v>1</v>
      </c>
      <c r="MN28" s="19">
        <f t="shared" si="4"/>
        <v>3.6900369003690036E-3</v>
      </c>
      <c r="OG28" s="25"/>
    </row>
    <row r="29" spans="4:399" ht="15.75" customHeight="1" x14ac:dyDescent="0.2">
      <c r="D29" s="3" t="s">
        <v>129</v>
      </c>
      <c r="E29" s="25">
        <v>6</v>
      </c>
      <c r="F29" s="19">
        <f t="shared" si="105"/>
        <v>0.5</v>
      </c>
      <c r="AH29" s="3" t="s">
        <v>497</v>
      </c>
      <c r="AI29" s="6">
        <f>IFERROR(COUNTIF(Respostas_Formatadas!$S:$S,$AH29),"-")</f>
        <v>2</v>
      </c>
      <c r="AJ29" s="19">
        <f t="shared" si="0"/>
        <v>3.5087719298245612E-2</v>
      </c>
      <c r="BP29" s="3" t="str">
        <f>Respostas_Formatadas!C29</f>
        <v>Tecnologia em Saneamento Ambiental</v>
      </c>
      <c r="BQ29" s="3" t="str">
        <f>Respostas_Formatadas!AD29</f>
        <v>Condutor de Ambulancia</v>
      </c>
      <c r="BR29" s="3" t="s">
        <v>1115</v>
      </c>
      <c r="BS29" s="25">
        <f t="shared" si="108"/>
        <v>1</v>
      </c>
      <c r="CY29" s="3" t="str">
        <f t="shared" si="1"/>
        <v>Tecnologia em Saneamento Ambiental</v>
      </c>
      <c r="CZ29" s="3" t="str">
        <f>Respostas_Formatadas!AP29</f>
        <v>condutor de Ambulancia</v>
      </c>
      <c r="DA29" s="3" t="s">
        <v>1115</v>
      </c>
      <c r="DB29" s="25">
        <f t="shared" si="109"/>
        <v>1</v>
      </c>
      <c r="EK29" s="3" t="s">
        <v>124</v>
      </c>
      <c r="EL29" s="3" t="str">
        <f>Respostas_Formatadas!BC29</f>
        <v>Aracaju</v>
      </c>
      <c r="EM29" s="3" t="s">
        <v>1320</v>
      </c>
      <c r="EN29" s="25">
        <f>COUNTIF(Respostas_Formatadas!$BC:$BC,Tabulacao!EM29)</f>
        <v>1</v>
      </c>
      <c r="MC29" s="3" t="s">
        <v>292</v>
      </c>
      <c r="MD29" s="3" t="s">
        <v>645</v>
      </c>
      <c r="ME29" s="25">
        <v>2</v>
      </c>
      <c r="MF29" s="19">
        <f t="shared" si="2"/>
        <v>7.3800738007380072E-3</v>
      </c>
      <c r="MG29" s="3" t="s">
        <v>292</v>
      </c>
      <c r="MH29" s="3" t="s">
        <v>828</v>
      </c>
      <c r="MI29" s="25">
        <v>1</v>
      </c>
      <c r="MJ29" s="19">
        <f t="shared" si="3"/>
        <v>3.6900369003690036E-3</v>
      </c>
      <c r="MK29" s="3" t="s">
        <v>292</v>
      </c>
      <c r="ML29" s="3" t="s">
        <v>1299</v>
      </c>
      <c r="MM29" s="25">
        <v>1</v>
      </c>
      <c r="MN29" s="19">
        <f t="shared" si="4"/>
        <v>3.6900369003690036E-3</v>
      </c>
      <c r="OG29" s="25"/>
    </row>
    <row r="30" spans="4:399" ht="15.75" customHeight="1" x14ac:dyDescent="0.2">
      <c r="D30" s="3" t="s">
        <v>130</v>
      </c>
      <c r="E30" s="25">
        <v>28</v>
      </c>
      <c r="F30" s="19">
        <f t="shared" si="105"/>
        <v>0.5714285714285714</v>
      </c>
      <c r="AH30" s="3" t="s">
        <v>691</v>
      </c>
      <c r="AI30" s="6">
        <f>IFERROR(COUNTIF(Respostas_Formatadas!$S:$S,$AH30),"-")</f>
        <v>3</v>
      </c>
      <c r="AJ30" s="19">
        <f t="shared" si="0"/>
        <v>5.2631578947368418E-2</v>
      </c>
      <c r="BP30" s="3" t="str">
        <f>Respostas_Formatadas!C30</f>
        <v>Tecnologia em Automação Industrial</v>
      </c>
      <c r="BQ30" s="3" t="str">
        <f>Respostas_Formatadas!AD30</f>
        <v>eletricista de manutenção</v>
      </c>
      <c r="BR30" s="3" t="s">
        <v>379</v>
      </c>
      <c r="BS30" s="25">
        <f t="shared" si="108"/>
        <v>2</v>
      </c>
      <c r="CY30" s="3" t="str">
        <f t="shared" si="1"/>
        <v>Tecnologia em Automação Industrial</v>
      </c>
      <c r="CZ30" s="3" t="str">
        <f>Respostas_Formatadas!AP30</f>
        <v>Servidor público</v>
      </c>
      <c r="DA30" s="3" t="s">
        <v>1220</v>
      </c>
      <c r="DB30" s="25">
        <f t="shared" si="109"/>
        <v>1</v>
      </c>
      <c r="EK30" s="3" t="s">
        <v>126</v>
      </c>
      <c r="EL30" s="3" t="str">
        <f>Respostas_Formatadas!BC30</f>
        <v>Nossa Senhora da Glória</v>
      </c>
      <c r="EM30" s="3" t="s">
        <v>1317</v>
      </c>
      <c r="EN30" s="25">
        <f>COUNTIF(Respostas_Formatadas!$BC:$BC,Tabulacao!EM30)</f>
        <v>1</v>
      </c>
      <c r="MC30" s="3" t="s">
        <v>292</v>
      </c>
      <c r="MD30" s="3" t="s">
        <v>1311</v>
      </c>
      <c r="ME30" s="25">
        <v>1</v>
      </c>
      <c r="MF30" s="19">
        <f t="shared" si="2"/>
        <v>3.6900369003690036E-3</v>
      </c>
      <c r="MG30" s="3" t="s">
        <v>292</v>
      </c>
      <c r="MH30" s="3" t="s">
        <v>423</v>
      </c>
      <c r="MI30" s="25">
        <v>1</v>
      </c>
      <c r="MJ30" s="19">
        <f t="shared" si="3"/>
        <v>3.6900369003690036E-3</v>
      </c>
      <c r="MK30" s="3" t="s">
        <v>292</v>
      </c>
      <c r="ML30" s="3" t="s">
        <v>353</v>
      </c>
      <c r="MM30" s="25">
        <v>1</v>
      </c>
      <c r="MN30" s="19">
        <f t="shared" si="4"/>
        <v>3.6900369003690036E-3</v>
      </c>
      <c r="OG30" s="25"/>
    </row>
    <row r="31" spans="4:399" ht="15.75" customHeight="1" x14ac:dyDescent="0.2">
      <c r="D31" s="28" t="s">
        <v>621</v>
      </c>
      <c r="E31" s="24">
        <f>SUM(E19:E30)</f>
        <v>470</v>
      </c>
      <c r="F31" s="28"/>
      <c r="AH31" s="3" t="s">
        <v>422</v>
      </c>
      <c r="AI31" s="6">
        <f>IFERROR(COUNTIF(Respostas_Formatadas!$S:$S,$AH31),"-")</f>
        <v>4</v>
      </c>
      <c r="AJ31" s="19">
        <f t="shared" si="0"/>
        <v>7.0175438596491224E-2</v>
      </c>
      <c r="BP31" s="3" t="str">
        <f>Respostas_Formatadas!C31</f>
        <v>Licenciatura em Química</v>
      </c>
      <c r="BQ31" s="3" t="str">
        <f>Respostas_Formatadas!AD31</f>
        <v xml:space="preserve">Agente Tecnico de Fiscalização de Obras </v>
      </c>
      <c r="BR31" s="3" t="s">
        <v>1116</v>
      </c>
      <c r="BS31" s="25">
        <f t="shared" si="108"/>
        <v>1</v>
      </c>
      <c r="CY31" s="3" t="str">
        <f t="shared" si="1"/>
        <v>Licenciatura em Química</v>
      </c>
      <c r="CZ31" s="3" t="str">
        <f>Respostas_Formatadas!AP31</f>
        <v>Agente Técnico de Fiscalização de Obras</v>
      </c>
      <c r="DA31" s="3" t="s">
        <v>377</v>
      </c>
      <c r="DB31" s="25">
        <f t="shared" si="109"/>
        <v>1</v>
      </c>
      <c r="EK31" s="3" t="s">
        <v>121</v>
      </c>
      <c r="EL31" s="3" t="str">
        <f>Respostas_Formatadas!BC31</f>
        <v>Lagarto</v>
      </c>
      <c r="EM31" s="3" t="s">
        <v>586</v>
      </c>
      <c r="EN31" s="25">
        <f>COUNTIF(Respostas_Formatadas!$BC:$BC,Tabulacao!EM31)</f>
        <v>1</v>
      </c>
      <c r="MC31" s="3" t="s">
        <v>291</v>
      </c>
      <c r="MD31" s="3" t="s">
        <v>761</v>
      </c>
      <c r="ME31" s="25">
        <v>1</v>
      </c>
      <c r="MF31" s="19">
        <f t="shared" si="2"/>
        <v>3.6900369003690036E-3</v>
      </c>
      <c r="MG31" s="3" t="s">
        <v>292</v>
      </c>
      <c r="MH31" s="3" t="s">
        <v>1284</v>
      </c>
      <c r="MI31" s="25">
        <v>0</v>
      </c>
      <c r="MJ31" s="19">
        <f t="shared" si="3"/>
        <v>0</v>
      </c>
      <c r="MK31" s="3" t="s">
        <v>291</v>
      </c>
      <c r="ML31" s="3" t="s">
        <v>1295</v>
      </c>
      <c r="MM31" s="25">
        <v>1</v>
      </c>
      <c r="MN31" s="19">
        <f t="shared" si="4"/>
        <v>3.6900369003690036E-3</v>
      </c>
      <c r="OG31" s="25"/>
    </row>
    <row r="32" spans="4:399" ht="15.75" customHeight="1" x14ac:dyDescent="0.2">
      <c r="AH32" s="3" t="s">
        <v>517</v>
      </c>
      <c r="AI32" s="6">
        <f>IFERROR(COUNTIF(Respostas_Formatadas!$S:$S,$AH32),"-")</f>
        <v>1</v>
      </c>
      <c r="AJ32" s="19">
        <f t="shared" si="0"/>
        <v>1.7543859649122806E-2</v>
      </c>
      <c r="BP32" s="3" t="str">
        <f>Respostas_Formatadas!C32</f>
        <v>Tecnologia em Automação Industrial</v>
      </c>
      <c r="BQ32" s="3" t="str">
        <f>Respostas_Formatadas!AD32</f>
        <v>Eletricista</v>
      </c>
      <c r="BR32" s="3" t="s">
        <v>379</v>
      </c>
      <c r="BS32" s="25">
        <f t="shared" si="108"/>
        <v>2</v>
      </c>
      <c r="CY32" s="3" t="str">
        <f t="shared" si="1"/>
        <v>Tecnologia em Automação Industrial</v>
      </c>
      <c r="CZ32" s="3" t="str">
        <f>Respostas_Formatadas!AP32</f>
        <v>Eletricista</v>
      </c>
      <c r="DA32" s="3" t="s">
        <v>379</v>
      </c>
      <c r="DB32" s="25">
        <f t="shared" si="109"/>
        <v>1</v>
      </c>
      <c r="EK32" s="3" t="s">
        <v>126</v>
      </c>
      <c r="EL32" s="3" t="str">
        <f>Respostas_Formatadas!BC32</f>
        <v>Lagarto</v>
      </c>
      <c r="EM32" s="3" t="s">
        <v>1352</v>
      </c>
      <c r="EN32" s="25">
        <f>COUNTIF(Respostas_Formatadas!$BC:$BC,Tabulacao!EM32)</f>
        <v>1</v>
      </c>
      <c r="MC32" s="3" t="s">
        <v>291</v>
      </c>
      <c r="MD32" s="3" t="s">
        <v>1295</v>
      </c>
      <c r="ME32" s="25">
        <v>1</v>
      </c>
      <c r="MF32" s="19">
        <f t="shared" si="2"/>
        <v>3.6900369003690036E-3</v>
      </c>
      <c r="MG32" s="3" t="s">
        <v>291</v>
      </c>
      <c r="MH32" s="3" t="s">
        <v>648</v>
      </c>
      <c r="MI32" s="25">
        <v>0</v>
      </c>
      <c r="MJ32" s="19">
        <f t="shared" si="3"/>
        <v>0</v>
      </c>
      <c r="MK32" s="3" t="s">
        <v>291</v>
      </c>
      <c r="ML32" s="3" t="s">
        <v>310</v>
      </c>
      <c r="MM32" s="25">
        <v>1</v>
      </c>
      <c r="MN32" s="19">
        <f t="shared" si="4"/>
        <v>3.6900369003690036E-3</v>
      </c>
      <c r="OG32" s="25"/>
    </row>
    <row r="33" spans="4:397" ht="15.75" customHeight="1" x14ac:dyDescent="0.2">
      <c r="D33" s="31" t="s">
        <v>813</v>
      </c>
      <c r="E33" s="27" t="s">
        <v>131</v>
      </c>
      <c r="F33" s="27" t="s">
        <v>132</v>
      </c>
      <c r="AH33" s="3" t="s">
        <v>504</v>
      </c>
      <c r="AI33" s="6">
        <f>IFERROR(COUNTIF(Respostas_Formatadas!$S:$S,$AH33),"-")</f>
        <v>1</v>
      </c>
      <c r="AJ33" s="19">
        <f t="shared" si="0"/>
        <v>1.7543859649122806E-2</v>
      </c>
      <c r="BP33" s="3" t="str">
        <f>Respostas_Formatadas!C33</f>
        <v>Tecnologia em Gestão de Turismo</v>
      </c>
      <c r="BQ33" s="3" t="str">
        <f>Respostas_Formatadas!AD33</f>
        <v>Recepcionista</v>
      </c>
      <c r="BR33" s="3" t="s">
        <v>382</v>
      </c>
      <c r="BS33" s="25">
        <f t="shared" si="108"/>
        <v>3</v>
      </c>
      <c r="CY33" s="3" t="str">
        <f t="shared" si="1"/>
        <v>Tecnologia em Gestão de Turismo</v>
      </c>
      <c r="CZ33" s="3">
        <f>Respostas_Formatadas!AP33</f>
        <v>0</v>
      </c>
      <c r="EK33" s="3" t="s">
        <v>125</v>
      </c>
      <c r="EM33" s="3" t="s">
        <v>687</v>
      </c>
      <c r="EN33" s="25">
        <f>COUNTIF(Respostas_Formatadas!$BC:$BC,Tabulacao!EM33)</f>
        <v>1</v>
      </c>
      <c r="MC33" s="3" t="s">
        <v>358</v>
      </c>
      <c r="MD33" s="3" t="s">
        <v>1313</v>
      </c>
      <c r="ME33" s="25">
        <v>1</v>
      </c>
      <c r="MF33" s="19">
        <f t="shared" si="2"/>
        <v>3.6900369003690036E-3</v>
      </c>
      <c r="MG33" s="3" t="s">
        <v>358</v>
      </c>
      <c r="MH33" s="3" t="s">
        <v>1287</v>
      </c>
      <c r="MI33" s="25">
        <v>0</v>
      </c>
      <c r="MJ33" s="19">
        <f t="shared" si="3"/>
        <v>0</v>
      </c>
      <c r="MK33" s="3" t="s">
        <v>358</v>
      </c>
      <c r="ML33" s="3" t="s">
        <v>1297</v>
      </c>
      <c r="MM33" s="25">
        <v>1</v>
      </c>
      <c r="MN33" s="19">
        <f t="shared" si="4"/>
        <v>3.6900369003690036E-3</v>
      </c>
      <c r="OG33" s="25"/>
    </row>
    <row r="34" spans="4:397" ht="15.75" customHeight="1" x14ac:dyDescent="0.2">
      <c r="D34" s="4" t="s">
        <v>119</v>
      </c>
      <c r="E34" s="6">
        <v>110</v>
      </c>
      <c r="F34" s="19">
        <f t="shared" ref="F34:F40" si="110">E4/E34</f>
        <v>0.43636363636363634</v>
      </c>
      <c r="AH34" s="4" t="s">
        <v>939</v>
      </c>
      <c r="AI34" s="6">
        <f>IFERROR(COUNTIF(Respostas_Formatadas!$S:$S,$AH34),"-")</f>
        <v>3</v>
      </c>
      <c r="AJ34" s="19">
        <f t="shared" si="0"/>
        <v>5.2631578947368418E-2</v>
      </c>
      <c r="BP34" s="3" t="str">
        <f>Respostas_Formatadas!C34</f>
        <v>Bacharelado em Engenharia Civil</v>
      </c>
      <c r="BQ34" s="3" t="str">
        <f>Respostas_Formatadas!AD34</f>
        <v xml:space="preserve">Professor substituto </v>
      </c>
      <c r="BR34" s="3" t="s">
        <v>388</v>
      </c>
      <c r="BS34" s="25">
        <f t="shared" si="108"/>
        <v>31</v>
      </c>
      <c r="CY34" s="3" t="str">
        <f t="shared" si="1"/>
        <v>Bacharelado em Engenharia Civil</v>
      </c>
      <c r="CZ34" s="3">
        <f>Respostas_Formatadas!AP34</f>
        <v>0</v>
      </c>
      <c r="EK34" s="3" t="s">
        <v>119</v>
      </c>
      <c r="EM34" s="3" t="s">
        <v>752</v>
      </c>
      <c r="EN34" s="25">
        <f>COUNTIF(Respostas_Formatadas!$BC:$BC,Tabulacao!EM34)</f>
        <v>1</v>
      </c>
      <c r="MC34" s="3" t="s">
        <v>1311</v>
      </c>
      <c r="MD34" s="3" t="s">
        <v>1292</v>
      </c>
      <c r="ME34" s="25">
        <v>1</v>
      </c>
      <c r="MF34" s="19">
        <f t="shared" si="2"/>
        <v>3.6900369003690036E-3</v>
      </c>
      <c r="MG34" s="3" t="s">
        <v>292</v>
      </c>
      <c r="MH34" s="3" t="s">
        <v>1298</v>
      </c>
      <c r="MI34" s="25">
        <v>0</v>
      </c>
      <c r="MJ34" s="19">
        <f t="shared" si="3"/>
        <v>0</v>
      </c>
      <c r="MK34" s="3" t="s">
        <v>292</v>
      </c>
      <c r="ML34" s="3" t="s">
        <v>1280</v>
      </c>
      <c r="MM34" s="25">
        <v>1</v>
      </c>
      <c r="MN34" s="19">
        <f t="shared" si="4"/>
        <v>3.6900369003690036E-3</v>
      </c>
      <c r="OG34" s="25"/>
    </row>
    <row r="35" spans="4:397" ht="15.75" customHeight="1" x14ac:dyDescent="0.2">
      <c r="D35" s="4" t="s">
        <v>120</v>
      </c>
      <c r="E35" s="6">
        <v>31</v>
      </c>
      <c r="F35" s="19">
        <f t="shared" si="110"/>
        <v>0.61290322580645162</v>
      </c>
      <c r="AH35" s="3" t="s">
        <v>948</v>
      </c>
      <c r="AI35" s="6">
        <f>IFERROR(COUNTIF(Respostas_Formatadas!$S:$S,$AH35),"-")</f>
        <v>1</v>
      </c>
      <c r="AJ35" s="19">
        <f t="shared" si="0"/>
        <v>1.7543859649122806E-2</v>
      </c>
      <c r="BP35" s="3" t="str">
        <f>Respostas_Formatadas!C35</f>
        <v>Licenciatura em Química</v>
      </c>
      <c r="BQ35" s="3" t="str">
        <f>Respostas_Formatadas!AD35</f>
        <v>Professor</v>
      </c>
      <c r="BR35" s="3" t="s">
        <v>388</v>
      </c>
      <c r="BS35" s="25">
        <f t="shared" si="108"/>
        <v>31</v>
      </c>
      <c r="CY35" s="3" t="str">
        <f t="shared" si="1"/>
        <v>Licenciatura em Química</v>
      </c>
      <c r="CZ35" s="3" t="str">
        <f>Respostas_Formatadas!AP35</f>
        <v>Professor</v>
      </c>
      <c r="DA35" s="3" t="s">
        <v>388</v>
      </c>
      <c r="DB35" s="25">
        <f t="shared" ref="DB35:DB36" si="111">COUNTIF($DA$3:$DA$273,DA35)</f>
        <v>26</v>
      </c>
      <c r="EK35" s="3" t="s">
        <v>121</v>
      </c>
      <c r="EL35" s="3" t="str">
        <f>Respostas_Formatadas!BC35</f>
        <v>Nossa Senhora do Socorro</v>
      </c>
      <c r="EM35" s="3" t="s">
        <v>302</v>
      </c>
      <c r="EN35" s="25">
        <f>COUNTIF(Respostas_Formatadas!$BC:$BC,Tabulacao!EM35)</f>
        <v>1</v>
      </c>
      <c r="MC35" s="3" t="s">
        <v>358</v>
      </c>
      <c r="MD35" s="3" t="s">
        <v>879</v>
      </c>
      <c r="ME35" s="25">
        <v>1</v>
      </c>
      <c r="MF35" s="19">
        <f t="shared" si="2"/>
        <v>3.6900369003690036E-3</v>
      </c>
      <c r="MG35" s="3" t="s">
        <v>358</v>
      </c>
      <c r="MH35" s="3" t="s">
        <v>1289</v>
      </c>
      <c r="MI35" s="25">
        <v>0</v>
      </c>
      <c r="MJ35" s="19">
        <f t="shared" si="3"/>
        <v>0</v>
      </c>
      <c r="MK35" s="3" t="s">
        <v>358</v>
      </c>
      <c r="ML35" s="3" t="s">
        <v>1282</v>
      </c>
      <c r="MM35" s="25">
        <v>1</v>
      </c>
      <c r="MN35" s="19">
        <f t="shared" si="4"/>
        <v>3.6900369003690036E-3</v>
      </c>
      <c r="OG35" s="25"/>
    </row>
    <row r="36" spans="4:397" ht="15.75" customHeight="1" x14ac:dyDescent="0.2">
      <c r="D36" s="4" t="s">
        <v>121</v>
      </c>
      <c r="E36" s="6">
        <v>71</v>
      </c>
      <c r="F36" s="19">
        <f t="shared" si="110"/>
        <v>0.39436619718309857</v>
      </c>
      <c r="BP36" s="3" t="str">
        <f>Respostas_Formatadas!C36</f>
        <v>Tecnologia em Gestão de Turismo</v>
      </c>
      <c r="BQ36" s="3">
        <f>Respostas_Formatadas!AD36</f>
        <v>0</v>
      </c>
      <c r="CY36" s="3" t="str">
        <f t="shared" si="1"/>
        <v>Tecnologia em Gestão de Turismo</v>
      </c>
      <c r="CZ36" s="3" t="str">
        <f>Respostas_Formatadas!AP36</f>
        <v>Assistente em Administração</v>
      </c>
      <c r="DA36" s="3" t="s">
        <v>391</v>
      </c>
      <c r="DB36" s="25">
        <f t="shared" si="111"/>
        <v>3</v>
      </c>
      <c r="EK36" s="3" t="s">
        <v>125</v>
      </c>
      <c r="EL36" s="3" t="str">
        <f>Respostas_Formatadas!BC36</f>
        <v>Nossa Senhora da Glória</v>
      </c>
      <c r="EM36" s="3" t="s">
        <v>1351</v>
      </c>
      <c r="EN36" s="25">
        <f>COUNTIF(Respostas_Formatadas!$BC:$BC,Tabulacao!EM36)</f>
        <v>1</v>
      </c>
      <c r="MC36" s="3" t="s">
        <v>358</v>
      </c>
      <c r="MD36" s="3" t="s">
        <v>670</v>
      </c>
      <c r="ME36" s="25">
        <v>1</v>
      </c>
      <c r="MF36" s="19">
        <f t="shared" si="2"/>
        <v>3.6900369003690036E-3</v>
      </c>
      <c r="MG36" s="3" t="s">
        <v>358</v>
      </c>
      <c r="MH36" s="3" t="s">
        <v>1299</v>
      </c>
      <c r="MI36" s="25">
        <v>0</v>
      </c>
      <c r="MJ36" s="19">
        <f t="shared" si="3"/>
        <v>0</v>
      </c>
      <c r="MK36" s="3" t="s">
        <v>328</v>
      </c>
      <c r="ML36" s="3" t="s">
        <v>1279</v>
      </c>
      <c r="MM36" s="25">
        <v>1</v>
      </c>
      <c r="MN36" s="19">
        <f t="shared" si="4"/>
        <v>3.6900369003690036E-3</v>
      </c>
      <c r="OG36" s="25"/>
    </row>
    <row r="37" spans="4:397" ht="15.75" customHeight="1" x14ac:dyDescent="0.2">
      <c r="D37" s="4" t="s">
        <v>122</v>
      </c>
      <c r="E37" s="6">
        <v>62</v>
      </c>
      <c r="F37" s="19">
        <f t="shared" si="110"/>
        <v>0.35483870967741937</v>
      </c>
      <c r="BP37" s="3" t="str">
        <f>Respostas_Formatadas!C37</f>
        <v>Tecnologia em Logística</v>
      </c>
      <c r="BQ37" s="3" t="str">
        <f>Respostas_Formatadas!AD37</f>
        <v>auxiliar de escritório</v>
      </c>
      <c r="BR37" s="3" t="s">
        <v>326</v>
      </c>
      <c r="BS37" s="25">
        <f>COUNTIF($BR$3:$BR$273,BR37)</f>
        <v>7</v>
      </c>
      <c r="CY37" s="3" t="str">
        <f t="shared" si="1"/>
        <v>Tecnologia em Logística</v>
      </c>
      <c r="CZ37" s="3">
        <f>Respostas_Formatadas!AP37</f>
        <v>0</v>
      </c>
      <c r="EK37" s="3" t="s">
        <v>127</v>
      </c>
      <c r="EN37" s="25"/>
      <c r="MC37" s="3" t="s">
        <v>528</v>
      </c>
      <c r="MD37" s="3" t="s">
        <v>1277</v>
      </c>
      <c r="ME37" s="25">
        <v>1</v>
      </c>
      <c r="MF37" s="19">
        <f t="shared" si="2"/>
        <v>3.6900369003690036E-3</v>
      </c>
      <c r="MG37" s="3" t="s">
        <v>322</v>
      </c>
      <c r="MH37" s="3" t="s">
        <v>1285</v>
      </c>
      <c r="MI37" s="25">
        <v>0</v>
      </c>
      <c r="MJ37" s="19">
        <f t="shared" si="3"/>
        <v>0</v>
      </c>
      <c r="MK37" s="3" t="s">
        <v>528</v>
      </c>
      <c r="ML37" s="3" t="s">
        <v>1300</v>
      </c>
      <c r="MM37" s="25">
        <v>1</v>
      </c>
      <c r="MN37" s="19">
        <f t="shared" si="4"/>
        <v>3.6900369003690036E-3</v>
      </c>
      <c r="OG37" s="25"/>
    </row>
    <row r="38" spans="4:397" ht="15.75" customHeight="1" x14ac:dyDescent="0.2">
      <c r="D38" s="4" t="s">
        <v>123</v>
      </c>
      <c r="E38" s="6">
        <v>9</v>
      </c>
      <c r="F38" s="19">
        <f t="shared" si="110"/>
        <v>0.88888888888888884</v>
      </c>
      <c r="BP38" s="3" t="str">
        <f>Respostas_Formatadas!C38</f>
        <v>Tecnologia em Saneamento Ambiental</v>
      </c>
      <c r="BQ38" s="3">
        <f>Respostas_Formatadas!AD38</f>
        <v>0</v>
      </c>
      <c r="CY38" s="3" t="str">
        <f t="shared" si="1"/>
        <v>Tecnologia em Saneamento Ambiental</v>
      </c>
      <c r="CZ38" s="3">
        <f>Respostas_Formatadas!AP38</f>
        <v>0</v>
      </c>
      <c r="EK38" s="3" t="s">
        <v>124</v>
      </c>
      <c r="EN38" s="25"/>
      <c r="MC38" s="3" t="s">
        <v>292</v>
      </c>
      <c r="MD38" s="3" t="s">
        <v>1288</v>
      </c>
      <c r="ME38" s="25">
        <v>1</v>
      </c>
      <c r="MF38" s="19">
        <f t="shared" si="2"/>
        <v>3.6900369003690036E-3</v>
      </c>
      <c r="MG38" s="3" t="s">
        <v>292</v>
      </c>
      <c r="MH38" s="3" t="s">
        <v>353</v>
      </c>
      <c r="MI38" s="25">
        <v>0</v>
      </c>
      <c r="MJ38" s="19">
        <f t="shared" si="3"/>
        <v>0</v>
      </c>
      <c r="MK38" s="3" t="s">
        <v>292</v>
      </c>
      <c r="ML38" s="3" t="s">
        <v>1301</v>
      </c>
      <c r="MM38" s="25">
        <v>1</v>
      </c>
      <c r="MN38" s="19">
        <f t="shared" si="4"/>
        <v>3.6900369003690036E-3</v>
      </c>
      <c r="OG38" s="25"/>
    </row>
    <row r="39" spans="4:397" ht="15.75" customHeight="1" x14ac:dyDescent="0.2">
      <c r="D39" s="4" t="s">
        <v>124</v>
      </c>
      <c r="E39" s="6">
        <v>96</v>
      </c>
      <c r="F39" s="19">
        <f t="shared" si="110"/>
        <v>0.46875</v>
      </c>
      <c r="AH39" s="118" t="s">
        <v>1081</v>
      </c>
      <c r="AI39" s="118"/>
      <c r="AJ39" s="118"/>
      <c r="BP39" s="3" t="str">
        <f>Respostas_Formatadas!C39</f>
        <v>Tecnologia em Agroecologia</v>
      </c>
      <c r="BQ39" s="3">
        <f>Respostas_Formatadas!AD39</f>
        <v>0</v>
      </c>
      <c r="CY39" s="3" t="str">
        <f t="shared" si="1"/>
        <v>Tecnologia em Agroecologia</v>
      </c>
      <c r="CZ39" s="3">
        <f>Respostas_Formatadas!AP39</f>
        <v>0</v>
      </c>
      <c r="EK39" s="3" t="s">
        <v>130</v>
      </c>
      <c r="EN39" s="25"/>
      <c r="MC39" s="3" t="s">
        <v>399</v>
      </c>
      <c r="MD39" s="3" t="s">
        <v>310</v>
      </c>
      <c r="ME39" s="25">
        <v>1</v>
      </c>
      <c r="MF39" s="19">
        <f t="shared" si="2"/>
        <v>3.6900369003690036E-3</v>
      </c>
      <c r="MG39" s="3" t="s">
        <v>399</v>
      </c>
      <c r="MH39" s="3" t="s">
        <v>1311</v>
      </c>
      <c r="MI39" s="25">
        <v>0</v>
      </c>
      <c r="MJ39" s="19">
        <f t="shared" si="3"/>
        <v>0</v>
      </c>
      <c r="MK39" s="3" t="s">
        <v>399</v>
      </c>
      <c r="ML39" s="3" t="s">
        <v>1302</v>
      </c>
      <c r="MM39" s="25">
        <v>1</v>
      </c>
      <c r="MN39" s="19">
        <f t="shared" si="4"/>
        <v>3.6900369003690036E-3</v>
      </c>
      <c r="OG39" s="25"/>
    </row>
    <row r="40" spans="4:397" ht="15.75" customHeight="1" x14ac:dyDescent="0.2">
      <c r="D40" s="4" t="s">
        <v>125</v>
      </c>
      <c r="E40" s="6">
        <v>135</v>
      </c>
      <c r="F40" s="19">
        <f t="shared" si="110"/>
        <v>0.25925925925925924</v>
      </c>
      <c r="AH40" s="3" t="s">
        <v>390</v>
      </c>
      <c r="AI40" s="6">
        <v>5</v>
      </c>
      <c r="AJ40" s="19">
        <v>8.771929824561403E-2</v>
      </c>
      <c r="BP40" s="3" t="str">
        <f>Respostas_Formatadas!C40</f>
        <v>Bacharelado em Engenharia Civil</v>
      </c>
      <c r="BQ40" s="3" t="str">
        <f>Respostas_Formatadas!AD40</f>
        <v xml:space="preserve">Professor </v>
      </c>
      <c r="BR40" s="3" t="s">
        <v>388</v>
      </c>
      <c r="BS40" s="25">
        <f t="shared" ref="BS40:BS46" si="112">COUNTIF($BR$3:$BR$273,BR40)</f>
        <v>31</v>
      </c>
      <c r="CY40" s="3" t="str">
        <f t="shared" si="1"/>
        <v>Bacharelado em Engenharia Civil</v>
      </c>
      <c r="CZ40" s="3" t="str">
        <f>Respostas_Formatadas!AP40</f>
        <v xml:space="preserve">Professor </v>
      </c>
      <c r="DA40" s="3" t="s">
        <v>388</v>
      </c>
      <c r="DB40" s="25">
        <f t="shared" ref="DB40:DB46" si="113">COUNTIF($DA$3:$DA$273,DA40)</f>
        <v>26</v>
      </c>
      <c r="EK40" s="3" t="s">
        <v>119</v>
      </c>
      <c r="EL40" s="3" t="str">
        <f>Respostas_Formatadas!BC40</f>
        <v>Estância</v>
      </c>
      <c r="EN40" s="25"/>
      <c r="MC40" s="3" t="s">
        <v>648</v>
      </c>
      <c r="MD40" s="3" t="s">
        <v>1297</v>
      </c>
      <c r="ME40" s="25">
        <v>1</v>
      </c>
      <c r="MF40" s="19">
        <f t="shared" si="2"/>
        <v>3.6900369003690036E-3</v>
      </c>
      <c r="MG40" s="3" t="s">
        <v>292</v>
      </c>
      <c r="MH40" s="3" t="s">
        <v>1295</v>
      </c>
      <c r="MI40" s="25">
        <v>0</v>
      </c>
      <c r="MJ40" s="19">
        <f t="shared" si="3"/>
        <v>0</v>
      </c>
      <c r="MK40" s="3" t="s">
        <v>325</v>
      </c>
      <c r="ML40" s="3" t="s">
        <v>1303</v>
      </c>
      <c r="MM40" s="25">
        <v>1</v>
      </c>
      <c r="MN40" s="19">
        <f t="shared" si="4"/>
        <v>3.6900369003690036E-3</v>
      </c>
      <c r="OG40" s="25"/>
    </row>
    <row r="41" spans="4:397" ht="15.75" customHeight="1" x14ac:dyDescent="0.2">
      <c r="D41" s="3" t="s">
        <v>126</v>
      </c>
      <c r="E41" s="6">
        <v>30</v>
      </c>
      <c r="F41" s="19">
        <f>E11/E41</f>
        <v>0.56666666666666665</v>
      </c>
      <c r="AH41" s="3" t="s">
        <v>725</v>
      </c>
      <c r="AI41" s="6">
        <v>4</v>
      </c>
      <c r="AJ41" s="19">
        <v>7.0175438596491224E-2</v>
      </c>
      <c r="BP41" s="3" t="str">
        <f>Respostas_Formatadas!C41</f>
        <v>Licenciatura em Matemática</v>
      </c>
      <c r="BQ41" s="3" t="str">
        <f>Respostas_Formatadas!AD41</f>
        <v>Professor</v>
      </c>
      <c r="BR41" s="3" t="s">
        <v>388</v>
      </c>
      <c r="BS41" s="25">
        <f t="shared" si="112"/>
        <v>31</v>
      </c>
      <c r="CY41" s="3" t="str">
        <f t="shared" si="1"/>
        <v>Licenciatura em Matemática</v>
      </c>
      <c r="CZ41" s="3" t="str">
        <f>Respostas_Formatadas!AP41</f>
        <v>Professor</v>
      </c>
      <c r="DA41" s="3" t="s">
        <v>388</v>
      </c>
      <c r="DB41" s="25">
        <f t="shared" si="113"/>
        <v>26</v>
      </c>
      <c r="EK41" s="3" t="s">
        <v>122</v>
      </c>
      <c r="EL41" s="3" t="str">
        <f>Respostas_Formatadas!BC41</f>
        <v>Aracaju</v>
      </c>
      <c r="EN41" s="25"/>
      <c r="MC41" s="3" t="s">
        <v>292</v>
      </c>
      <c r="MD41" s="3" t="s">
        <v>800</v>
      </c>
      <c r="ME41" s="25">
        <v>1</v>
      </c>
      <c r="MF41" s="19">
        <f t="shared" si="2"/>
        <v>3.6900369003690036E-3</v>
      </c>
      <c r="MG41" s="3" t="s">
        <v>292</v>
      </c>
      <c r="MH41" s="3" t="s">
        <v>1313</v>
      </c>
      <c r="MI41" s="25">
        <v>0</v>
      </c>
      <c r="MJ41" s="19">
        <f t="shared" si="3"/>
        <v>0</v>
      </c>
      <c r="MK41" s="3" t="s">
        <v>292</v>
      </c>
      <c r="ML41" s="3" t="s">
        <v>1304</v>
      </c>
      <c r="MM41" s="25">
        <v>1</v>
      </c>
      <c r="MN41" s="19">
        <f t="shared" si="4"/>
        <v>3.6900369003690036E-3</v>
      </c>
      <c r="OG41" s="25"/>
    </row>
    <row r="42" spans="4:397" ht="15.75" customHeight="1" x14ac:dyDescent="0.2">
      <c r="D42" s="3" t="s">
        <v>127</v>
      </c>
      <c r="E42" s="6">
        <v>36</v>
      </c>
      <c r="F42" s="19">
        <f t="shared" ref="F42:F45" si="114">E12/E42</f>
        <v>0.47222222222222221</v>
      </c>
      <c r="AH42" s="3" t="s">
        <v>422</v>
      </c>
      <c r="AI42" s="6">
        <v>4</v>
      </c>
      <c r="AJ42" s="19">
        <v>7.0175438596491224E-2</v>
      </c>
      <c r="BP42" s="3" t="str">
        <f>Respostas_Formatadas!C42</f>
        <v>Licenciatura em Química</v>
      </c>
      <c r="BQ42" s="3" t="str">
        <f>Respostas_Formatadas!AD42</f>
        <v>Consultor de vendas e bercarista</v>
      </c>
      <c r="BR42" s="3" t="s">
        <v>1118</v>
      </c>
      <c r="BS42" s="25">
        <f t="shared" si="112"/>
        <v>1</v>
      </c>
      <c r="CY42" s="3" t="str">
        <f t="shared" si="1"/>
        <v>Licenciatura em Química</v>
      </c>
      <c r="CZ42" s="3" t="str">
        <f>Respostas_Formatadas!AP42</f>
        <v>Monitora de transporte escolar</v>
      </c>
      <c r="DA42" s="3" t="s">
        <v>1221</v>
      </c>
      <c r="DB42" s="25">
        <f t="shared" si="113"/>
        <v>1</v>
      </c>
      <c r="EK42" s="3" t="s">
        <v>121</v>
      </c>
      <c r="EL42" s="3" t="str">
        <f>Respostas_Formatadas!BC42</f>
        <v>São Cristóvão</v>
      </c>
      <c r="EN42" s="25"/>
      <c r="MC42" s="3" t="s">
        <v>399</v>
      </c>
      <c r="MD42" s="3" t="s">
        <v>1290</v>
      </c>
      <c r="ME42" s="25">
        <v>1</v>
      </c>
      <c r="MF42" s="19">
        <f t="shared" si="2"/>
        <v>3.6900369003690036E-3</v>
      </c>
      <c r="MG42" s="3" t="s">
        <v>399</v>
      </c>
      <c r="MH42" s="3" t="s">
        <v>879</v>
      </c>
      <c r="MI42" s="25">
        <v>0</v>
      </c>
      <c r="MJ42" s="19">
        <f t="shared" si="3"/>
        <v>0</v>
      </c>
      <c r="MK42" s="3" t="s">
        <v>399</v>
      </c>
      <c r="ML42" s="3" t="s">
        <v>1305</v>
      </c>
      <c r="MM42" s="25">
        <v>1</v>
      </c>
      <c r="MN42" s="19">
        <f t="shared" si="4"/>
        <v>3.6900369003690036E-3</v>
      </c>
      <c r="OG42" s="25"/>
    </row>
    <row r="43" spans="4:397" ht="15.75" customHeight="1" x14ac:dyDescent="0.2">
      <c r="D43" s="3" t="s">
        <v>128</v>
      </c>
      <c r="E43" s="6">
        <v>41</v>
      </c>
      <c r="F43" s="19">
        <f t="shared" si="114"/>
        <v>0.31707317073170732</v>
      </c>
      <c r="AH43" s="3" t="s">
        <v>544</v>
      </c>
      <c r="AI43" s="6">
        <v>3</v>
      </c>
      <c r="AJ43" s="19">
        <v>5.2631578947368418E-2</v>
      </c>
      <c r="BP43" s="3" t="str">
        <f>Respostas_Formatadas!C43</f>
        <v>Licenciatura em Matemática</v>
      </c>
      <c r="BQ43" s="3" t="str">
        <f>Respostas_Formatadas!AD43</f>
        <v>Policial Militar</v>
      </c>
      <c r="BR43" s="3" t="s">
        <v>409</v>
      </c>
      <c r="BS43" s="25">
        <f t="shared" si="112"/>
        <v>1</v>
      </c>
      <c r="CY43" s="3" t="str">
        <f t="shared" si="1"/>
        <v>Licenciatura em Matemática</v>
      </c>
      <c r="CZ43" s="3" t="str">
        <f>Respostas_Formatadas!AP43</f>
        <v>Policial Militar</v>
      </c>
      <c r="DA43" s="3" t="s">
        <v>409</v>
      </c>
      <c r="DB43" s="25">
        <f t="shared" si="113"/>
        <v>3</v>
      </c>
      <c r="EK43" s="3" t="s">
        <v>122</v>
      </c>
      <c r="EL43" s="3" t="str">
        <f>Respostas_Formatadas!BC43</f>
        <v>Aracaju</v>
      </c>
      <c r="EN43" s="25"/>
      <c r="MC43" s="3" t="s">
        <v>358</v>
      </c>
      <c r="MD43" s="3" t="s">
        <v>1278</v>
      </c>
      <c r="ME43" s="25">
        <v>1</v>
      </c>
      <c r="MF43" s="19">
        <f t="shared" si="2"/>
        <v>3.6900369003690036E-3</v>
      </c>
      <c r="MG43" s="3" t="s">
        <v>358</v>
      </c>
      <c r="MH43" s="3" t="s">
        <v>670</v>
      </c>
      <c r="MI43" s="25">
        <v>0</v>
      </c>
      <c r="MJ43" s="19">
        <f t="shared" si="3"/>
        <v>0</v>
      </c>
      <c r="MK43" s="3" t="s">
        <v>358</v>
      </c>
      <c r="ML43" s="3" t="s">
        <v>687</v>
      </c>
      <c r="MM43" s="25">
        <v>1</v>
      </c>
      <c r="MN43" s="19">
        <f t="shared" si="4"/>
        <v>3.6900369003690036E-3</v>
      </c>
      <c r="OG43" s="25"/>
    </row>
    <row r="44" spans="4:397" ht="15.75" customHeight="1" x14ac:dyDescent="0.2">
      <c r="D44" s="3" t="s">
        <v>129</v>
      </c>
      <c r="E44" s="6">
        <v>17</v>
      </c>
      <c r="F44" s="19">
        <f t="shared" si="114"/>
        <v>0.17647058823529413</v>
      </c>
      <c r="AH44" s="3" t="s">
        <v>697</v>
      </c>
      <c r="AI44" s="6">
        <v>3</v>
      </c>
      <c r="AJ44" s="19">
        <v>5.2631578947368418E-2</v>
      </c>
      <c r="BP44" s="3" t="str">
        <f>Respostas_Formatadas!C44</f>
        <v>Bacharelado em Sistemas de Informação</v>
      </c>
      <c r="BQ44" s="3" t="str">
        <f>Respostas_Formatadas!AD44</f>
        <v xml:space="preserve">Desenvolvedor Full stack </v>
      </c>
      <c r="BR44" s="3" t="s">
        <v>1112</v>
      </c>
      <c r="BS44" s="25">
        <f t="shared" si="112"/>
        <v>1</v>
      </c>
      <c r="CY44" s="3" t="str">
        <f t="shared" si="1"/>
        <v>Bacharelado em Sistemas de Informação</v>
      </c>
      <c r="CZ44" s="3" t="str">
        <f>Respostas_Formatadas!AP44</f>
        <v>Desenvolvedor Full stack</v>
      </c>
      <c r="DA44" s="3" t="s">
        <v>1112</v>
      </c>
      <c r="DB44" s="25">
        <f t="shared" si="113"/>
        <v>1</v>
      </c>
      <c r="EK44" s="3" t="s">
        <v>120</v>
      </c>
      <c r="EN44" s="25"/>
      <c r="MC44" s="3" t="s">
        <v>291</v>
      </c>
      <c r="MD44" s="3" t="s">
        <v>843</v>
      </c>
      <c r="ME44" s="25">
        <v>1</v>
      </c>
      <c r="MF44" s="19">
        <f t="shared" si="2"/>
        <v>3.6900369003690036E-3</v>
      </c>
      <c r="MG44" s="3" t="s">
        <v>291</v>
      </c>
      <c r="MH44" s="3" t="s">
        <v>1277</v>
      </c>
      <c r="MI44" s="25">
        <v>0</v>
      </c>
      <c r="MJ44" s="19">
        <f t="shared" si="3"/>
        <v>0</v>
      </c>
      <c r="MK44" s="3" t="s">
        <v>1301</v>
      </c>
      <c r="ML44" s="3" t="s">
        <v>1306</v>
      </c>
      <c r="MM44" s="25">
        <v>1</v>
      </c>
      <c r="MN44" s="19">
        <f t="shared" si="4"/>
        <v>3.6900369003690036E-3</v>
      </c>
      <c r="OG44" s="25"/>
    </row>
    <row r="45" spans="4:397" ht="15.75" customHeight="1" x14ac:dyDescent="0.2">
      <c r="D45" s="3" t="s">
        <v>130</v>
      </c>
      <c r="E45" s="6">
        <v>34</v>
      </c>
      <c r="F45" s="19">
        <f t="shared" si="114"/>
        <v>0.47058823529411764</v>
      </c>
      <c r="AH45" s="3" t="s">
        <v>938</v>
      </c>
      <c r="AI45" s="6">
        <v>3</v>
      </c>
      <c r="AJ45" s="19">
        <v>5.2631578947368418E-2</v>
      </c>
      <c r="BP45" s="3" t="str">
        <f>Respostas_Formatadas!C45</f>
        <v>Bacharelado em Engenharia Civil</v>
      </c>
      <c r="BQ45" s="3" t="str">
        <f>Respostas_Formatadas!AD45</f>
        <v>Assistente de Gestão Operacional</v>
      </c>
      <c r="BR45" s="3" t="s">
        <v>414</v>
      </c>
      <c r="BS45" s="25">
        <f t="shared" si="112"/>
        <v>1</v>
      </c>
      <c r="CY45" s="3" t="str">
        <f t="shared" si="1"/>
        <v>Bacharelado em Engenharia Civil</v>
      </c>
      <c r="CZ45" s="3" t="str">
        <f>Respostas_Formatadas!AP45</f>
        <v>Assitente de gestão Operacional</v>
      </c>
      <c r="DA45" s="3" t="s">
        <v>414</v>
      </c>
      <c r="DB45" s="25">
        <f t="shared" si="113"/>
        <v>1</v>
      </c>
      <c r="EK45" s="3" t="s">
        <v>119</v>
      </c>
      <c r="EL45" s="3" t="str">
        <f>Respostas_Formatadas!BC45</f>
        <v>Aracaju</v>
      </c>
      <c r="EN45" s="25"/>
      <c r="MC45" s="3" t="s">
        <v>292</v>
      </c>
      <c r="MD45" s="3" t="s">
        <v>1291</v>
      </c>
      <c r="ME45" s="25">
        <v>1</v>
      </c>
      <c r="MF45" s="19">
        <f t="shared" si="2"/>
        <v>3.6900369003690036E-3</v>
      </c>
      <c r="MG45" s="3" t="s">
        <v>292</v>
      </c>
      <c r="MH45" s="3" t="s">
        <v>1288</v>
      </c>
      <c r="MI45" s="25">
        <v>0</v>
      </c>
      <c r="MJ45" s="19">
        <f t="shared" si="3"/>
        <v>0</v>
      </c>
      <c r="MK45" s="3" t="s">
        <v>292</v>
      </c>
      <c r="ML45" s="3" t="s">
        <v>1307</v>
      </c>
      <c r="MM45" s="25">
        <v>1</v>
      </c>
      <c r="MN45" s="19">
        <f t="shared" si="4"/>
        <v>3.6900369003690036E-3</v>
      </c>
      <c r="OG45" s="25"/>
    </row>
    <row r="46" spans="4:397" ht="15.75" customHeight="1" x14ac:dyDescent="0.2">
      <c r="D46" s="28" t="s">
        <v>621</v>
      </c>
      <c r="E46" s="30">
        <f>SUM(E34:E45)</f>
        <v>672</v>
      </c>
      <c r="F46" s="32">
        <f>E16/E46</f>
        <v>0.40327380952380953</v>
      </c>
      <c r="AH46" s="3" t="s">
        <v>691</v>
      </c>
      <c r="AI46" s="6">
        <v>3</v>
      </c>
      <c r="AJ46" s="19">
        <v>5.2631578947368418E-2</v>
      </c>
      <c r="BP46" s="3" t="str">
        <f>Respostas_Formatadas!C46</f>
        <v>Tecnologia em Laticínios</v>
      </c>
      <c r="BQ46" s="3" t="str">
        <f>Respostas_Formatadas!AD46</f>
        <v>Plataformista de recepção de leite</v>
      </c>
      <c r="BR46" s="3" t="s">
        <v>810</v>
      </c>
      <c r="BS46" s="25">
        <f t="shared" si="112"/>
        <v>2</v>
      </c>
      <c r="CY46" s="3" t="str">
        <f t="shared" si="1"/>
        <v>Tecnologia em Laticínios</v>
      </c>
      <c r="CZ46" s="3" t="str">
        <f>Respostas_Formatadas!AP46</f>
        <v>Encarregado de Produção</v>
      </c>
      <c r="DA46" s="3" t="s">
        <v>418</v>
      </c>
      <c r="DB46" s="25">
        <f t="shared" si="113"/>
        <v>2</v>
      </c>
      <c r="EK46" s="3" t="s">
        <v>128</v>
      </c>
      <c r="EL46" s="3" t="str">
        <f>Respostas_Formatadas!BC46</f>
        <v>Nossa Senhora da Glória</v>
      </c>
      <c r="EN46" s="25"/>
      <c r="MC46" s="3" t="s">
        <v>353</v>
      </c>
      <c r="MD46" s="3" t="s">
        <v>1316</v>
      </c>
      <c r="ME46" s="25">
        <v>1</v>
      </c>
      <c r="MF46" s="19">
        <f t="shared" si="2"/>
        <v>3.6900369003690036E-3</v>
      </c>
      <c r="MG46" s="3" t="s">
        <v>328</v>
      </c>
      <c r="MH46" s="3" t="s">
        <v>310</v>
      </c>
      <c r="MI46" s="25">
        <v>0</v>
      </c>
      <c r="MJ46" s="19">
        <f t="shared" si="3"/>
        <v>0</v>
      </c>
      <c r="MK46" s="3" t="s">
        <v>328</v>
      </c>
      <c r="ML46" s="3" t="s">
        <v>1308</v>
      </c>
      <c r="MM46" s="25">
        <v>1</v>
      </c>
      <c r="MN46" s="19">
        <f t="shared" si="4"/>
        <v>3.6900369003690036E-3</v>
      </c>
      <c r="OG46" s="25"/>
    </row>
    <row r="47" spans="4:397" ht="15.75" customHeight="1" x14ac:dyDescent="0.2">
      <c r="AH47" s="3" t="s">
        <v>939</v>
      </c>
      <c r="AI47" s="6">
        <v>3</v>
      </c>
      <c r="AJ47" s="19">
        <v>5.2631578947368418E-2</v>
      </c>
      <c r="BP47" s="3" t="str">
        <f>Respostas_Formatadas!C47</f>
        <v>Tecnologia em Laticínios</v>
      </c>
      <c r="BQ47" s="3">
        <f>Respostas_Formatadas!AD47</f>
        <v>0</v>
      </c>
      <c r="CY47" s="3" t="str">
        <f t="shared" si="1"/>
        <v>Tecnologia em Laticínios</v>
      </c>
      <c r="CZ47" s="3">
        <f>Respostas_Formatadas!AP47</f>
        <v>0</v>
      </c>
      <c r="EK47" s="3" t="s">
        <v>128</v>
      </c>
      <c r="EN47" s="25"/>
      <c r="MC47" s="3" t="s">
        <v>423</v>
      </c>
      <c r="MD47" s="3" t="s">
        <v>543</v>
      </c>
      <c r="ME47" s="25">
        <v>1</v>
      </c>
      <c r="MF47" s="19">
        <f t="shared" si="2"/>
        <v>3.6900369003690036E-3</v>
      </c>
      <c r="MG47" s="3" t="s">
        <v>423</v>
      </c>
      <c r="MH47" s="3" t="s">
        <v>1297</v>
      </c>
      <c r="MI47" s="25">
        <v>0</v>
      </c>
      <c r="MJ47" s="19">
        <f t="shared" si="3"/>
        <v>0</v>
      </c>
      <c r="MK47" s="3" t="s">
        <v>423</v>
      </c>
      <c r="ML47" s="3" t="s">
        <v>1309</v>
      </c>
      <c r="MM47" s="25">
        <v>1</v>
      </c>
      <c r="MN47" s="19">
        <f t="shared" si="4"/>
        <v>3.6900369003690036E-3</v>
      </c>
      <c r="OG47" s="25"/>
    </row>
    <row r="48" spans="4:397" ht="15.75" customHeight="1" x14ac:dyDescent="0.2">
      <c r="AH48" s="3" t="s">
        <v>311</v>
      </c>
      <c r="AI48" s="6">
        <v>2</v>
      </c>
      <c r="AJ48" s="19">
        <v>3.5087719298245612E-2</v>
      </c>
      <c r="BP48" s="3" t="str">
        <f>Respostas_Formatadas!C48</f>
        <v>Tecnologia em Laticínios</v>
      </c>
      <c r="BQ48" s="3">
        <f>Respostas_Formatadas!AD48</f>
        <v>0</v>
      </c>
      <c r="CY48" s="3" t="str">
        <f t="shared" si="1"/>
        <v>Tecnologia em Laticínios</v>
      </c>
      <c r="CZ48" s="3">
        <f>Respostas_Formatadas!AP48</f>
        <v>0</v>
      </c>
      <c r="EK48" s="3" t="s">
        <v>128</v>
      </c>
      <c r="EN48" s="25"/>
      <c r="MC48" s="3" t="s">
        <v>328</v>
      </c>
      <c r="MD48" s="3" t="s">
        <v>848</v>
      </c>
      <c r="ME48" s="25">
        <v>1</v>
      </c>
      <c r="MF48" s="19">
        <f t="shared" si="2"/>
        <v>3.6900369003690036E-3</v>
      </c>
      <c r="MG48" s="3" t="s">
        <v>328</v>
      </c>
      <c r="MH48" s="3" t="s">
        <v>1290</v>
      </c>
      <c r="MI48" s="25">
        <v>0</v>
      </c>
      <c r="MJ48" s="19">
        <f t="shared" si="3"/>
        <v>0</v>
      </c>
      <c r="MK48" s="3" t="s">
        <v>328</v>
      </c>
      <c r="ML48" s="3" t="s">
        <v>1320</v>
      </c>
      <c r="MM48" s="25">
        <v>1</v>
      </c>
      <c r="MN48" s="19">
        <f t="shared" si="4"/>
        <v>3.6900369003690036E-3</v>
      </c>
      <c r="OG48" s="25"/>
    </row>
    <row r="49" spans="4:397" ht="15.75" customHeight="1" x14ac:dyDescent="0.2">
      <c r="AH49" s="3" t="s">
        <v>579</v>
      </c>
      <c r="AI49" s="6">
        <v>2</v>
      </c>
      <c r="AJ49" s="19">
        <v>3.5087719298245612E-2</v>
      </c>
      <c r="BP49" s="3" t="str">
        <f>Respostas_Formatadas!C49</f>
        <v>Tecnologia em Agroecologia</v>
      </c>
      <c r="BQ49" s="3">
        <f>Respostas_Formatadas!AD49</f>
        <v>0</v>
      </c>
      <c r="CY49" s="3" t="str">
        <f t="shared" si="1"/>
        <v>Tecnologia em Agroecologia</v>
      </c>
      <c r="CZ49" s="3">
        <f>Respostas_Formatadas!AP49</f>
        <v>0</v>
      </c>
      <c r="EK49" s="3" t="s">
        <v>130</v>
      </c>
      <c r="EN49" s="25"/>
      <c r="MC49" s="3" t="s">
        <v>291</v>
      </c>
      <c r="MD49" s="3" t="s">
        <v>1296</v>
      </c>
      <c r="ME49" s="25">
        <v>1</v>
      </c>
      <c r="MF49" s="19">
        <f t="shared" si="2"/>
        <v>3.6900369003690036E-3</v>
      </c>
      <c r="MG49" s="3" t="s">
        <v>291</v>
      </c>
      <c r="MH49" s="3" t="s">
        <v>1278</v>
      </c>
      <c r="MI49" s="25">
        <v>0</v>
      </c>
      <c r="MJ49" s="19">
        <f t="shared" si="3"/>
        <v>0</v>
      </c>
      <c r="MK49" s="3" t="s">
        <v>291</v>
      </c>
      <c r="ML49" s="3" t="s">
        <v>862</v>
      </c>
      <c r="MM49" s="25">
        <v>1</v>
      </c>
      <c r="MN49" s="19">
        <f t="shared" si="4"/>
        <v>3.6900369003690036E-3</v>
      </c>
      <c r="OG49" s="25"/>
    </row>
    <row r="50" spans="4:397" ht="15.75" customHeight="1" x14ac:dyDescent="0.2">
      <c r="AH50" s="3" t="s">
        <v>941</v>
      </c>
      <c r="AI50" s="6">
        <v>2</v>
      </c>
      <c r="AJ50" s="19">
        <v>3.5087719298245612E-2</v>
      </c>
      <c r="BP50" s="3" t="str">
        <f>Respostas_Formatadas!C50</f>
        <v>Tecnologia em Saneamento Ambiental</v>
      </c>
      <c r="BQ50" s="3">
        <f>Respostas_Formatadas!AD50</f>
        <v>0</v>
      </c>
      <c r="CY50" s="3" t="str">
        <f t="shared" si="1"/>
        <v>Tecnologia em Saneamento Ambiental</v>
      </c>
      <c r="CZ50" s="3">
        <f>Respostas_Formatadas!AP50</f>
        <v>0</v>
      </c>
      <c r="EK50" s="3" t="s">
        <v>124</v>
      </c>
      <c r="EN50" s="25"/>
      <c r="MC50" s="3" t="s">
        <v>292</v>
      </c>
      <c r="MD50" s="3" t="s">
        <v>1286</v>
      </c>
      <c r="ME50" s="25">
        <v>1</v>
      </c>
      <c r="MF50" s="19">
        <f t="shared" si="2"/>
        <v>3.6900369003690036E-3</v>
      </c>
      <c r="MG50" s="3" t="s">
        <v>292</v>
      </c>
      <c r="MH50" s="3" t="s">
        <v>1291</v>
      </c>
      <c r="MI50" s="25">
        <v>0</v>
      </c>
      <c r="MJ50" s="19">
        <f t="shared" si="3"/>
        <v>0</v>
      </c>
      <c r="MK50" s="3" t="s">
        <v>292</v>
      </c>
      <c r="ML50" s="3" t="s">
        <v>796</v>
      </c>
      <c r="MM50" s="25">
        <v>0</v>
      </c>
      <c r="MN50" s="19">
        <f t="shared" si="4"/>
        <v>0</v>
      </c>
      <c r="OG50" s="25"/>
    </row>
    <row r="51" spans="4:397" ht="15.75" customHeight="1" x14ac:dyDescent="0.2">
      <c r="AH51" s="3" t="s">
        <v>937</v>
      </c>
      <c r="AI51" s="6">
        <v>2</v>
      </c>
      <c r="AJ51" s="19">
        <v>3.5087719298245612E-2</v>
      </c>
      <c r="BP51" s="3" t="str">
        <f>Respostas_Formatadas!C51</f>
        <v>Bacharelado em Engenharia Civil</v>
      </c>
      <c r="BQ51" s="3" t="str">
        <f>Respostas_Formatadas!AD51</f>
        <v>Professor</v>
      </c>
      <c r="BR51" s="3" t="s">
        <v>388</v>
      </c>
      <c r="BS51" s="25">
        <f t="shared" ref="BS51:BS56" si="115">COUNTIF($BR$3:$BR$273,BR51)</f>
        <v>31</v>
      </c>
      <c r="CY51" s="3" t="str">
        <f t="shared" si="1"/>
        <v>Bacharelado em Engenharia Civil</v>
      </c>
      <c r="CZ51" s="3" t="str">
        <f>Respostas_Formatadas!AP51</f>
        <v>Engenheiro Civil</v>
      </c>
      <c r="DA51" s="3" t="s">
        <v>424</v>
      </c>
      <c r="DB51" s="25">
        <f t="shared" ref="DB51:DB56" si="116">COUNTIF($DA$3:$DA$273,DA51)</f>
        <v>14</v>
      </c>
      <c r="EK51" s="3" t="s">
        <v>119</v>
      </c>
      <c r="EL51" s="3" t="str">
        <f>Respostas_Formatadas!BC51</f>
        <v>Aracaju</v>
      </c>
      <c r="EN51" s="25"/>
      <c r="MC51" s="3" t="s">
        <v>292</v>
      </c>
      <c r="MD51" s="3" t="s">
        <v>1314</v>
      </c>
      <c r="ME51" s="25">
        <v>1</v>
      </c>
      <c r="MF51" s="19">
        <f t="shared" si="2"/>
        <v>3.6900369003690036E-3</v>
      </c>
      <c r="MG51" s="3" t="s">
        <v>292</v>
      </c>
      <c r="MH51" s="3" t="s">
        <v>1316</v>
      </c>
      <c r="MI51" s="25">
        <v>0</v>
      </c>
      <c r="MJ51" s="19">
        <f t="shared" si="3"/>
        <v>0</v>
      </c>
      <c r="MK51" s="3" t="s">
        <v>292</v>
      </c>
      <c r="ML51" s="3" t="s">
        <v>800</v>
      </c>
      <c r="MM51" s="25">
        <v>0</v>
      </c>
      <c r="MN51" s="19">
        <f t="shared" si="4"/>
        <v>0</v>
      </c>
      <c r="OG51" s="25"/>
    </row>
    <row r="52" spans="4:397" ht="15.75" customHeight="1" x14ac:dyDescent="0.2">
      <c r="D52" s="25">
        <v>2005</v>
      </c>
      <c r="E52" s="25">
        <v>1</v>
      </c>
      <c r="AH52" s="3" t="s">
        <v>497</v>
      </c>
      <c r="AI52" s="6">
        <v>2</v>
      </c>
      <c r="AJ52" s="19">
        <v>3.5087719298245612E-2</v>
      </c>
      <c r="BP52" s="3" t="str">
        <f>Respostas_Formatadas!C52</f>
        <v>Tecnologia em Gestão de Turismo</v>
      </c>
      <c r="BQ52" s="3" t="str">
        <f>Respostas_Formatadas!AD52</f>
        <v xml:space="preserve">Professor dos Curso profissionalizantes em turismo </v>
      </c>
      <c r="BR52" s="3" t="s">
        <v>388</v>
      </c>
      <c r="BS52" s="25">
        <f t="shared" si="115"/>
        <v>31</v>
      </c>
      <c r="CY52" s="3" t="str">
        <f t="shared" si="1"/>
        <v>Tecnologia em Gestão de Turismo</v>
      </c>
      <c r="CZ52" s="3" t="str">
        <f>Respostas_Formatadas!AP52</f>
        <v>Professor dos Cursos de Turismo do Senac e Ifs, guia de turismo e Proprietário de Agencia de Viagens</v>
      </c>
      <c r="DA52" s="3" t="s">
        <v>388</v>
      </c>
      <c r="DB52" s="25">
        <f t="shared" si="116"/>
        <v>26</v>
      </c>
      <c r="EK52" s="3" t="s">
        <v>125</v>
      </c>
      <c r="EN52" s="25"/>
      <c r="MC52" s="3" t="s">
        <v>292</v>
      </c>
      <c r="MD52" s="3" t="s">
        <v>1312</v>
      </c>
      <c r="ME52" s="25">
        <v>1</v>
      </c>
      <c r="MF52" s="19">
        <f t="shared" si="2"/>
        <v>3.6900369003690036E-3</v>
      </c>
      <c r="MG52" s="3" t="s">
        <v>292</v>
      </c>
      <c r="MH52" s="3" t="s">
        <v>1296</v>
      </c>
      <c r="MI52" s="25">
        <v>0</v>
      </c>
      <c r="MJ52" s="19">
        <f t="shared" si="3"/>
        <v>0</v>
      </c>
      <c r="MK52" s="3" t="s">
        <v>292</v>
      </c>
      <c r="ML52" s="3" t="s">
        <v>543</v>
      </c>
      <c r="MM52" s="25">
        <v>0</v>
      </c>
      <c r="MN52" s="19">
        <f t="shared" si="4"/>
        <v>0</v>
      </c>
      <c r="OG52" s="25"/>
    </row>
    <row r="53" spans="4:397" ht="15.75" customHeight="1" x14ac:dyDescent="0.2">
      <c r="D53" s="25">
        <v>2006</v>
      </c>
      <c r="E53" s="25">
        <v>2</v>
      </c>
      <c r="AH53" s="3" t="s">
        <v>641</v>
      </c>
      <c r="AI53" s="6">
        <v>1</v>
      </c>
      <c r="AJ53" s="19">
        <v>1.7543859649122806E-2</v>
      </c>
      <c r="BP53" s="3" t="str">
        <f>Respostas_Formatadas!C53</f>
        <v>Licenciatura em Matemática</v>
      </c>
      <c r="BQ53" s="3" t="str">
        <f>Respostas_Formatadas!AD53</f>
        <v xml:space="preserve">Professora </v>
      </c>
      <c r="BR53" s="3" t="s">
        <v>388</v>
      </c>
      <c r="BS53" s="25">
        <f t="shared" si="115"/>
        <v>31</v>
      </c>
      <c r="CY53" s="3" t="str">
        <f t="shared" si="1"/>
        <v>Licenciatura em Matemática</v>
      </c>
      <c r="CZ53" s="3" t="str">
        <f>Respostas_Formatadas!AP53</f>
        <v xml:space="preserve">Professora </v>
      </c>
      <c r="DA53" s="3" t="s">
        <v>388</v>
      </c>
      <c r="DB53" s="25">
        <f t="shared" si="116"/>
        <v>26</v>
      </c>
      <c r="EK53" s="3" t="s">
        <v>122</v>
      </c>
      <c r="EL53" s="3" t="str">
        <f>Respostas_Formatadas!BC53</f>
        <v>Nossa Senhora do Socorro</v>
      </c>
      <c r="EN53" s="25"/>
      <c r="MC53" s="3" t="s">
        <v>1312</v>
      </c>
      <c r="MD53" s="3" t="s">
        <v>1294</v>
      </c>
      <c r="ME53" s="25">
        <v>1</v>
      </c>
      <c r="MF53" s="19">
        <f t="shared" si="2"/>
        <v>3.6900369003690036E-3</v>
      </c>
      <c r="MG53" s="3" t="s">
        <v>292</v>
      </c>
      <c r="MH53" s="3" t="s">
        <v>1286</v>
      </c>
      <c r="MI53" s="25">
        <v>0</v>
      </c>
      <c r="MJ53" s="19">
        <f t="shared" si="3"/>
        <v>0</v>
      </c>
      <c r="MK53" s="3" t="s">
        <v>358</v>
      </c>
      <c r="ML53" s="3" t="s">
        <v>848</v>
      </c>
      <c r="MM53" s="25">
        <v>0</v>
      </c>
      <c r="MN53" s="19">
        <f t="shared" si="4"/>
        <v>0</v>
      </c>
      <c r="OG53" s="25"/>
    </row>
    <row r="54" spans="4:397" ht="15.75" customHeight="1" x14ac:dyDescent="0.2">
      <c r="D54" s="25">
        <v>2007</v>
      </c>
      <c r="E54" s="25">
        <v>1</v>
      </c>
      <c r="AH54" s="3" t="s">
        <v>940</v>
      </c>
      <c r="AI54" s="6">
        <v>1</v>
      </c>
      <c r="AJ54" s="19">
        <v>1.7543859649122806E-2</v>
      </c>
      <c r="BP54" s="3" t="str">
        <f>Respostas_Formatadas!C54</f>
        <v>Bacharelado em Sistemas de Informação</v>
      </c>
      <c r="BQ54" s="3" t="str">
        <f>Respostas_Formatadas!AD54</f>
        <v>Administrador de datacenter</v>
      </c>
      <c r="BR54" s="3" t="s">
        <v>1119</v>
      </c>
      <c r="BS54" s="25">
        <f t="shared" si="115"/>
        <v>1</v>
      </c>
      <c r="CY54" s="3" t="str">
        <f t="shared" si="1"/>
        <v>Bacharelado em Sistemas de Informação</v>
      </c>
      <c r="CZ54" s="3" t="str">
        <f>Respostas_Formatadas!AP54</f>
        <v>Administrador de data center</v>
      </c>
      <c r="DA54" s="3" t="s">
        <v>1119</v>
      </c>
      <c r="DB54" s="25">
        <f t="shared" si="116"/>
        <v>1</v>
      </c>
      <c r="EK54" s="3" t="s">
        <v>120</v>
      </c>
      <c r="EL54" s="3" t="str">
        <f>Respostas_Formatadas!BC54</f>
        <v>Aracaju</v>
      </c>
      <c r="EN54" s="25"/>
      <c r="MC54" s="3" t="s">
        <v>796</v>
      </c>
      <c r="MD54" s="3" t="s">
        <v>354</v>
      </c>
      <c r="ME54" s="25">
        <v>1</v>
      </c>
      <c r="MF54" s="19">
        <f t="shared" si="2"/>
        <v>3.6900369003690036E-3</v>
      </c>
      <c r="MG54" s="3" t="s">
        <v>796</v>
      </c>
      <c r="MH54" s="3" t="s">
        <v>1314</v>
      </c>
      <c r="MI54" s="25">
        <v>0</v>
      </c>
      <c r="MJ54" s="19">
        <f t="shared" si="3"/>
        <v>0</v>
      </c>
      <c r="MK54" s="3" t="s">
        <v>292</v>
      </c>
      <c r="ML54" s="3" t="s">
        <v>510</v>
      </c>
      <c r="MM54" s="25">
        <v>0</v>
      </c>
      <c r="MN54" s="19">
        <f t="shared" si="4"/>
        <v>0</v>
      </c>
      <c r="OG54" s="25"/>
    </row>
    <row r="55" spans="4:397" ht="15.75" customHeight="1" x14ac:dyDescent="0.2">
      <c r="D55" s="25">
        <v>2008</v>
      </c>
      <c r="E55" s="25">
        <v>2</v>
      </c>
      <c r="AH55" s="3" t="s">
        <v>471</v>
      </c>
      <c r="AI55" s="6">
        <v>1</v>
      </c>
      <c r="AJ55" s="19">
        <v>1.7543859649122806E-2</v>
      </c>
      <c r="BP55" s="3" t="str">
        <f>Respostas_Formatadas!C55</f>
        <v>Licenciatura em Química</v>
      </c>
      <c r="BQ55" s="3" t="str">
        <f>Respostas_Formatadas!AD55</f>
        <v>Professor</v>
      </c>
      <c r="BR55" s="3" t="s">
        <v>388</v>
      </c>
      <c r="BS55" s="25">
        <f t="shared" si="115"/>
        <v>31</v>
      </c>
      <c r="CY55" s="3" t="str">
        <f t="shared" si="1"/>
        <v>Licenciatura em Química</v>
      </c>
      <c r="CZ55" s="3" t="str">
        <f>Respostas_Formatadas!AP55</f>
        <v>Professor</v>
      </c>
      <c r="DA55" s="3" t="s">
        <v>388</v>
      </c>
      <c r="DB55" s="25">
        <f t="shared" si="116"/>
        <v>26</v>
      </c>
      <c r="EK55" s="3" t="s">
        <v>121</v>
      </c>
      <c r="EL55" s="3" t="str">
        <f>Respostas_Formatadas!BC55</f>
        <v>Nossa Senhora do Socorro</v>
      </c>
      <c r="EN55" s="25"/>
      <c r="MC55" s="3" t="s">
        <v>358</v>
      </c>
      <c r="MD55" s="3" t="s">
        <v>754</v>
      </c>
      <c r="ME55" s="25">
        <v>1</v>
      </c>
      <c r="MF55" s="19">
        <f t="shared" si="2"/>
        <v>3.6900369003690036E-3</v>
      </c>
      <c r="MG55" s="3" t="s">
        <v>358</v>
      </c>
      <c r="MH55" s="3" t="s">
        <v>1312</v>
      </c>
      <c r="MI55" s="25">
        <v>0</v>
      </c>
      <c r="MJ55" s="19">
        <f t="shared" si="3"/>
        <v>0</v>
      </c>
      <c r="MK55" s="3" t="s">
        <v>358</v>
      </c>
      <c r="ML55" s="3" t="s">
        <v>828</v>
      </c>
      <c r="MM55" s="25">
        <v>0</v>
      </c>
      <c r="MN55" s="19">
        <f t="shared" si="4"/>
        <v>0</v>
      </c>
      <c r="OG55" s="25"/>
    </row>
    <row r="56" spans="4:397" ht="15.75" customHeight="1" x14ac:dyDescent="0.2">
      <c r="D56" s="25">
        <v>2009</v>
      </c>
      <c r="E56" s="25">
        <v>2</v>
      </c>
      <c r="AH56" s="3" t="s">
        <v>943</v>
      </c>
      <c r="AI56" s="6">
        <v>1</v>
      </c>
      <c r="AJ56" s="19">
        <v>1.7543859649122806E-2</v>
      </c>
      <c r="BP56" s="3" t="str">
        <f>Respostas_Formatadas!C56</f>
        <v>Bacharelado em Sistemas de Informação</v>
      </c>
      <c r="BQ56" s="3" t="str">
        <f>Respostas_Formatadas!AD56</f>
        <v>Analista de Sistemas</v>
      </c>
      <c r="BR56" s="3" t="s">
        <v>298</v>
      </c>
      <c r="BS56" s="25">
        <f t="shared" si="115"/>
        <v>5</v>
      </c>
      <c r="CY56" s="3" t="str">
        <f t="shared" si="1"/>
        <v>Bacharelado em Sistemas de Informação</v>
      </c>
      <c r="CZ56" s="3" t="str">
        <f>Respostas_Formatadas!AP56</f>
        <v>Analista de Sistemas</v>
      </c>
      <c r="DA56" s="3" t="s">
        <v>298</v>
      </c>
      <c r="DB56" s="25">
        <f t="shared" si="116"/>
        <v>5</v>
      </c>
      <c r="EK56" s="3" t="s">
        <v>120</v>
      </c>
      <c r="EL56" s="3" t="str">
        <f>Respostas_Formatadas!BC56</f>
        <v>Estância</v>
      </c>
      <c r="EN56" s="25"/>
      <c r="MC56" s="3" t="s">
        <v>325</v>
      </c>
      <c r="MD56" s="3" t="s">
        <v>1280</v>
      </c>
      <c r="ME56" s="25">
        <v>1</v>
      </c>
      <c r="MF56" s="19">
        <f t="shared" si="2"/>
        <v>3.6900369003690036E-3</v>
      </c>
      <c r="MG56" s="3" t="s">
        <v>291</v>
      </c>
      <c r="MH56" s="3" t="s">
        <v>1294</v>
      </c>
      <c r="MI56" s="25">
        <v>0</v>
      </c>
      <c r="MJ56" s="19">
        <f t="shared" si="3"/>
        <v>0</v>
      </c>
      <c r="MK56" s="3" t="s">
        <v>325</v>
      </c>
      <c r="ML56" s="3" t="s">
        <v>648</v>
      </c>
      <c r="MM56" s="25">
        <v>0</v>
      </c>
      <c r="MN56" s="19">
        <f t="shared" si="4"/>
        <v>0</v>
      </c>
      <c r="OG56" s="25"/>
    </row>
    <row r="57" spans="4:397" ht="15.75" customHeight="1" x14ac:dyDescent="0.2">
      <c r="D57" s="25">
        <v>2010</v>
      </c>
      <c r="E57" s="25">
        <v>19</v>
      </c>
      <c r="AH57" s="3" t="s">
        <v>604</v>
      </c>
      <c r="AI57" s="6">
        <v>1</v>
      </c>
      <c r="AJ57" s="19">
        <v>1.7543859649122806E-2</v>
      </c>
      <c r="BP57" s="3" t="str">
        <f>Respostas_Formatadas!C57</f>
        <v>Bacharelado em Engenharia Civil</v>
      </c>
      <c r="BQ57" s="3">
        <f>Respostas_Formatadas!AD57</f>
        <v>0</v>
      </c>
      <c r="CY57" s="3" t="str">
        <f t="shared" si="1"/>
        <v>Bacharelado em Engenharia Civil</v>
      </c>
      <c r="CZ57" s="3">
        <f>Respostas_Formatadas!AP57</f>
        <v>0</v>
      </c>
      <c r="EK57" s="3" t="s">
        <v>119</v>
      </c>
      <c r="EN57" s="25"/>
      <c r="MC57" s="3" t="s">
        <v>322</v>
      </c>
      <c r="MD57" s="3" t="s">
        <v>510</v>
      </c>
      <c r="ME57" s="25">
        <v>1</v>
      </c>
      <c r="MF57" s="19">
        <f t="shared" si="2"/>
        <v>3.6900369003690036E-3</v>
      </c>
      <c r="MG57" s="3" t="s">
        <v>322</v>
      </c>
      <c r="MH57" s="3" t="s">
        <v>354</v>
      </c>
      <c r="MI57" s="25">
        <v>0</v>
      </c>
      <c r="MJ57" s="19">
        <f t="shared" si="3"/>
        <v>0</v>
      </c>
      <c r="MK57" s="3" t="s">
        <v>322</v>
      </c>
      <c r="ML57" s="3" t="s">
        <v>1287</v>
      </c>
      <c r="MM57" s="25">
        <v>0</v>
      </c>
      <c r="MN57" s="19">
        <f t="shared" si="4"/>
        <v>0</v>
      </c>
      <c r="OG57" s="25"/>
    </row>
    <row r="58" spans="4:397" ht="15.75" customHeight="1" x14ac:dyDescent="0.2">
      <c r="D58" s="25">
        <v>2011</v>
      </c>
      <c r="E58" s="25">
        <v>17</v>
      </c>
      <c r="AH58" s="3" t="s">
        <v>598</v>
      </c>
      <c r="AI58" s="6">
        <v>1</v>
      </c>
      <c r="AJ58" s="19">
        <v>1.7543859649122806E-2</v>
      </c>
      <c r="BP58" s="3" t="str">
        <f>Respostas_Formatadas!C58</f>
        <v>Tecnologia em Gestão de Turismo</v>
      </c>
      <c r="BQ58" s="3">
        <f>Respostas_Formatadas!AD58</f>
        <v>0</v>
      </c>
      <c r="CY58" s="3" t="str">
        <f t="shared" si="1"/>
        <v>Tecnologia em Gestão de Turismo</v>
      </c>
      <c r="CZ58" s="3">
        <f>Respostas_Formatadas!AP58</f>
        <v>0</v>
      </c>
      <c r="EK58" s="3" t="s">
        <v>125</v>
      </c>
      <c r="EN58" s="25"/>
      <c r="MC58" s="3" t="s">
        <v>292</v>
      </c>
      <c r="MD58" s="3" t="s">
        <v>828</v>
      </c>
      <c r="ME58" s="25">
        <v>1</v>
      </c>
      <c r="MF58" s="19">
        <f t="shared" si="2"/>
        <v>3.6900369003690036E-3</v>
      </c>
      <c r="MG58" s="3" t="s">
        <v>292</v>
      </c>
      <c r="MH58" s="3" t="s">
        <v>754</v>
      </c>
      <c r="MI58" s="25">
        <v>0</v>
      </c>
      <c r="MJ58" s="19">
        <f t="shared" si="3"/>
        <v>0</v>
      </c>
      <c r="MK58" s="3" t="s">
        <v>292</v>
      </c>
      <c r="ML58" s="3" t="s">
        <v>1285</v>
      </c>
      <c r="MM58" s="25">
        <v>0</v>
      </c>
      <c r="MN58" s="19">
        <f t="shared" si="4"/>
        <v>0</v>
      </c>
      <c r="OG58" s="25"/>
    </row>
    <row r="59" spans="4:397" ht="15.75" customHeight="1" x14ac:dyDescent="0.2">
      <c r="D59" s="25">
        <v>2012</v>
      </c>
      <c r="E59" s="25">
        <v>25</v>
      </c>
      <c r="AH59" s="3" t="s">
        <v>942</v>
      </c>
      <c r="AI59" s="6">
        <v>1</v>
      </c>
      <c r="AJ59" s="19">
        <v>1.7543859649122806E-2</v>
      </c>
      <c r="BP59" s="3" t="str">
        <f>Respostas_Formatadas!C59</f>
        <v>Licenciatura em Química</v>
      </c>
      <c r="BQ59" s="3" t="str">
        <f>Respostas_Formatadas!AD59</f>
        <v>Carteiro</v>
      </c>
      <c r="BR59" s="3" t="s">
        <v>439</v>
      </c>
      <c r="BS59" s="25">
        <f t="shared" ref="BS59:BS60" si="117">COUNTIF($BR$3:$BR$273,BR59)</f>
        <v>1</v>
      </c>
      <c r="CY59" s="3" t="str">
        <f t="shared" si="1"/>
        <v>Licenciatura em Química</v>
      </c>
      <c r="CZ59" s="3" t="str">
        <f>Respostas_Formatadas!AP59</f>
        <v>Policial Militar</v>
      </c>
      <c r="DA59" s="3" t="s">
        <v>409</v>
      </c>
      <c r="DB59" s="25">
        <f t="shared" ref="DB59:DB62" si="118">COUNTIF($DA$3:$DA$273,DA59)</f>
        <v>3</v>
      </c>
      <c r="EK59" s="3" t="s">
        <v>121</v>
      </c>
      <c r="EL59" s="3" t="str">
        <f>Respostas_Formatadas!BC59</f>
        <v>Aracaju</v>
      </c>
      <c r="EN59" s="25"/>
      <c r="MC59" s="3" t="s">
        <v>292</v>
      </c>
      <c r="MD59" s="3" t="s">
        <v>1283</v>
      </c>
      <c r="ME59" s="25">
        <v>1</v>
      </c>
      <c r="MF59" s="19">
        <f t="shared" si="2"/>
        <v>3.6900369003690036E-3</v>
      </c>
      <c r="MG59" s="3" t="s">
        <v>292</v>
      </c>
      <c r="MH59" s="3" t="s">
        <v>1280</v>
      </c>
      <c r="MI59" s="25">
        <v>0</v>
      </c>
      <c r="MJ59" s="19">
        <f t="shared" si="3"/>
        <v>0</v>
      </c>
      <c r="MK59" s="3" t="s">
        <v>292</v>
      </c>
      <c r="ML59" s="3" t="s">
        <v>1311</v>
      </c>
      <c r="MM59" s="25">
        <v>0</v>
      </c>
      <c r="MN59" s="19">
        <f t="shared" si="4"/>
        <v>0</v>
      </c>
      <c r="OG59" s="25"/>
    </row>
    <row r="60" spans="4:397" ht="15.75" customHeight="1" x14ac:dyDescent="0.2">
      <c r="D60" s="25">
        <v>2013</v>
      </c>
      <c r="E60" s="25">
        <v>76</v>
      </c>
      <c r="AH60" s="3" t="s">
        <v>934</v>
      </c>
      <c r="AI60" s="6">
        <v>1</v>
      </c>
      <c r="AJ60" s="19">
        <v>1.7543859649122806E-2</v>
      </c>
      <c r="BP60" s="3" t="str">
        <f>Respostas_Formatadas!C60</f>
        <v>Bacharelado em Engenharia Civil</v>
      </c>
      <c r="BQ60" s="3" t="str">
        <f>Respostas_Formatadas!AD60</f>
        <v>Engenheiro Civil</v>
      </c>
      <c r="BR60" s="3" t="s">
        <v>424</v>
      </c>
      <c r="BS60" s="25">
        <f t="shared" si="117"/>
        <v>8</v>
      </c>
      <c r="CY60" s="3" t="str">
        <f t="shared" si="1"/>
        <v>Bacharelado em Engenharia Civil</v>
      </c>
      <c r="CZ60" s="3" t="str">
        <f>Respostas_Formatadas!AP60</f>
        <v>Engenheiro Civil</v>
      </c>
      <c r="DA60" s="3" t="s">
        <v>424</v>
      </c>
      <c r="DB60" s="25">
        <f t="shared" si="118"/>
        <v>14</v>
      </c>
      <c r="EK60" s="3" t="s">
        <v>119</v>
      </c>
      <c r="EN60" s="25"/>
      <c r="MC60" s="3" t="s">
        <v>1282</v>
      </c>
      <c r="MD60" s="3" t="s">
        <v>1315</v>
      </c>
      <c r="ME60" s="25">
        <v>1</v>
      </c>
      <c r="MF60" s="19">
        <f t="shared" si="2"/>
        <v>3.6900369003690036E-3</v>
      </c>
      <c r="MG60" s="3" t="s">
        <v>292</v>
      </c>
      <c r="MH60" s="3" t="s">
        <v>1283</v>
      </c>
      <c r="MI60" s="25">
        <v>0</v>
      </c>
      <c r="MJ60" s="19">
        <f t="shared" si="3"/>
        <v>0</v>
      </c>
      <c r="MK60" s="3" t="s">
        <v>1282</v>
      </c>
      <c r="ML60" s="3" t="s">
        <v>1313</v>
      </c>
      <c r="MM60" s="25">
        <v>0</v>
      </c>
      <c r="MN60" s="19">
        <f t="shared" si="4"/>
        <v>0</v>
      </c>
      <c r="OG60" s="25"/>
    </row>
    <row r="61" spans="4:397" ht="15.75" customHeight="1" x14ac:dyDescent="0.2">
      <c r="D61" s="25">
        <v>2014</v>
      </c>
      <c r="E61" s="25">
        <v>61</v>
      </c>
      <c r="AH61" s="3" t="s">
        <v>947</v>
      </c>
      <c r="AI61" s="6">
        <v>1</v>
      </c>
      <c r="AJ61" s="19">
        <v>1.7543859649122806E-2</v>
      </c>
      <c r="BP61" s="3" t="str">
        <f>Respostas_Formatadas!C61</f>
        <v>Tecnologia em Automação Industrial</v>
      </c>
      <c r="BQ61" s="3">
        <f>Respostas_Formatadas!AD61</f>
        <v>0</v>
      </c>
      <c r="CY61" s="3" t="str">
        <f t="shared" si="1"/>
        <v>Tecnologia em Automação Industrial</v>
      </c>
      <c r="CZ61" s="3" t="str">
        <f>Respostas_Formatadas!AP61</f>
        <v xml:space="preserve">Apoio básico  na Educação </v>
      </c>
      <c r="DA61" s="3" t="s">
        <v>1222</v>
      </c>
      <c r="DB61" s="25">
        <f t="shared" si="118"/>
        <v>1</v>
      </c>
      <c r="EK61" s="3" t="s">
        <v>126</v>
      </c>
      <c r="EL61" s="3" t="str">
        <f>Respostas_Formatadas!BC61</f>
        <v>Boquim</v>
      </c>
      <c r="EN61" s="25"/>
      <c r="MC61" s="3" t="s">
        <v>341</v>
      </c>
      <c r="MD61" s="3" t="s">
        <v>1317</v>
      </c>
      <c r="ME61" s="25">
        <v>1</v>
      </c>
      <c r="MF61" s="19">
        <f t="shared" si="2"/>
        <v>3.6900369003690036E-3</v>
      </c>
      <c r="MG61" s="3" t="s">
        <v>341</v>
      </c>
      <c r="MH61" s="3" t="s">
        <v>1315</v>
      </c>
      <c r="MI61" s="25">
        <v>0</v>
      </c>
      <c r="MJ61" s="19">
        <f t="shared" si="3"/>
        <v>0</v>
      </c>
      <c r="MK61" s="3" t="s">
        <v>341</v>
      </c>
      <c r="ML61" s="3" t="s">
        <v>879</v>
      </c>
      <c r="MM61" s="25">
        <v>0</v>
      </c>
      <c r="MN61" s="19">
        <f t="shared" si="4"/>
        <v>0</v>
      </c>
      <c r="OG61" s="25"/>
    </row>
    <row r="62" spans="4:397" ht="15.75" customHeight="1" x14ac:dyDescent="0.2">
      <c r="D62" s="25">
        <v>2015</v>
      </c>
      <c r="E62" s="25">
        <v>101</v>
      </c>
      <c r="AH62" s="3" t="s">
        <v>806</v>
      </c>
      <c r="AI62" s="6">
        <v>1</v>
      </c>
      <c r="AJ62" s="19">
        <v>1.7543859649122806E-2</v>
      </c>
      <c r="BP62" s="3" t="str">
        <f>Respostas_Formatadas!C62</f>
        <v>Tecnologia em Saneamento Ambiental</v>
      </c>
      <c r="BQ62" s="3" t="str">
        <f>Respostas_Formatadas!AD62</f>
        <v>Assistente de  laboratório de  construção civil</v>
      </c>
      <c r="BR62" s="3" t="s">
        <v>1120</v>
      </c>
      <c r="BS62" s="25">
        <f>COUNTIF($BR$3:$BR$273,BR62)</f>
        <v>1</v>
      </c>
      <c r="CY62" s="3" t="str">
        <f t="shared" si="1"/>
        <v>Tecnologia em Saneamento Ambiental</v>
      </c>
      <c r="CZ62" s="3" t="str">
        <f>Respostas_Formatadas!AP62</f>
        <v>Professor EBTT Área  administracao</v>
      </c>
      <c r="DA62" s="3" t="s">
        <v>388</v>
      </c>
      <c r="DB62" s="25">
        <f t="shared" si="118"/>
        <v>26</v>
      </c>
      <c r="EK62" s="3" t="s">
        <v>124</v>
      </c>
      <c r="EL62" s="3" t="str">
        <f>Respostas_Formatadas!BC62</f>
        <v>Teixeira de Freitas - BA</v>
      </c>
      <c r="EN62" s="25"/>
      <c r="MC62" s="3" t="s">
        <v>1283</v>
      </c>
      <c r="MD62" s="3" t="s">
        <v>1281</v>
      </c>
      <c r="ME62" s="25">
        <v>1</v>
      </c>
      <c r="MF62" s="19">
        <f t="shared" si="2"/>
        <v>3.6900369003690036E-3</v>
      </c>
      <c r="MG62" s="3" t="s">
        <v>291</v>
      </c>
      <c r="MH62" s="3" t="s">
        <v>1317</v>
      </c>
      <c r="MI62" s="25">
        <v>0</v>
      </c>
      <c r="MJ62" s="19">
        <f t="shared" si="3"/>
        <v>0</v>
      </c>
      <c r="MK62" s="3" t="s">
        <v>1302</v>
      </c>
      <c r="ML62" s="3" t="s">
        <v>670</v>
      </c>
      <c r="MM62" s="25">
        <v>0</v>
      </c>
      <c r="MN62" s="19">
        <f t="shared" si="4"/>
        <v>0</v>
      </c>
      <c r="OG62" s="25"/>
    </row>
    <row r="63" spans="4:397" ht="15.75" customHeight="1" x14ac:dyDescent="0.2">
      <c r="D63" s="25">
        <v>2016</v>
      </c>
      <c r="E63" s="25">
        <v>119</v>
      </c>
      <c r="AH63" s="3" t="s">
        <v>944</v>
      </c>
      <c r="AI63" s="6">
        <v>1</v>
      </c>
      <c r="AJ63" s="19">
        <v>1.7543859649122806E-2</v>
      </c>
      <c r="BP63" s="3" t="str">
        <f>Respostas_Formatadas!C63</f>
        <v>Tecnologia em Gestão de Turismo</v>
      </c>
      <c r="BQ63" s="3">
        <f>Respostas_Formatadas!AD63</f>
        <v>0</v>
      </c>
      <c r="CY63" s="3" t="str">
        <f t="shared" si="1"/>
        <v>Tecnologia em Gestão de Turismo</v>
      </c>
      <c r="CZ63" s="3">
        <f>Respostas_Formatadas!AP63</f>
        <v>0</v>
      </c>
      <c r="EK63" s="3" t="s">
        <v>125</v>
      </c>
      <c r="EN63" s="25"/>
      <c r="MC63" s="3" t="s">
        <v>292</v>
      </c>
      <c r="MD63" s="3" t="s">
        <v>1282</v>
      </c>
      <c r="ME63" s="25">
        <v>1</v>
      </c>
      <c r="MF63" s="19">
        <f t="shared" si="2"/>
        <v>3.6900369003690036E-3</v>
      </c>
      <c r="MG63" s="3" t="s">
        <v>292</v>
      </c>
      <c r="MH63" s="3" t="s">
        <v>1281</v>
      </c>
      <c r="MI63" s="25">
        <v>0</v>
      </c>
      <c r="MJ63" s="19">
        <f t="shared" si="3"/>
        <v>0</v>
      </c>
      <c r="MK63" s="3" t="s">
        <v>292</v>
      </c>
      <c r="ML63" s="3" t="s">
        <v>1277</v>
      </c>
      <c r="MM63" s="25">
        <v>0</v>
      </c>
      <c r="MN63" s="19">
        <f t="shared" si="4"/>
        <v>0</v>
      </c>
      <c r="OG63" s="25"/>
    </row>
    <row r="64" spans="4:397" ht="15.75" customHeight="1" x14ac:dyDescent="0.2">
      <c r="D64" s="25">
        <v>2017</v>
      </c>
      <c r="E64" s="25">
        <v>248</v>
      </c>
      <c r="AH64" s="3" t="s">
        <v>936</v>
      </c>
      <c r="AI64" s="6">
        <v>1</v>
      </c>
      <c r="AJ64" s="19">
        <v>1.7543859649122806E-2</v>
      </c>
      <c r="BP64" s="3" t="str">
        <f>Respostas_Formatadas!C64</f>
        <v>Bacharelado em Engenharia Civil</v>
      </c>
      <c r="BQ64" s="3" t="str">
        <f>Respostas_Formatadas!AD64</f>
        <v>Gerente de Fábrica</v>
      </c>
      <c r="BR64" s="3" t="s">
        <v>452</v>
      </c>
      <c r="BS64" s="25">
        <f t="shared" ref="BS64:BS67" si="119">COUNTIF($BR$3:$BR$273,BR64)</f>
        <v>1</v>
      </c>
      <c r="CY64" s="3" t="str">
        <f t="shared" si="1"/>
        <v>Bacharelado em Engenharia Civil</v>
      </c>
      <c r="CZ64" s="3" t="str">
        <f>Respostas_Formatadas!AP64</f>
        <v>Gerente de Fábrica</v>
      </c>
      <c r="DA64" s="3" t="s">
        <v>452</v>
      </c>
      <c r="DB64" s="25">
        <f t="shared" ref="DB64:DB67" si="120">COUNTIF($DA$3:$DA$273,DA64)</f>
        <v>1</v>
      </c>
      <c r="EK64" s="3" t="s">
        <v>119</v>
      </c>
      <c r="EL64" s="3" t="str">
        <f>Respostas_Formatadas!BC64</f>
        <v>Nossa Senhora do Socorro</v>
      </c>
      <c r="EN64" s="25"/>
      <c r="MC64" s="3" t="s">
        <v>292</v>
      </c>
      <c r="MD64" s="3" t="s">
        <v>423</v>
      </c>
      <c r="ME64" s="25">
        <v>1</v>
      </c>
      <c r="MF64" s="19">
        <f t="shared" si="2"/>
        <v>3.6900369003690036E-3</v>
      </c>
      <c r="MG64" s="3" t="s">
        <v>292</v>
      </c>
      <c r="MH64" s="3" t="s">
        <v>1282</v>
      </c>
      <c r="MI64" s="25">
        <v>0</v>
      </c>
      <c r="MJ64" s="19">
        <f t="shared" si="3"/>
        <v>0</v>
      </c>
      <c r="MK64" s="3" t="s">
        <v>292</v>
      </c>
      <c r="ML64" s="3" t="s">
        <v>1288</v>
      </c>
      <c r="MM64" s="25">
        <v>0</v>
      </c>
      <c r="MN64" s="19">
        <f t="shared" si="4"/>
        <v>0</v>
      </c>
      <c r="OG64" s="25"/>
    </row>
    <row r="65" spans="4:397" ht="15.75" customHeight="1" x14ac:dyDescent="0.2">
      <c r="D65" s="25">
        <v>2018</v>
      </c>
      <c r="E65" s="25">
        <v>86</v>
      </c>
      <c r="AH65" s="3" t="s">
        <v>733</v>
      </c>
      <c r="AI65" s="6">
        <v>1</v>
      </c>
      <c r="AJ65" s="19">
        <v>1.7543859649122806E-2</v>
      </c>
      <c r="BP65" s="3" t="str">
        <f>Respostas_Formatadas!C65</f>
        <v>Licenciatura em Matemática</v>
      </c>
      <c r="BQ65" s="3" t="str">
        <f>Respostas_Formatadas!AD65</f>
        <v>Auxiliat administrativo.</v>
      </c>
      <c r="BR65" s="3" t="s">
        <v>326</v>
      </c>
      <c r="BS65" s="25">
        <f t="shared" si="119"/>
        <v>7</v>
      </c>
      <c r="CY65" s="3" t="str">
        <f t="shared" si="1"/>
        <v>Licenciatura em Matemática</v>
      </c>
      <c r="CZ65" s="3" t="str">
        <f>Respostas_Formatadas!AP65</f>
        <v>Professor</v>
      </c>
      <c r="DA65" s="3" t="s">
        <v>388</v>
      </c>
      <c r="DB65" s="25">
        <f t="shared" si="120"/>
        <v>26</v>
      </c>
      <c r="EK65" s="3" t="s">
        <v>122</v>
      </c>
      <c r="EL65" s="3" t="str">
        <f>Respostas_Formatadas!BC65</f>
        <v>Nossa Senhora do Socorro</v>
      </c>
      <c r="EN65" s="25"/>
      <c r="MC65" s="3" t="s">
        <v>1278</v>
      </c>
      <c r="MD65" s="3" t="s">
        <v>1279</v>
      </c>
      <c r="ME65" s="25">
        <v>1</v>
      </c>
      <c r="MF65" s="19">
        <f t="shared" si="2"/>
        <v>3.6900369003690036E-3</v>
      </c>
      <c r="MG65" s="3" t="s">
        <v>292</v>
      </c>
      <c r="MH65" s="3" t="s">
        <v>1279</v>
      </c>
      <c r="MI65" s="25">
        <v>0</v>
      </c>
      <c r="MJ65" s="19">
        <f t="shared" si="3"/>
        <v>0</v>
      </c>
      <c r="MK65" s="3" t="s">
        <v>399</v>
      </c>
      <c r="ML65" s="3" t="s">
        <v>1290</v>
      </c>
      <c r="MM65" s="25">
        <v>0</v>
      </c>
      <c r="MN65" s="19">
        <f t="shared" si="4"/>
        <v>0</v>
      </c>
      <c r="OG65" s="25"/>
    </row>
    <row r="66" spans="4:397" ht="15.75" customHeight="1" x14ac:dyDescent="0.2">
      <c r="AH66" s="3" t="s">
        <v>508</v>
      </c>
      <c r="AI66" s="6">
        <v>1</v>
      </c>
      <c r="AJ66" s="19">
        <v>1.7543859649122806E-2</v>
      </c>
      <c r="BP66" s="3" t="str">
        <f>Respostas_Formatadas!C66</f>
        <v>Tecnologia em Gestão de Turismo</v>
      </c>
      <c r="BQ66" s="3" t="str">
        <f>Respostas_Formatadas!AD66</f>
        <v xml:space="preserve">Assistente em agência de turismo </v>
      </c>
      <c r="BR66" s="3" t="s">
        <v>1121</v>
      </c>
      <c r="BS66" s="25">
        <f t="shared" si="119"/>
        <v>1</v>
      </c>
      <c r="CY66" s="3" t="str">
        <f t="shared" si="1"/>
        <v>Tecnologia em Gestão de Turismo</v>
      </c>
      <c r="CZ66" s="3" t="str">
        <f>Respostas_Formatadas!AP66</f>
        <v>Assistente em agência de turismo</v>
      </c>
      <c r="DA66" s="3" t="s">
        <v>1223</v>
      </c>
      <c r="DB66" s="25">
        <f t="shared" si="120"/>
        <v>1</v>
      </c>
      <c r="EK66" s="3" t="s">
        <v>125</v>
      </c>
      <c r="EL66" s="3" t="str">
        <f>Respostas_Formatadas!BC66</f>
        <v>Aracaju</v>
      </c>
      <c r="EN66" s="25"/>
      <c r="MC66" s="3" t="s">
        <v>292</v>
      </c>
      <c r="MD66" s="3" t="s">
        <v>586</v>
      </c>
      <c r="ME66" s="25">
        <v>1</v>
      </c>
      <c r="MF66" s="19">
        <f t="shared" si="2"/>
        <v>3.6900369003690036E-3</v>
      </c>
      <c r="MG66" s="3" t="s">
        <v>292</v>
      </c>
      <c r="MH66" s="3" t="s">
        <v>586</v>
      </c>
      <c r="MI66" s="25">
        <v>0</v>
      </c>
      <c r="MJ66" s="19">
        <f t="shared" si="3"/>
        <v>0</v>
      </c>
      <c r="MK66" s="3" t="s">
        <v>292</v>
      </c>
      <c r="ML66" s="3" t="s">
        <v>1278</v>
      </c>
      <c r="MM66" s="25">
        <v>0</v>
      </c>
      <c r="MN66" s="19">
        <f t="shared" si="4"/>
        <v>0</v>
      </c>
      <c r="OG66" s="25"/>
    </row>
    <row r="67" spans="4:397" ht="15.75" customHeight="1" x14ac:dyDescent="0.2">
      <c r="AH67" s="3" t="s">
        <v>935</v>
      </c>
      <c r="AI67" s="6">
        <v>1</v>
      </c>
      <c r="AJ67" s="19">
        <v>1.7543859649122806E-2</v>
      </c>
      <c r="BP67" s="3" t="str">
        <f>Respostas_Formatadas!C67</f>
        <v>Tecnologia em Automação Industrial</v>
      </c>
      <c r="BQ67" s="3" t="str">
        <f>Respostas_Formatadas!AD67</f>
        <v xml:space="preserve">Auxiliar de laboratório </v>
      </c>
      <c r="BR67" s="3" t="s">
        <v>1122</v>
      </c>
      <c r="BS67" s="25">
        <f t="shared" si="119"/>
        <v>1</v>
      </c>
      <c r="CY67" s="3" t="str">
        <f t="shared" si="1"/>
        <v>Tecnologia em Automação Industrial</v>
      </c>
      <c r="CZ67" s="3" t="str">
        <f>Respostas_Formatadas!AP67</f>
        <v xml:space="preserve">Auxiliar de laboratório </v>
      </c>
      <c r="DA67" s="3" t="s">
        <v>1122</v>
      </c>
      <c r="DB67" s="25">
        <f t="shared" si="120"/>
        <v>2</v>
      </c>
      <c r="EK67" s="3" t="s">
        <v>126</v>
      </c>
      <c r="EL67" s="3" t="str">
        <f>Respostas_Formatadas!BC67</f>
        <v>Lagarto</v>
      </c>
      <c r="EN67" s="25"/>
      <c r="MC67" s="3" t="s">
        <v>291</v>
      </c>
      <c r="ME67" s="25"/>
      <c r="MG67" s="3" t="s">
        <v>291</v>
      </c>
      <c r="MI67" s="25"/>
      <c r="MK67" s="3" t="s">
        <v>291</v>
      </c>
      <c r="ML67" s="3" t="s">
        <v>1291</v>
      </c>
      <c r="MM67" s="25">
        <v>0</v>
      </c>
      <c r="MN67" s="19">
        <f t="shared" si="4"/>
        <v>0</v>
      </c>
      <c r="OG67" s="25"/>
    </row>
    <row r="68" spans="4:397" ht="15.75" customHeight="1" x14ac:dyDescent="0.2">
      <c r="AH68" s="3" t="s">
        <v>946</v>
      </c>
      <c r="AI68" s="6">
        <v>1</v>
      </c>
      <c r="AJ68" s="19">
        <v>1.7543859649122806E-2</v>
      </c>
      <c r="BP68" s="3" t="str">
        <f>Respostas_Formatadas!C68</f>
        <v>Tecnologia em Agroecologia</v>
      </c>
      <c r="BQ68" s="3">
        <f>Respostas_Formatadas!AD68</f>
        <v>0</v>
      </c>
      <c r="CY68" s="3" t="str">
        <f t="shared" ref="CY68:CY131" si="121">BP68</f>
        <v>Tecnologia em Agroecologia</v>
      </c>
      <c r="CZ68" s="3">
        <f>Respostas_Formatadas!AP68</f>
        <v>0</v>
      </c>
      <c r="EK68" s="3" t="s">
        <v>130</v>
      </c>
      <c r="EN68" s="25"/>
      <c r="MC68" s="3" t="s">
        <v>1289</v>
      </c>
      <c r="ME68" s="25"/>
      <c r="MG68" s="3" t="s">
        <v>1292</v>
      </c>
      <c r="MI68" s="25"/>
      <c r="MK68" s="3" t="s">
        <v>1289</v>
      </c>
      <c r="ML68" s="3" t="s">
        <v>1316</v>
      </c>
      <c r="MM68" s="25">
        <v>0</v>
      </c>
      <c r="MN68" s="19">
        <f t="shared" ref="MN68:MN79" si="122">MM68/271</f>
        <v>0</v>
      </c>
      <c r="OG68" s="25"/>
    </row>
    <row r="69" spans="4:397" ht="15.75" customHeight="1" x14ac:dyDescent="0.2">
      <c r="AH69" s="3" t="s">
        <v>517</v>
      </c>
      <c r="AI69" s="6">
        <v>1</v>
      </c>
      <c r="AJ69" s="19">
        <v>1.7543859649122806E-2</v>
      </c>
      <c r="BP69" s="3" t="str">
        <f>Respostas_Formatadas!C69</f>
        <v>Bacharelado em Engenharia Civil</v>
      </c>
      <c r="BQ69" s="3">
        <f>Respostas_Formatadas!AD69</f>
        <v>0</v>
      </c>
      <c r="CY69" s="3" t="str">
        <f t="shared" si="121"/>
        <v>Bacharelado em Engenharia Civil</v>
      </c>
      <c r="CZ69" s="3">
        <f>Respostas_Formatadas!AP69</f>
        <v>0</v>
      </c>
      <c r="EK69" s="3" t="s">
        <v>119</v>
      </c>
      <c r="EN69" s="25"/>
      <c r="MC69" s="3" t="s">
        <v>292</v>
      </c>
      <c r="ME69" s="25"/>
      <c r="MG69" s="3" t="s">
        <v>292</v>
      </c>
      <c r="MI69" s="25"/>
      <c r="MK69" s="3" t="s">
        <v>292</v>
      </c>
      <c r="ML69" s="3" t="s">
        <v>1296</v>
      </c>
      <c r="MM69" s="25">
        <v>0</v>
      </c>
      <c r="MN69" s="19">
        <f t="shared" si="122"/>
        <v>0</v>
      </c>
      <c r="OG69" s="25"/>
    </row>
    <row r="70" spans="4:397" ht="15.75" customHeight="1" x14ac:dyDescent="0.2">
      <c r="AH70" s="3" t="s">
        <v>504</v>
      </c>
      <c r="AI70" s="6">
        <v>1</v>
      </c>
      <c r="AJ70" s="19">
        <v>1.7543859649122806E-2</v>
      </c>
      <c r="BP70" s="3" t="str">
        <f>Respostas_Formatadas!C70</f>
        <v>Tecnologia em Gestão de Turismo</v>
      </c>
      <c r="BQ70" s="3">
        <f>Respostas_Formatadas!AD70</f>
        <v>0</v>
      </c>
      <c r="CY70" s="3" t="str">
        <f t="shared" si="121"/>
        <v>Tecnologia em Gestão de Turismo</v>
      </c>
      <c r="CZ70" s="3">
        <f>Respostas_Formatadas!AP70</f>
        <v>0</v>
      </c>
      <c r="EK70" s="3" t="s">
        <v>125</v>
      </c>
      <c r="EN70" s="25"/>
      <c r="MC70" s="3" t="s">
        <v>358</v>
      </c>
      <c r="ME70" s="25"/>
      <c r="MG70" s="3" t="s">
        <v>358</v>
      </c>
      <c r="MI70" s="25"/>
      <c r="MK70" s="3" t="s">
        <v>358</v>
      </c>
      <c r="ML70" s="3" t="s">
        <v>1286</v>
      </c>
      <c r="MM70" s="25">
        <v>0</v>
      </c>
      <c r="MN70" s="19">
        <f t="shared" si="122"/>
        <v>0</v>
      </c>
      <c r="OG70" s="25"/>
    </row>
    <row r="71" spans="4:397" ht="15.75" customHeight="1" x14ac:dyDescent="0.2">
      <c r="AH71" s="3" t="s">
        <v>948</v>
      </c>
      <c r="AI71" s="6">
        <v>1</v>
      </c>
      <c r="AJ71" s="19">
        <v>1.7543859649122806E-2</v>
      </c>
      <c r="BP71" s="3" t="str">
        <f>Respostas_Formatadas!C71</f>
        <v>Licenciatura em Matemática</v>
      </c>
      <c r="BQ71" s="3" t="str">
        <f>Respostas_Formatadas!AD71</f>
        <v>professor</v>
      </c>
      <c r="BR71" s="3" t="s">
        <v>388</v>
      </c>
      <c r="BS71" s="25">
        <f>COUNTIF($BR$3:$BR$273,BR71)</f>
        <v>31</v>
      </c>
      <c r="CY71" s="3" t="str">
        <f t="shared" si="121"/>
        <v>Licenciatura em Matemática</v>
      </c>
      <c r="CZ71" s="3" t="str">
        <f>Respostas_Formatadas!AP71</f>
        <v>atendente</v>
      </c>
      <c r="DA71" s="3" t="s">
        <v>578</v>
      </c>
      <c r="DB71" s="25">
        <f>COUNTIF($DA$3:$DA$273,DA71)</f>
        <v>1</v>
      </c>
      <c r="EK71" s="3" t="s">
        <v>122</v>
      </c>
      <c r="EL71" s="3" t="str">
        <f>Respostas_Formatadas!BC71</f>
        <v>Aracaju</v>
      </c>
      <c r="EN71" s="25"/>
      <c r="MC71" s="3" t="s">
        <v>358</v>
      </c>
      <c r="ME71" s="25"/>
      <c r="MG71" s="3" t="s">
        <v>358</v>
      </c>
      <c r="MI71" s="25"/>
      <c r="MK71" s="3" t="s">
        <v>358</v>
      </c>
      <c r="ML71" s="3" t="s">
        <v>1314</v>
      </c>
      <c r="MM71" s="25">
        <v>0</v>
      </c>
      <c r="MN71" s="19">
        <f t="shared" si="122"/>
        <v>0</v>
      </c>
      <c r="OG71" s="25"/>
    </row>
    <row r="72" spans="4:397" ht="15.75" customHeight="1" x14ac:dyDescent="0.2">
      <c r="BP72" s="3" t="str">
        <f>Respostas_Formatadas!C72</f>
        <v>Tecnologia em Automação Industrial</v>
      </c>
      <c r="BQ72" s="3">
        <f>Respostas_Formatadas!AD72</f>
        <v>0</v>
      </c>
      <c r="CY72" s="3" t="str">
        <f t="shared" si="121"/>
        <v>Tecnologia em Automação Industrial</v>
      </c>
      <c r="CZ72" s="3">
        <f>Respostas_Formatadas!AP72</f>
        <v>0</v>
      </c>
      <c r="EK72" s="3" t="s">
        <v>126</v>
      </c>
      <c r="EN72" s="25"/>
      <c r="MC72" s="3" t="s">
        <v>291</v>
      </c>
      <c r="ME72" s="25"/>
      <c r="MG72" s="3" t="s">
        <v>291</v>
      </c>
      <c r="MI72" s="25"/>
      <c r="MK72" s="3" t="s">
        <v>1298</v>
      </c>
      <c r="ML72" s="3" t="s">
        <v>1312</v>
      </c>
      <c r="MM72" s="25">
        <v>0</v>
      </c>
      <c r="MN72" s="19">
        <f t="shared" si="122"/>
        <v>0</v>
      </c>
      <c r="OG72" s="25"/>
    </row>
    <row r="73" spans="4:397" ht="15.75" customHeight="1" x14ac:dyDescent="0.2">
      <c r="BP73" s="3" t="str">
        <f>Respostas_Formatadas!C73</f>
        <v>Bacharelado em Engenharia Civil</v>
      </c>
      <c r="BQ73" s="3" t="str">
        <f>Respostas_Formatadas!AD73</f>
        <v>Diretor</v>
      </c>
      <c r="BR73" s="3" t="s">
        <v>480</v>
      </c>
      <c r="BS73" s="25">
        <f t="shared" ref="BS73:BS75" si="123">COUNTIF($BR$3:$BR$273,BR73)</f>
        <v>2</v>
      </c>
      <c r="CY73" s="3" t="str">
        <f t="shared" si="121"/>
        <v>Bacharelado em Engenharia Civil</v>
      </c>
      <c r="CZ73" s="3" t="str">
        <f>Respostas_Formatadas!AP73</f>
        <v>Diretor</v>
      </c>
      <c r="DA73" s="3" t="s">
        <v>480</v>
      </c>
      <c r="DB73" s="25">
        <f t="shared" ref="DB73:DB75" si="124">COUNTIF($DA$3:$DA$273,DA73)</f>
        <v>1</v>
      </c>
      <c r="EK73" s="3" t="s">
        <v>119</v>
      </c>
      <c r="EL73" s="3" t="str">
        <f>Respostas_Formatadas!BC73</f>
        <v>Aracaju</v>
      </c>
      <c r="EN73" s="25"/>
      <c r="MC73" s="3" t="s">
        <v>292</v>
      </c>
      <c r="ME73" s="25"/>
      <c r="MG73" s="3" t="s">
        <v>292</v>
      </c>
      <c r="MI73" s="25"/>
      <c r="MK73" s="3" t="s">
        <v>292</v>
      </c>
      <c r="ML73" s="3" t="s">
        <v>1294</v>
      </c>
      <c r="MM73" s="25">
        <v>0</v>
      </c>
      <c r="MN73" s="19">
        <f t="shared" si="122"/>
        <v>0</v>
      </c>
      <c r="OG73" s="25"/>
    </row>
    <row r="74" spans="4:397" ht="15.75" customHeight="1" x14ac:dyDescent="0.2">
      <c r="BP74" s="3" t="str">
        <f>Respostas_Formatadas!C74</f>
        <v>Licenciatura em Matemática</v>
      </c>
      <c r="BQ74" s="3" t="str">
        <f>Respostas_Formatadas!AD74</f>
        <v>Professor</v>
      </c>
      <c r="BR74" s="3" t="s">
        <v>388</v>
      </c>
      <c r="BS74" s="25">
        <f t="shared" si="123"/>
        <v>31</v>
      </c>
      <c r="CY74" s="3" t="str">
        <f t="shared" si="121"/>
        <v>Licenciatura em Matemática</v>
      </c>
      <c r="CZ74" s="3" t="str">
        <f>Respostas_Formatadas!AP74</f>
        <v>Professor</v>
      </c>
      <c r="DA74" s="3" t="s">
        <v>388</v>
      </c>
      <c r="DB74" s="25">
        <f t="shared" si="124"/>
        <v>26</v>
      </c>
      <c r="EK74" s="3" t="s">
        <v>122</v>
      </c>
      <c r="EL74" s="3" t="str">
        <f>Respostas_Formatadas!BC74</f>
        <v>Aracaju</v>
      </c>
      <c r="EN74" s="25"/>
      <c r="MC74" s="3" t="s">
        <v>292</v>
      </c>
      <c r="ME74" s="25"/>
      <c r="MG74" s="3" t="s">
        <v>292</v>
      </c>
      <c r="MI74" s="25"/>
      <c r="MK74" s="3" t="s">
        <v>292</v>
      </c>
      <c r="ML74" s="3" t="s">
        <v>354</v>
      </c>
      <c r="MM74" s="25">
        <v>0</v>
      </c>
      <c r="MN74" s="19">
        <f t="shared" si="122"/>
        <v>0</v>
      </c>
      <c r="OG74" s="25"/>
    </row>
    <row r="75" spans="4:397" ht="15.75" customHeight="1" x14ac:dyDescent="0.2">
      <c r="BP75" s="3" t="str">
        <f>Respostas_Formatadas!C75</f>
        <v>Licenciatura em Matemática</v>
      </c>
      <c r="BQ75" s="3" t="str">
        <f>Respostas_Formatadas!AD75</f>
        <v>Professor</v>
      </c>
      <c r="BR75" s="3" t="s">
        <v>388</v>
      </c>
      <c r="BS75" s="25">
        <f t="shared" si="123"/>
        <v>31</v>
      </c>
      <c r="CY75" s="3" t="str">
        <f t="shared" si="121"/>
        <v>Licenciatura em Matemática</v>
      </c>
      <c r="CZ75" s="3" t="str">
        <f>Respostas_Formatadas!AP75</f>
        <v>Professor</v>
      </c>
      <c r="DA75" s="3" t="s">
        <v>388</v>
      </c>
      <c r="DB75" s="25">
        <f t="shared" si="124"/>
        <v>26</v>
      </c>
      <c r="EK75" s="3" t="s">
        <v>122</v>
      </c>
      <c r="EL75" s="3" t="str">
        <f>Respostas_Formatadas!BC75</f>
        <v>Nossa Senhora do Socorro</v>
      </c>
      <c r="EN75" s="25"/>
      <c r="MC75" s="3" t="s">
        <v>358</v>
      </c>
      <c r="ME75" s="25"/>
      <c r="MG75" s="3" t="s">
        <v>358</v>
      </c>
      <c r="MI75" s="25"/>
      <c r="MK75" s="3" t="s">
        <v>358</v>
      </c>
      <c r="ML75" s="3" t="s">
        <v>1283</v>
      </c>
      <c r="MM75" s="25">
        <v>0</v>
      </c>
      <c r="MN75" s="19">
        <f t="shared" si="122"/>
        <v>0</v>
      </c>
      <c r="OG75" s="25"/>
    </row>
    <row r="76" spans="4:397" ht="15.75" customHeight="1" x14ac:dyDescent="0.2">
      <c r="BP76" s="3" t="str">
        <f>Respostas_Formatadas!C76</f>
        <v>Bacharelado em Engenharia Civil</v>
      </c>
      <c r="BQ76" s="3">
        <f>Respostas_Formatadas!AD76</f>
        <v>0</v>
      </c>
      <c r="CY76" s="3" t="str">
        <f t="shared" si="121"/>
        <v>Bacharelado em Engenharia Civil</v>
      </c>
      <c r="CZ76" s="3">
        <f>Respostas_Formatadas!AP76</f>
        <v>0</v>
      </c>
      <c r="EK76" s="3" t="s">
        <v>119</v>
      </c>
      <c r="EN76" s="25"/>
      <c r="MC76" s="3" t="s">
        <v>292</v>
      </c>
      <c r="ME76" s="25"/>
      <c r="MG76" s="3" t="s">
        <v>292</v>
      </c>
      <c r="MI76" s="25"/>
      <c r="MK76" s="3" t="s">
        <v>292</v>
      </c>
      <c r="ML76" s="3" t="s">
        <v>1315</v>
      </c>
      <c r="MM76" s="25">
        <v>0</v>
      </c>
      <c r="MN76" s="19">
        <f t="shared" si="122"/>
        <v>0</v>
      </c>
      <c r="OG76" s="25"/>
    </row>
    <row r="77" spans="4:397" ht="15.75" customHeight="1" x14ac:dyDescent="0.2">
      <c r="BP77" s="3" t="str">
        <f>Respostas_Formatadas!C77</f>
        <v>Tecnologia em Laticínios</v>
      </c>
      <c r="BQ77" s="3" t="str">
        <f>Respostas_Formatadas!AD77</f>
        <v>professor</v>
      </c>
      <c r="BR77" s="3" t="s">
        <v>388</v>
      </c>
      <c r="BS77" s="25">
        <f t="shared" ref="BS77:BS80" si="125">COUNTIF($BR$3:$BR$273,BR77)</f>
        <v>31</v>
      </c>
      <c r="CY77" s="3" t="str">
        <f t="shared" si="121"/>
        <v>Tecnologia em Laticínios</v>
      </c>
      <c r="CZ77" s="3" t="str">
        <f>Respostas_Formatadas!AP77</f>
        <v>professor</v>
      </c>
      <c r="DA77" s="3" t="s">
        <v>388</v>
      </c>
      <c r="DB77" s="25">
        <f t="shared" ref="DB77:DB80" si="126">COUNTIF($DA$3:$DA$273,DA77)</f>
        <v>26</v>
      </c>
      <c r="EK77" s="3" t="s">
        <v>128</v>
      </c>
      <c r="EL77" s="3" t="str">
        <f>Respostas_Formatadas!BC77</f>
        <v>Nossa Senhora da Glória</v>
      </c>
      <c r="EN77" s="25"/>
      <c r="MC77" s="3" t="s">
        <v>328</v>
      </c>
      <c r="ME77" s="25"/>
      <c r="MG77" s="3" t="s">
        <v>328</v>
      </c>
      <c r="MI77" s="25"/>
      <c r="MK77" s="3" t="s">
        <v>328</v>
      </c>
      <c r="ML77" s="3" t="s">
        <v>1317</v>
      </c>
      <c r="MM77" s="25">
        <v>0</v>
      </c>
      <c r="MN77" s="19">
        <f t="shared" si="122"/>
        <v>0</v>
      </c>
      <c r="OG77" s="25"/>
    </row>
    <row r="78" spans="4:397" ht="15.75" customHeight="1" x14ac:dyDescent="0.2">
      <c r="BP78" s="3" t="str">
        <f>Respostas_Formatadas!C78</f>
        <v>Tecnologia em Automação Industrial</v>
      </c>
      <c r="BQ78" s="3" t="str">
        <f>Respostas_Formatadas!AD78</f>
        <v>Professor</v>
      </c>
      <c r="BR78" s="3" t="s">
        <v>388</v>
      </c>
      <c r="BS78" s="25">
        <f t="shared" si="125"/>
        <v>31</v>
      </c>
      <c r="CY78" s="3" t="str">
        <f t="shared" si="121"/>
        <v>Tecnologia em Automação Industrial</v>
      </c>
      <c r="CZ78" s="3" t="str">
        <f>Respostas_Formatadas!AP78</f>
        <v>Automação de Marketing</v>
      </c>
      <c r="DA78" s="3" t="s">
        <v>1224</v>
      </c>
      <c r="DB78" s="25">
        <f t="shared" si="126"/>
        <v>1</v>
      </c>
      <c r="EK78" s="3" t="s">
        <v>126</v>
      </c>
      <c r="EN78" s="25"/>
      <c r="MC78" s="3" t="s">
        <v>291</v>
      </c>
      <c r="ME78" s="25"/>
      <c r="MG78" s="3" t="s">
        <v>291</v>
      </c>
      <c r="MI78" s="25"/>
      <c r="MK78" s="3" t="s">
        <v>291</v>
      </c>
      <c r="ML78" s="3" t="s">
        <v>1281</v>
      </c>
      <c r="MM78" s="25">
        <v>0</v>
      </c>
      <c r="MN78" s="19">
        <f t="shared" si="122"/>
        <v>0</v>
      </c>
      <c r="OG78" s="25"/>
    </row>
    <row r="79" spans="4:397" ht="15.75" customHeight="1" x14ac:dyDescent="0.2">
      <c r="BP79" s="3" t="str">
        <f>Respostas_Formatadas!C79</f>
        <v>Tecnologia em Logística</v>
      </c>
      <c r="BQ79" s="3" t="str">
        <f>Respostas_Formatadas!AD79</f>
        <v>CHEFE DE PATRIMONIO</v>
      </c>
      <c r="BR79" s="3" t="s">
        <v>1123</v>
      </c>
      <c r="BS79" s="25">
        <f t="shared" si="125"/>
        <v>1</v>
      </c>
      <c r="CY79" s="3" t="str">
        <f t="shared" si="121"/>
        <v>Tecnologia em Logística</v>
      </c>
      <c r="CZ79" s="3" t="str">
        <f>Respostas_Formatadas!AP79</f>
        <v>CHEFE DE PATRIMONIO</v>
      </c>
      <c r="DA79" s="3" t="s">
        <v>1123</v>
      </c>
      <c r="DB79" s="25">
        <f t="shared" si="126"/>
        <v>1</v>
      </c>
      <c r="EK79" s="3" t="s">
        <v>127</v>
      </c>
      <c r="EL79" s="3" t="str">
        <f>Respostas_Formatadas!BC79</f>
        <v>Frei Paulo</v>
      </c>
      <c r="EN79" s="25"/>
      <c r="MC79" s="3" t="s">
        <v>1279</v>
      </c>
      <c r="ME79" s="25"/>
      <c r="MG79" s="3" t="s">
        <v>322</v>
      </c>
      <c r="MI79" s="25"/>
      <c r="MK79" s="3" t="s">
        <v>1279</v>
      </c>
      <c r="ML79" s="3" t="s">
        <v>586</v>
      </c>
      <c r="MM79" s="25">
        <v>0</v>
      </c>
      <c r="MN79" s="19">
        <f t="shared" si="122"/>
        <v>0</v>
      </c>
      <c r="OG79" s="25"/>
    </row>
    <row r="80" spans="4:397" ht="15.75" customHeight="1" x14ac:dyDescent="0.2">
      <c r="BP80" s="3" t="str">
        <f>Respostas_Formatadas!C80</f>
        <v>Licenciatura em Química</v>
      </c>
      <c r="BQ80" s="3" t="str">
        <f>Respostas_Formatadas!AD80</f>
        <v>Técnico em química</v>
      </c>
      <c r="BR80" s="3" t="s">
        <v>542</v>
      </c>
      <c r="BS80" s="25">
        <f t="shared" si="125"/>
        <v>2</v>
      </c>
      <c r="CY80" s="3" t="str">
        <f t="shared" si="121"/>
        <v>Licenciatura em Química</v>
      </c>
      <c r="CZ80" s="3" t="str">
        <f>Respostas_Formatadas!AP80</f>
        <v>Técnico em química</v>
      </c>
      <c r="DA80" s="3" t="s">
        <v>542</v>
      </c>
      <c r="DB80" s="25">
        <f t="shared" si="126"/>
        <v>2</v>
      </c>
      <c r="EK80" s="3" t="s">
        <v>121</v>
      </c>
      <c r="EL80" s="3" t="str">
        <f>Respostas_Formatadas!BC80</f>
        <v>Aracaju</v>
      </c>
      <c r="EN80" s="25"/>
      <c r="MC80" s="3" t="s">
        <v>292</v>
      </c>
      <c r="ME80" s="25"/>
      <c r="MG80" s="3" t="s">
        <v>292</v>
      </c>
      <c r="MI80" s="25"/>
      <c r="MK80" s="3" t="s">
        <v>292</v>
      </c>
      <c r="OG80" s="25"/>
    </row>
    <row r="81" spans="68:397" ht="15.75" customHeight="1" x14ac:dyDescent="0.2">
      <c r="BP81" s="3" t="str">
        <f>Respostas_Formatadas!C81</f>
        <v>Tecnologia em Automação Industrial</v>
      </c>
      <c r="BQ81" s="3">
        <f>Respostas_Formatadas!AD81</f>
        <v>0</v>
      </c>
      <c r="CY81" s="3" t="str">
        <f t="shared" si="121"/>
        <v>Tecnologia em Automação Industrial</v>
      </c>
      <c r="CZ81" s="3">
        <f>Respostas_Formatadas!AP81</f>
        <v>0</v>
      </c>
      <c r="EK81" s="3" t="s">
        <v>126</v>
      </c>
      <c r="EN81" s="25"/>
      <c r="MC81" s="3" t="s">
        <v>1280</v>
      </c>
      <c r="ME81" s="25"/>
      <c r="MG81" s="3" t="s">
        <v>291</v>
      </c>
      <c r="MI81" s="25"/>
      <c r="MK81" s="3" t="s">
        <v>1280</v>
      </c>
      <c r="OG81" s="25"/>
    </row>
    <row r="82" spans="68:397" ht="15.75" customHeight="1" x14ac:dyDescent="0.2">
      <c r="BP82" s="3" t="str">
        <f>Respostas_Formatadas!C82</f>
        <v>Tecnologia em Saneamento Ambiental</v>
      </c>
      <c r="BQ82" s="3">
        <f>Respostas_Formatadas!AD82</f>
        <v>0</v>
      </c>
      <c r="CY82" s="3" t="str">
        <f t="shared" si="121"/>
        <v>Tecnologia em Saneamento Ambiental</v>
      </c>
      <c r="CZ82" s="3">
        <f>Respostas_Formatadas!AP82</f>
        <v>0</v>
      </c>
      <c r="EK82" s="3" t="s">
        <v>124</v>
      </c>
      <c r="EN82" s="25"/>
      <c r="MC82" s="3" t="s">
        <v>399</v>
      </c>
      <c r="MG82" s="3" t="s">
        <v>399</v>
      </c>
      <c r="MI82" s="25"/>
      <c r="MK82" s="3" t="s">
        <v>399</v>
      </c>
      <c r="OG82" s="25"/>
    </row>
    <row r="83" spans="68:397" ht="15.75" customHeight="1" x14ac:dyDescent="0.2">
      <c r="BP83" s="3" t="str">
        <f>Respostas_Formatadas!C83</f>
        <v>Tecnologia em Gestão de Turismo</v>
      </c>
      <c r="BQ83" s="3">
        <f>Respostas_Formatadas!AD83</f>
        <v>0</v>
      </c>
      <c r="CY83" s="3" t="str">
        <f t="shared" si="121"/>
        <v>Tecnologia em Gestão de Turismo</v>
      </c>
      <c r="CZ83" s="3">
        <f>Respostas_Formatadas!AP83</f>
        <v>0</v>
      </c>
      <c r="EK83" s="3" t="s">
        <v>125</v>
      </c>
      <c r="EN83" s="25"/>
      <c r="MC83" s="3" t="s">
        <v>292</v>
      </c>
      <c r="MG83" s="3" t="s">
        <v>292</v>
      </c>
      <c r="MI83" s="25"/>
      <c r="MK83" s="3" t="s">
        <v>292</v>
      </c>
      <c r="OG83" s="25"/>
    </row>
    <row r="84" spans="68:397" ht="15.75" customHeight="1" x14ac:dyDescent="0.2">
      <c r="BP84" s="3" t="str">
        <f>Respostas_Formatadas!C84</f>
        <v>Tecnologia em Saneamento Ambiental</v>
      </c>
      <c r="BQ84" s="3" t="str">
        <f>Respostas_Formatadas!AD84</f>
        <v>Auxiliar de Loja</v>
      </c>
      <c r="BR84" s="3" t="s">
        <v>505</v>
      </c>
      <c r="BS84" s="25">
        <f>COUNTIF($BR$3:$BR$273,BR84)</f>
        <v>1</v>
      </c>
      <c r="CY84" s="3" t="str">
        <f t="shared" si="121"/>
        <v>Tecnologia em Saneamento Ambiental</v>
      </c>
      <c r="CZ84" s="3" t="str">
        <f>Respostas_Formatadas!AP84</f>
        <v>Vendedor</v>
      </c>
      <c r="DA84" s="3" t="s">
        <v>506</v>
      </c>
      <c r="DB84" s="25">
        <f>COUNTIF($DA$3:$DA$273,DA84)</f>
        <v>3</v>
      </c>
      <c r="EK84" s="3" t="s">
        <v>124</v>
      </c>
      <c r="EL84" s="3" t="str">
        <f>Respostas_Formatadas!BC84</f>
        <v>Aracaju</v>
      </c>
      <c r="EN84" s="25"/>
      <c r="MC84" s="3" t="s">
        <v>778</v>
      </c>
      <c r="MG84" s="3" t="s">
        <v>778</v>
      </c>
      <c r="MI84" s="25"/>
      <c r="MK84" s="3" t="s">
        <v>778</v>
      </c>
      <c r="OG84" s="25"/>
    </row>
    <row r="85" spans="68:397" ht="15.75" customHeight="1" x14ac:dyDescent="0.2">
      <c r="BP85" s="3" t="str">
        <f>Respostas_Formatadas!C85</f>
        <v>Licenciatura em Matemática</v>
      </c>
      <c r="BQ85" s="3">
        <f>Respostas_Formatadas!AD85</f>
        <v>0</v>
      </c>
      <c r="CY85" s="3" t="str">
        <f t="shared" si="121"/>
        <v>Licenciatura em Matemática</v>
      </c>
      <c r="CZ85" s="3">
        <f>Respostas_Formatadas!AP85</f>
        <v>0</v>
      </c>
      <c r="EK85" s="3" t="s">
        <v>122</v>
      </c>
      <c r="EN85" s="25"/>
      <c r="MC85" s="3" t="s">
        <v>292</v>
      </c>
      <c r="MG85" s="3" t="s">
        <v>292</v>
      </c>
      <c r="MI85" s="25"/>
      <c r="MK85" s="3" t="s">
        <v>292</v>
      </c>
      <c r="OG85" s="25"/>
    </row>
    <row r="86" spans="68:397" ht="15.75" customHeight="1" x14ac:dyDescent="0.2">
      <c r="BP86" s="3" t="str">
        <f>Respostas_Formatadas!C86</f>
        <v>Tecnologia em Saneamento Ambiental</v>
      </c>
      <c r="BQ86" s="3">
        <f>Respostas_Formatadas!AD86</f>
        <v>0</v>
      </c>
      <c r="CY86" s="3" t="str">
        <f t="shared" si="121"/>
        <v>Tecnologia em Saneamento Ambiental</v>
      </c>
      <c r="CZ86" s="3">
        <f>Respostas_Formatadas!AP86</f>
        <v>0</v>
      </c>
      <c r="EK86" s="3" t="s">
        <v>124</v>
      </c>
      <c r="EN86" s="25"/>
      <c r="MC86" s="3" t="s">
        <v>292</v>
      </c>
      <c r="MG86" s="3" t="s">
        <v>292</v>
      </c>
      <c r="MI86" s="25"/>
      <c r="MK86" s="3" t="s">
        <v>292</v>
      </c>
      <c r="OG86" s="25"/>
    </row>
    <row r="87" spans="68:397" ht="15.75" customHeight="1" x14ac:dyDescent="0.2">
      <c r="BP87" s="3" t="str">
        <f>Respostas_Formatadas!C87</f>
        <v>Bacharelado em Engenharia Civil</v>
      </c>
      <c r="BQ87" s="3" t="str">
        <f>Respostas_Formatadas!AD87</f>
        <v>Engenheiro Civil</v>
      </c>
      <c r="BR87" s="3" t="s">
        <v>424</v>
      </c>
      <c r="BS87" s="25">
        <f>COUNTIF($BR$3:$BR$273,BR87)</f>
        <v>8</v>
      </c>
      <c r="CY87" s="3" t="str">
        <f t="shared" si="121"/>
        <v>Bacharelado em Engenharia Civil</v>
      </c>
      <c r="CZ87" s="3" t="str">
        <f>Respostas_Formatadas!AP87</f>
        <v>Engenheiro Civil</v>
      </c>
      <c r="DA87" s="3" t="s">
        <v>424</v>
      </c>
      <c r="DB87" s="25">
        <f>COUNTIF($DA$3:$DA$273,DA87)</f>
        <v>14</v>
      </c>
      <c r="EK87" s="3" t="s">
        <v>119</v>
      </c>
      <c r="EL87" s="3" t="str">
        <f>Respostas_Formatadas!BC87</f>
        <v>Aracaju</v>
      </c>
      <c r="EN87" s="25"/>
      <c r="MC87" s="3" t="s">
        <v>1281</v>
      </c>
      <c r="MG87" s="3" t="s">
        <v>292</v>
      </c>
      <c r="MI87" s="25"/>
      <c r="MK87" s="3" t="s">
        <v>292</v>
      </c>
      <c r="OG87" s="25"/>
    </row>
    <row r="88" spans="68:397" ht="15.75" customHeight="1" x14ac:dyDescent="0.2">
      <c r="BP88" s="3" t="str">
        <f>Respostas_Formatadas!C88</f>
        <v>Bacharelado em Engenharia Civil</v>
      </c>
      <c r="BQ88" s="3">
        <f>Respostas_Formatadas!AD88</f>
        <v>0</v>
      </c>
      <c r="CY88" s="3" t="str">
        <f t="shared" si="121"/>
        <v>Bacharelado em Engenharia Civil</v>
      </c>
      <c r="CZ88" s="3">
        <f>Respostas_Formatadas!AP88</f>
        <v>0</v>
      </c>
      <c r="EK88" s="3" t="s">
        <v>119</v>
      </c>
      <c r="EN88" s="25"/>
      <c r="MC88" s="3" t="s">
        <v>292</v>
      </c>
      <c r="MG88" s="3" t="s">
        <v>292</v>
      </c>
      <c r="MI88" s="25"/>
      <c r="MK88" s="3" t="s">
        <v>1298</v>
      </c>
      <c r="OG88" s="25"/>
    </row>
    <row r="89" spans="68:397" ht="15.75" customHeight="1" x14ac:dyDescent="0.2">
      <c r="BP89" s="3" t="str">
        <f>Respostas_Formatadas!C89</f>
        <v>Tecnologia em Gestão de Turismo</v>
      </c>
      <c r="BQ89" s="3" t="str">
        <f>Respostas_Formatadas!AD89</f>
        <v>Agente de Reservas</v>
      </c>
      <c r="BR89" s="3" t="s">
        <v>518</v>
      </c>
      <c r="BS89" s="25">
        <f t="shared" ref="BS89:BS98" si="127">COUNTIF($BR$3:$BR$273,BR89)</f>
        <v>1</v>
      </c>
      <c r="CY89" s="3" t="str">
        <f t="shared" si="121"/>
        <v>Tecnologia em Gestão de Turismo</v>
      </c>
      <c r="CZ89" s="3" t="str">
        <f>Respostas_Formatadas!AP89</f>
        <v xml:space="preserve">Agente de Reservas </v>
      </c>
      <c r="DA89" s="3" t="s">
        <v>518</v>
      </c>
      <c r="DB89" s="25">
        <f t="shared" ref="DB89:DB96" si="128">COUNTIF($DA$3:$DA$273,DA89)</f>
        <v>1</v>
      </c>
      <c r="EK89" s="3" t="s">
        <v>125</v>
      </c>
      <c r="EL89" s="3" t="str">
        <f>Respostas_Formatadas!BC89</f>
        <v>Aracaju</v>
      </c>
      <c r="EN89" s="25"/>
      <c r="MC89" s="3" t="s">
        <v>292</v>
      </c>
      <c r="MG89" s="3" t="s">
        <v>292</v>
      </c>
      <c r="MI89" s="25"/>
      <c r="MK89" s="3" t="s">
        <v>292</v>
      </c>
      <c r="OG89" s="25"/>
    </row>
    <row r="90" spans="68:397" ht="15.75" customHeight="1" x14ac:dyDescent="0.2">
      <c r="BP90" s="3" t="str">
        <f>Respostas_Formatadas!C90</f>
        <v>Tecnologia em Gestão de Turismo</v>
      </c>
      <c r="BQ90" s="3" t="str">
        <f>Respostas_Formatadas!AD90</f>
        <v>Contínuo</v>
      </c>
      <c r="BR90" s="3" t="s">
        <v>521</v>
      </c>
      <c r="BS90" s="25">
        <f t="shared" si="127"/>
        <v>1</v>
      </c>
      <c r="CY90" s="3" t="str">
        <f t="shared" si="121"/>
        <v>Tecnologia em Gestão de Turismo</v>
      </c>
      <c r="CZ90" s="3" t="str">
        <f>Respostas_Formatadas!AP90</f>
        <v>Contínuo</v>
      </c>
      <c r="DA90" s="3" t="s">
        <v>521</v>
      </c>
      <c r="DB90" s="25">
        <f t="shared" si="128"/>
        <v>1</v>
      </c>
      <c r="EK90" s="3" t="s">
        <v>125</v>
      </c>
      <c r="EL90" s="3" t="str">
        <f>Respostas_Formatadas!BC90</f>
        <v>Aracaju</v>
      </c>
      <c r="EN90" s="25"/>
      <c r="MC90" s="3" t="s">
        <v>1284</v>
      </c>
      <c r="MG90" s="3" t="s">
        <v>292</v>
      </c>
      <c r="MI90" s="25"/>
      <c r="MK90" s="3" t="s">
        <v>399</v>
      </c>
      <c r="OG90" s="25"/>
    </row>
    <row r="91" spans="68:397" ht="15.75" customHeight="1" x14ac:dyDescent="0.2">
      <c r="BP91" s="3" t="str">
        <f>Respostas_Formatadas!C91</f>
        <v>Tecnologia em Logística</v>
      </c>
      <c r="BQ91" s="3" t="str">
        <f>Respostas_Formatadas!AD91</f>
        <v>Coordenador</v>
      </c>
      <c r="BR91" s="3" t="s">
        <v>526</v>
      </c>
      <c r="BS91" s="25">
        <f t="shared" si="127"/>
        <v>2</v>
      </c>
      <c r="CY91" s="3" t="str">
        <f t="shared" si="121"/>
        <v>Tecnologia em Logística</v>
      </c>
      <c r="CZ91" s="3" t="str">
        <f>Respostas_Formatadas!AP91</f>
        <v>Coordenador</v>
      </c>
      <c r="DA91" s="3" t="s">
        <v>526</v>
      </c>
      <c r="DB91" s="25">
        <f t="shared" si="128"/>
        <v>2</v>
      </c>
      <c r="EK91" s="3" t="s">
        <v>127</v>
      </c>
      <c r="EL91" s="3" t="str">
        <f>Respostas_Formatadas!BC91</f>
        <v>Pedra Mole</v>
      </c>
      <c r="EN91" s="25"/>
      <c r="MC91" s="3" t="s">
        <v>528</v>
      </c>
      <c r="MG91" s="3" t="s">
        <v>528</v>
      </c>
      <c r="MI91" s="25"/>
      <c r="MK91" s="3" t="s">
        <v>528</v>
      </c>
      <c r="OG91" s="25"/>
    </row>
    <row r="92" spans="68:397" ht="15.75" customHeight="1" x14ac:dyDescent="0.2">
      <c r="BP92" s="3" t="str">
        <f>Respostas_Formatadas!C92</f>
        <v>Tecnologia em Saneamento Ambiental</v>
      </c>
      <c r="BQ92" s="3" t="str">
        <f>Respostas_Formatadas!AD92</f>
        <v>Analista Ambiental</v>
      </c>
      <c r="BR92" s="3" t="s">
        <v>530</v>
      </c>
      <c r="BS92" s="25">
        <f t="shared" si="127"/>
        <v>4</v>
      </c>
      <c r="CY92" s="3" t="str">
        <f t="shared" si="121"/>
        <v>Tecnologia em Saneamento Ambiental</v>
      </c>
      <c r="CZ92" s="3" t="str">
        <f>Respostas_Formatadas!AP92</f>
        <v>Professora Assistente</v>
      </c>
      <c r="DA92" s="3" t="s">
        <v>388</v>
      </c>
      <c r="DB92" s="25">
        <f t="shared" si="128"/>
        <v>26</v>
      </c>
      <c r="EK92" s="3" t="s">
        <v>124</v>
      </c>
      <c r="EL92" s="3" t="str">
        <f>Respostas_Formatadas!BC92</f>
        <v>João Pessoa - PB</v>
      </c>
      <c r="EN92" s="25"/>
      <c r="MC92" s="3" t="s">
        <v>292</v>
      </c>
      <c r="MG92" s="3" t="s">
        <v>292</v>
      </c>
      <c r="MI92" s="25"/>
      <c r="MK92" s="3" t="s">
        <v>1303</v>
      </c>
      <c r="OG92" s="25"/>
    </row>
    <row r="93" spans="68:397" ht="15.75" customHeight="1" x14ac:dyDescent="0.2">
      <c r="BP93" s="3" t="str">
        <f>Respostas_Formatadas!C93</f>
        <v>Tecnologia em Saneamento Ambiental</v>
      </c>
      <c r="BQ93" s="3" t="str">
        <f>Respostas_Formatadas!AD93</f>
        <v>Analista ambiental</v>
      </c>
      <c r="BR93" s="3" t="s">
        <v>530</v>
      </c>
      <c r="BS93" s="25">
        <f t="shared" si="127"/>
        <v>4</v>
      </c>
      <c r="CY93" s="3" t="str">
        <f t="shared" si="121"/>
        <v>Tecnologia em Saneamento Ambiental</v>
      </c>
      <c r="CZ93" s="3" t="str">
        <f>Respostas_Formatadas!AP93</f>
        <v>Analista ambiental</v>
      </c>
      <c r="DA93" s="3" t="s">
        <v>530</v>
      </c>
      <c r="DB93" s="25">
        <f t="shared" si="128"/>
        <v>5</v>
      </c>
      <c r="EK93" s="3" t="s">
        <v>124</v>
      </c>
      <c r="EL93" s="3" t="str">
        <f>Respostas_Formatadas!BC93</f>
        <v>Aracaju</v>
      </c>
      <c r="EN93" s="25"/>
      <c r="MC93" s="3" t="s">
        <v>358</v>
      </c>
      <c r="MG93" s="3" t="s">
        <v>358</v>
      </c>
      <c r="MI93" s="25"/>
      <c r="MK93" s="3" t="s">
        <v>358</v>
      </c>
      <c r="OG93" s="25"/>
    </row>
    <row r="94" spans="68:397" ht="15.75" customHeight="1" x14ac:dyDescent="0.2">
      <c r="BP94" s="3" t="str">
        <f>Respostas_Formatadas!C94</f>
        <v>Tecnologia em Saneamento Ambiental</v>
      </c>
      <c r="BQ94" s="3" t="str">
        <f>Respostas_Formatadas!AD94</f>
        <v>Tecnologa em Saneamento Ambiental</v>
      </c>
      <c r="BR94" s="3" t="s">
        <v>1124</v>
      </c>
      <c r="BS94" s="25">
        <f t="shared" si="127"/>
        <v>3</v>
      </c>
      <c r="CY94" s="3" t="str">
        <f t="shared" si="121"/>
        <v>Tecnologia em Saneamento Ambiental</v>
      </c>
      <c r="CZ94" s="3" t="str">
        <f>Respostas_Formatadas!AP94</f>
        <v>Analista Ambiental</v>
      </c>
      <c r="DA94" s="3" t="s">
        <v>530</v>
      </c>
      <c r="DB94" s="25">
        <f t="shared" si="128"/>
        <v>5</v>
      </c>
      <c r="EK94" s="3" t="s">
        <v>124</v>
      </c>
      <c r="EL94" s="3" t="str">
        <f>Respostas_Formatadas!BC94</f>
        <v>Aracaju</v>
      </c>
      <c r="EN94" s="25"/>
      <c r="MC94" s="3" t="s">
        <v>292</v>
      </c>
      <c r="MG94" s="3" t="s">
        <v>292</v>
      </c>
      <c r="MI94" s="25"/>
      <c r="MK94" s="3" t="s">
        <v>292</v>
      </c>
      <c r="OG94" s="25"/>
    </row>
    <row r="95" spans="68:397" ht="15.75" customHeight="1" x14ac:dyDescent="0.2">
      <c r="BP95" s="3" t="str">
        <f>Respostas_Formatadas!C95</f>
        <v>Tecnologia em Saneamento Ambiental</v>
      </c>
      <c r="BQ95" s="3" t="str">
        <f>Respostas_Formatadas!AD95</f>
        <v>Auxiliar Administrativo</v>
      </c>
      <c r="BR95" s="3" t="s">
        <v>326</v>
      </c>
      <c r="BS95" s="25">
        <f t="shared" si="127"/>
        <v>7</v>
      </c>
      <c r="CY95" s="3" t="str">
        <f t="shared" si="121"/>
        <v>Tecnologia em Saneamento Ambiental</v>
      </c>
      <c r="CZ95" s="3" t="str">
        <f>Respostas_Formatadas!AP95</f>
        <v>Assistente Administrativo</v>
      </c>
      <c r="DA95" s="3" t="s">
        <v>541</v>
      </c>
      <c r="DB95" s="25">
        <f t="shared" si="128"/>
        <v>4</v>
      </c>
      <c r="EK95" s="3" t="s">
        <v>124</v>
      </c>
      <c r="EL95" s="3" t="str">
        <f>Respostas_Formatadas!BC95</f>
        <v>Aracaju</v>
      </c>
      <c r="EN95" s="25"/>
      <c r="MC95" s="3" t="s">
        <v>399</v>
      </c>
      <c r="MG95" s="3" t="s">
        <v>399</v>
      </c>
      <c r="MI95" s="25"/>
      <c r="MK95" s="3" t="s">
        <v>399</v>
      </c>
      <c r="OG95" s="25"/>
    </row>
    <row r="96" spans="68:397" ht="15.75" customHeight="1" x14ac:dyDescent="0.2">
      <c r="BP96" s="3" t="str">
        <f>Respostas_Formatadas!C96</f>
        <v>Tecnologia em Saneamento Ambiental</v>
      </c>
      <c r="BQ96" s="3" t="str">
        <f>Respostas_Formatadas!AD96</f>
        <v>Técnico em Química</v>
      </c>
      <c r="BR96" s="3" t="s">
        <v>542</v>
      </c>
      <c r="BS96" s="25">
        <f t="shared" si="127"/>
        <v>2</v>
      </c>
      <c r="CY96" s="3" t="str">
        <f t="shared" si="121"/>
        <v>Tecnologia em Saneamento Ambiental</v>
      </c>
      <c r="CZ96" s="3" t="str">
        <f>Respostas_Formatadas!AP96</f>
        <v>Técnico em química</v>
      </c>
      <c r="DA96" s="3" t="s">
        <v>542</v>
      </c>
      <c r="DB96" s="25">
        <f t="shared" si="128"/>
        <v>2</v>
      </c>
      <c r="EK96" s="3" t="s">
        <v>124</v>
      </c>
      <c r="EL96" s="3" t="str">
        <f>Respostas_Formatadas!BC96</f>
        <v>Aracaju</v>
      </c>
      <c r="EN96" s="25"/>
      <c r="MC96" s="3" t="s">
        <v>543</v>
      </c>
      <c r="MG96" s="3" t="s">
        <v>543</v>
      </c>
      <c r="MI96" s="25"/>
      <c r="MK96" s="3" t="s">
        <v>292</v>
      </c>
      <c r="OG96" s="25"/>
    </row>
    <row r="97" spans="68:397" ht="15.75" customHeight="1" x14ac:dyDescent="0.2">
      <c r="BP97" s="3" t="str">
        <f>Respostas_Formatadas!C97</f>
        <v>Tecnologia em Saneamento Ambiental</v>
      </c>
      <c r="BQ97" s="3" t="str">
        <f>Respostas_Formatadas!AD97</f>
        <v>Professor</v>
      </c>
      <c r="BR97" s="3" t="s">
        <v>388</v>
      </c>
      <c r="BS97" s="25">
        <f t="shared" si="127"/>
        <v>31</v>
      </c>
      <c r="CY97" s="3" t="str">
        <f t="shared" si="121"/>
        <v>Tecnologia em Saneamento Ambiental</v>
      </c>
      <c r="CZ97" s="3">
        <f>Respostas_Formatadas!AP97</f>
        <v>0</v>
      </c>
      <c r="EK97" s="3" t="s">
        <v>124</v>
      </c>
      <c r="EN97" s="25"/>
      <c r="MC97" s="3" t="s">
        <v>292</v>
      </c>
      <c r="MG97" s="3" t="s">
        <v>292</v>
      </c>
      <c r="MI97" s="25"/>
      <c r="MK97" s="3" t="s">
        <v>292</v>
      </c>
      <c r="OG97" s="25"/>
    </row>
    <row r="98" spans="68:397" ht="15.75" customHeight="1" x14ac:dyDescent="0.2">
      <c r="BP98" s="3" t="str">
        <f>Respostas_Formatadas!C98</f>
        <v>Tecnologia em Saneamento Ambiental</v>
      </c>
      <c r="BQ98" s="3" t="str">
        <f>Respostas_Formatadas!AD98</f>
        <v>Agente de Segurança Socioeducativo</v>
      </c>
      <c r="BR98" s="3" t="s">
        <v>545</v>
      </c>
      <c r="BS98" s="25">
        <f t="shared" si="127"/>
        <v>1</v>
      </c>
      <c r="CY98" s="3" t="str">
        <f t="shared" si="121"/>
        <v>Tecnologia em Saneamento Ambiental</v>
      </c>
      <c r="CZ98" s="3" t="str">
        <f>Respostas_Formatadas!AP98</f>
        <v>Agente de Segurança Socioeducativo</v>
      </c>
      <c r="DA98" s="3" t="s">
        <v>545</v>
      </c>
      <c r="DB98" s="25">
        <f>COUNTIF($DA$3:$DA$273,DA98)</f>
        <v>1</v>
      </c>
      <c r="EK98" s="3" t="s">
        <v>124</v>
      </c>
      <c r="EL98" s="3" t="str">
        <f>Respostas_Formatadas!BC98</f>
        <v>Aracaju</v>
      </c>
      <c r="EN98" s="25"/>
      <c r="MC98" s="3" t="s">
        <v>292</v>
      </c>
      <c r="MG98" s="3" t="s">
        <v>292</v>
      </c>
      <c r="MI98" s="25"/>
      <c r="MK98" s="3" t="s">
        <v>292</v>
      </c>
      <c r="OG98" s="25"/>
    </row>
    <row r="99" spans="68:397" ht="15.75" customHeight="1" x14ac:dyDescent="0.2">
      <c r="BP99" s="3" t="str">
        <f>Respostas_Formatadas!C99</f>
        <v>Bacharelado em Engenharia Civil</v>
      </c>
      <c r="BQ99" s="3">
        <f>Respostas_Formatadas!AD99</f>
        <v>0</v>
      </c>
      <c r="CY99" s="3" t="str">
        <f t="shared" si="121"/>
        <v>Bacharelado em Engenharia Civil</v>
      </c>
      <c r="CZ99" s="3">
        <f>Respostas_Formatadas!AP99</f>
        <v>0</v>
      </c>
      <c r="EK99" s="3" t="s">
        <v>119</v>
      </c>
      <c r="EN99" s="25"/>
      <c r="MC99" s="3" t="s">
        <v>1285</v>
      </c>
      <c r="MG99" s="3" t="s">
        <v>292</v>
      </c>
      <c r="MI99" s="25"/>
      <c r="MK99" s="3" t="s">
        <v>1298</v>
      </c>
      <c r="OG99" s="25"/>
    </row>
    <row r="100" spans="68:397" ht="15.75" customHeight="1" x14ac:dyDescent="0.2">
      <c r="BP100" s="3" t="str">
        <f>Respostas_Formatadas!C100</f>
        <v>Tecnologia em Saneamento Ambiental</v>
      </c>
      <c r="BQ100" s="3">
        <f>Respostas_Formatadas!AD100</f>
        <v>0</v>
      </c>
      <c r="CY100" s="3" t="str">
        <f t="shared" si="121"/>
        <v>Tecnologia em Saneamento Ambiental</v>
      </c>
      <c r="CZ100" s="3">
        <f>Respostas_Formatadas!AP100</f>
        <v>0</v>
      </c>
      <c r="EK100" s="3" t="s">
        <v>124</v>
      </c>
      <c r="EN100" s="25"/>
      <c r="MC100" s="3" t="s">
        <v>292</v>
      </c>
      <c r="MG100" s="3" t="s">
        <v>292</v>
      </c>
      <c r="MI100" s="25"/>
      <c r="MK100" s="3" t="s">
        <v>292</v>
      </c>
      <c r="OG100" s="25"/>
    </row>
    <row r="101" spans="68:397" ht="15.75" customHeight="1" x14ac:dyDescent="0.2">
      <c r="BP101" s="3" t="str">
        <f>Respostas_Formatadas!C101</f>
        <v>Bacharelado em Engenharia Civil</v>
      </c>
      <c r="BQ101" s="3" t="str">
        <f>Respostas_Formatadas!AD101</f>
        <v>Auxiliar engenharia</v>
      </c>
      <c r="BR101" s="3" t="s">
        <v>1125</v>
      </c>
      <c r="BS101" s="25">
        <f t="shared" ref="BS101:BS110" si="129">COUNTIF($BR$3:$BR$273,BR101)</f>
        <v>1</v>
      </c>
      <c r="CY101" s="3" t="str">
        <f t="shared" si="121"/>
        <v>Bacharelado em Engenharia Civil</v>
      </c>
      <c r="CZ101" s="3" t="str">
        <f>Respostas_Formatadas!AP101</f>
        <v>Auxiliar engenharia civil</v>
      </c>
      <c r="DA101" s="3" t="s">
        <v>1225</v>
      </c>
      <c r="DB101" s="25">
        <f t="shared" ref="DB101:DB102" si="130">COUNTIF($DA$3:$DA$273,DA101)</f>
        <v>1</v>
      </c>
      <c r="EK101" s="3" t="s">
        <v>119</v>
      </c>
      <c r="EL101" s="3" t="str">
        <f>Respostas_Formatadas!BC101</f>
        <v>Belém - PA</v>
      </c>
      <c r="EN101" s="25"/>
      <c r="MC101" s="3" t="s">
        <v>1298</v>
      </c>
      <c r="MG101" s="3" t="s">
        <v>292</v>
      </c>
      <c r="MI101" s="25"/>
      <c r="MK101" s="3" t="s">
        <v>1289</v>
      </c>
      <c r="OG101" s="25"/>
    </row>
    <row r="102" spans="68:397" ht="15.75" customHeight="1" x14ac:dyDescent="0.2">
      <c r="BP102" s="3" t="str">
        <f>Respostas_Formatadas!C102</f>
        <v>Bacharelado em Sistemas de Informação</v>
      </c>
      <c r="BQ102" s="3" t="str">
        <f>Respostas_Formatadas!AD102</f>
        <v>Analista de Sistemas</v>
      </c>
      <c r="BR102" s="3" t="s">
        <v>298</v>
      </c>
      <c r="BS102" s="25">
        <f t="shared" si="129"/>
        <v>5</v>
      </c>
      <c r="CY102" s="3" t="str">
        <f t="shared" si="121"/>
        <v>Bacharelado em Sistemas de Informação</v>
      </c>
      <c r="CZ102" s="3" t="str">
        <f>Respostas_Formatadas!AP102</f>
        <v>Analista de Sistemas</v>
      </c>
      <c r="DA102" s="3" t="s">
        <v>298</v>
      </c>
      <c r="DB102" s="25">
        <f t="shared" si="130"/>
        <v>5</v>
      </c>
      <c r="EK102" s="3" t="s">
        <v>120</v>
      </c>
      <c r="EL102" s="3" t="str">
        <f>Respostas_Formatadas!BC102</f>
        <v>Nossa Senhora do Socorro</v>
      </c>
      <c r="EN102" s="25"/>
      <c r="MC102" s="3" t="s">
        <v>1287</v>
      </c>
      <c r="MG102" s="3" t="s">
        <v>291</v>
      </c>
      <c r="MI102" s="25"/>
      <c r="MK102" s="3" t="s">
        <v>292</v>
      </c>
      <c r="OG102" s="25"/>
    </row>
    <row r="103" spans="68:397" ht="15.75" customHeight="1" x14ac:dyDescent="0.2">
      <c r="BP103" s="3" t="str">
        <f>Respostas_Formatadas!C103</f>
        <v>Tecnologia em Saneamento Ambiental</v>
      </c>
      <c r="BQ103" s="3" t="str">
        <f>Respostas_Formatadas!AD103</f>
        <v>Coordenador em Meio Ambiente na PMA</v>
      </c>
      <c r="BR103" s="3" t="s">
        <v>706</v>
      </c>
      <c r="BS103" s="25">
        <f t="shared" si="129"/>
        <v>3</v>
      </c>
      <c r="CY103" s="3" t="str">
        <f t="shared" si="121"/>
        <v>Tecnologia em Saneamento Ambiental</v>
      </c>
      <c r="CZ103" s="3">
        <f>Respostas_Formatadas!AP103</f>
        <v>0</v>
      </c>
      <c r="EK103" s="3" t="s">
        <v>124</v>
      </c>
      <c r="EN103" s="25"/>
      <c r="MC103" s="3" t="s">
        <v>292</v>
      </c>
      <c r="MG103" s="3" t="s">
        <v>292</v>
      </c>
      <c r="MI103" s="25"/>
      <c r="MK103" s="3" t="s">
        <v>292</v>
      </c>
      <c r="OG103" s="25"/>
    </row>
    <row r="104" spans="68:397" ht="15.75" customHeight="1" x14ac:dyDescent="0.2">
      <c r="BP104" s="3" t="str">
        <f>Respostas_Formatadas!C104</f>
        <v>Tecnologia em Saneamento Ambiental</v>
      </c>
      <c r="BQ104" s="3" t="str">
        <f>Respostas_Formatadas!AD104</f>
        <v>Professor</v>
      </c>
      <c r="BR104" s="3" t="s">
        <v>388</v>
      </c>
      <c r="BS104" s="25">
        <f t="shared" si="129"/>
        <v>31</v>
      </c>
      <c r="CY104" s="3" t="str">
        <f t="shared" si="121"/>
        <v>Tecnologia em Saneamento Ambiental</v>
      </c>
      <c r="CZ104" s="3" t="str">
        <f>Respostas_Formatadas!AP104</f>
        <v>Analista de Geoprocessamento</v>
      </c>
      <c r="DA104" s="3" t="s">
        <v>561</v>
      </c>
      <c r="DB104" s="25">
        <f t="shared" ref="DB104:DB107" si="131">COUNTIF($DA$3:$DA$273,DA104)</f>
        <v>1</v>
      </c>
      <c r="EK104" s="3" t="s">
        <v>124</v>
      </c>
      <c r="EL104" s="3" t="str">
        <f>Respostas_Formatadas!BC104</f>
        <v>Aracaju</v>
      </c>
      <c r="EN104" s="25"/>
      <c r="MC104" s="3" t="s">
        <v>399</v>
      </c>
      <c r="MG104" s="3" t="s">
        <v>399</v>
      </c>
      <c r="MI104" s="25"/>
      <c r="MK104" s="3" t="s">
        <v>399</v>
      </c>
      <c r="OG104" s="25"/>
    </row>
    <row r="105" spans="68:397" ht="15.75" customHeight="1" x14ac:dyDescent="0.2">
      <c r="BP105" s="3" t="str">
        <f>Respostas_Formatadas!C105</f>
        <v>Tecnologia em Gestão de Turismo</v>
      </c>
      <c r="BQ105" s="3" t="str">
        <f>Respostas_Formatadas!AD105</f>
        <v>PROFESSOR/COREÓGRAFO</v>
      </c>
      <c r="BR105" s="3" t="s">
        <v>388</v>
      </c>
      <c r="BS105" s="25">
        <f t="shared" si="129"/>
        <v>31</v>
      </c>
      <c r="CY105" s="3" t="str">
        <f t="shared" si="121"/>
        <v>Tecnologia em Gestão de Turismo</v>
      </c>
      <c r="CZ105" s="3" t="str">
        <f>Respostas_Formatadas!AP105</f>
        <v>COREÓGRAFO/DANÇARINO</v>
      </c>
      <c r="DA105" s="3" t="s">
        <v>1226</v>
      </c>
      <c r="DB105" s="25">
        <f t="shared" si="131"/>
        <v>1</v>
      </c>
      <c r="EK105" s="3" t="s">
        <v>125</v>
      </c>
      <c r="EN105" s="25"/>
      <c r="MC105" s="3" t="s">
        <v>1284</v>
      </c>
      <c r="MG105" s="3" t="s">
        <v>292</v>
      </c>
      <c r="MI105" s="25"/>
      <c r="MK105" s="3" t="s">
        <v>399</v>
      </c>
      <c r="OG105" s="25"/>
    </row>
    <row r="106" spans="68:397" ht="15.75" customHeight="1" x14ac:dyDescent="0.2">
      <c r="BP106" s="3" t="str">
        <f>Respostas_Formatadas!C106</f>
        <v>Tecnologia em Saneamento Ambiental</v>
      </c>
      <c r="BQ106" s="3" t="str">
        <f>Respostas_Formatadas!AD106</f>
        <v>O 1º emprego após formada veio depois de 1 ano e  8 meses depois e foi em uma área fora da área de formação, foi de telefonista em um banco.</v>
      </c>
      <c r="BR106" s="3" t="s">
        <v>1126</v>
      </c>
      <c r="BS106" s="25">
        <f t="shared" si="129"/>
        <v>1</v>
      </c>
      <c r="CY106" s="3" t="str">
        <f t="shared" si="121"/>
        <v>Tecnologia em Saneamento Ambiental</v>
      </c>
      <c r="CZ106" s="3" t="str">
        <f>Respostas_Formatadas!AP106</f>
        <v>Supervisor técnico administrativo</v>
      </c>
      <c r="DA106" s="3" t="s">
        <v>1227</v>
      </c>
      <c r="DB106" s="25">
        <f t="shared" si="131"/>
        <v>1</v>
      </c>
      <c r="EK106" s="3" t="s">
        <v>124</v>
      </c>
      <c r="EL106" s="3" t="str">
        <f>Respostas_Formatadas!BC106</f>
        <v>Aracaju</v>
      </c>
      <c r="EN106" s="25"/>
      <c r="MC106" s="3" t="s">
        <v>292</v>
      </c>
      <c r="MG106" s="3" t="s">
        <v>292</v>
      </c>
      <c r="MI106" s="25"/>
      <c r="MK106" s="3" t="s">
        <v>292</v>
      </c>
      <c r="OG106" s="25"/>
    </row>
    <row r="107" spans="68:397" ht="15.75" customHeight="1" x14ac:dyDescent="0.2">
      <c r="BP107" s="3" t="str">
        <f>Respostas_Formatadas!C107</f>
        <v>Tecnologia em Gestão de Turismo</v>
      </c>
      <c r="BQ107" s="3" t="str">
        <f>Respostas_Formatadas!AD107</f>
        <v>Consultor de Viagens</v>
      </c>
      <c r="BR107" s="3" t="s">
        <v>575</v>
      </c>
      <c r="BS107" s="25">
        <f t="shared" si="129"/>
        <v>1</v>
      </c>
      <c r="CY107" s="3" t="str">
        <f t="shared" si="121"/>
        <v>Tecnologia em Gestão de Turismo</v>
      </c>
      <c r="CZ107" s="3" t="str">
        <f>Respostas_Formatadas!AP107</f>
        <v>Consultora de Viagens de Intercâmbio</v>
      </c>
      <c r="DA107" s="3" t="s">
        <v>575</v>
      </c>
      <c r="DB107" s="25">
        <f t="shared" si="131"/>
        <v>1</v>
      </c>
      <c r="EK107" s="3" t="s">
        <v>125</v>
      </c>
      <c r="EL107" s="3" t="str">
        <f>Respostas_Formatadas!BC107</f>
        <v>Aracaju</v>
      </c>
      <c r="EN107" s="25"/>
      <c r="MC107" s="3" t="s">
        <v>292</v>
      </c>
      <c r="MG107" s="3" t="s">
        <v>292</v>
      </c>
      <c r="MI107" s="25"/>
      <c r="MK107" s="3" t="s">
        <v>292</v>
      </c>
      <c r="OG107" s="25"/>
    </row>
    <row r="108" spans="68:397" ht="15.75" customHeight="1" x14ac:dyDescent="0.2">
      <c r="BP108" s="3" t="str">
        <f>Respostas_Formatadas!C108</f>
        <v>Tecnologia em Gestão de Turismo</v>
      </c>
      <c r="BQ108" s="3" t="str">
        <f>Respostas_Formatadas!AD108</f>
        <v>Atendente</v>
      </c>
      <c r="BR108" s="3" t="s">
        <v>578</v>
      </c>
      <c r="BS108" s="25">
        <f t="shared" si="129"/>
        <v>3</v>
      </c>
      <c r="CY108" s="3" t="str">
        <f t="shared" si="121"/>
        <v>Tecnologia em Gestão de Turismo</v>
      </c>
      <c r="CZ108" s="3">
        <f>Respostas_Formatadas!AP108</f>
        <v>0</v>
      </c>
      <c r="EK108" s="3" t="s">
        <v>125</v>
      </c>
      <c r="EN108" s="25"/>
      <c r="MC108" s="3" t="s">
        <v>291</v>
      </c>
      <c r="MG108" s="3" t="s">
        <v>292</v>
      </c>
      <c r="MI108" s="25"/>
      <c r="MK108" s="3" t="s">
        <v>291</v>
      </c>
      <c r="OG108" s="25"/>
    </row>
    <row r="109" spans="68:397" ht="15.75" customHeight="1" x14ac:dyDescent="0.2">
      <c r="BP109" s="3" t="str">
        <f>Respostas_Formatadas!C109</f>
        <v>Tecnologia em Saneamento Ambiental</v>
      </c>
      <c r="BQ109" s="3" t="str">
        <f>Respostas_Formatadas!AD109</f>
        <v>Era cargo comissionado, então não havia um um nome especifico para o cargo</v>
      </c>
      <c r="BR109" s="3" t="s">
        <v>1127</v>
      </c>
      <c r="BS109" s="25">
        <f t="shared" si="129"/>
        <v>1</v>
      </c>
      <c r="CY109" s="3" t="str">
        <f t="shared" si="121"/>
        <v>Tecnologia em Saneamento Ambiental</v>
      </c>
      <c r="CZ109" s="3" t="str">
        <f>Respostas_Formatadas!AP109</f>
        <v>Gerente de projetos</v>
      </c>
      <c r="DA109" s="3" t="s">
        <v>1228</v>
      </c>
      <c r="DB109" s="25">
        <f t="shared" ref="DB109:DB110" si="132">COUNTIF($DA$3:$DA$273,DA109)</f>
        <v>1</v>
      </c>
      <c r="EK109" s="3" t="s">
        <v>124</v>
      </c>
      <c r="EL109" s="3" t="str">
        <f>Respostas_Formatadas!BC109</f>
        <v>Aracaju</v>
      </c>
      <c r="EN109" s="25"/>
      <c r="MC109" s="3" t="s">
        <v>292</v>
      </c>
      <c r="MG109" s="3" t="s">
        <v>292</v>
      </c>
      <c r="MI109" s="25"/>
      <c r="MK109" s="3" t="s">
        <v>292</v>
      </c>
      <c r="OG109" s="25"/>
    </row>
    <row r="110" spans="68:397" ht="15.75" customHeight="1" x14ac:dyDescent="0.2">
      <c r="BP110" s="3" t="str">
        <f>Respostas_Formatadas!C110</f>
        <v>Bacharelado em Engenharia Civil</v>
      </c>
      <c r="BQ110" s="3" t="str">
        <f>Respostas_Formatadas!AD110</f>
        <v>Assistente tecnico de eng. Civil</v>
      </c>
      <c r="BR110" s="3" t="s">
        <v>1128</v>
      </c>
      <c r="BS110" s="25">
        <f t="shared" si="129"/>
        <v>1</v>
      </c>
      <c r="CY110" s="3" t="str">
        <f t="shared" si="121"/>
        <v>Bacharelado em Engenharia Civil</v>
      </c>
      <c r="CZ110" s="3" t="str">
        <f>Respostas_Formatadas!AP110</f>
        <v>Engenheiro civil</v>
      </c>
      <c r="DA110" s="3" t="s">
        <v>424</v>
      </c>
      <c r="DB110" s="25">
        <f t="shared" si="132"/>
        <v>14</v>
      </c>
      <c r="EK110" s="3" t="s">
        <v>119</v>
      </c>
      <c r="EN110" s="25"/>
      <c r="MC110" s="3" t="s">
        <v>1313</v>
      </c>
      <c r="MG110" s="3" t="s">
        <v>292</v>
      </c>
      <c r="MI110" s="25"/>
      <c r="MK110" s="3" t="s">
        <v>292</v>
      </c>
      <c r="OG110" s="25"/>
    </row>
    <row r="111" spans="68:397" ht="15.75" customHeight="1" x14ac:dyDescent="0.2">
      <c r="BP111" s="3" t="str">
        <f>Respostas_Formatadas!C111</f>
        <v>Licenciatura em Química</v>
      </c>
      <c r="BQ111" s="3">
        <f>Respostas_Formatadas!AD111</f>
        <v>0</v>
      </c>
      <c r="CY111" s="3" t="str">
        <f t="shared" si="121"/>
        <v>Licenciatura em Química</v>
      </c>
      <c r="CZ111" s="3">
        <f>Respostas_Formatadas!AP111</f>
        <v>0</v>
      </c>
      <c r="EK111" s="3" t="s">
        <v>121</v>
      </c>
      <c r="EN111" s="25"/>
      <c r="MC111" s="3" t="s">
        <v>586</v>
      </c>
      <c r="MG111" s="3" t="s">
        <v>292</v>
      </c>
      <c r="MI111" s="25"/>
      <c r="MK111" s="3" t="s">
        <v>1304</v>
      </c>
      <c r="OG111" s="25"/>
    </row>
    <row r="112" spans="68:397" ht="15.75" customHeight="1" x14ac:dyDescent="0.2">
      <c r="BP112" s="3" t="str">
        <f>Respostas_Formatadas!C112</f>
        <v>Tecnologia em Saneamento Ambiental</v>
      </c>
      <c r="BQ112" s="3" t="str">
        <f>Respostas_Formatadas!AD112</f>
        <v xml:space="preserve">Tecnico ambiental </v>
      </c>
      <c r="BR112" s="3" t="s">
        <v>1113</v>
      </c>
      <c r="BS112" s="25">
        <f>COUNTIF($BR$3:$BR$273,BR112)</f>
        <v>2</v>
      </c>
      <c r="CY112" s="3" t="str">
        <f t="shared" si="121"/>
        <v>Tecnologia em Saneamento Ambiental</v>
      </c>
      <c r="CZ112" s="3">
        <f>Respostas_Formatadas!AP112</f>
        <v>0</v>
      </c>
      <c r="EK112" s="3" t="s">
        <v>124</v>
      </c>
      <c r="EN112" s="25"/>
      <c r="MC112" s="3" t="s">
        <v>292</v>
      </c>
      <c r="MG112" s="3" t="s">
        <v>292</v>
      </c>
      <c r="MI112" s="25"/>
      <c r="MK112" s="3" t="s">
        <v>292</v>
      </c>
      <c r="OG112" s="25"/>
    </row>
    <row r="113" spans="68:397" ht="15.75" customHeight="1" x14ac:dyDescent="0.2">
      <c r="BP113" s="3" t="str">
        <f>Respostas_Formatadas!C113</f>
        <v>Bacharelado em Engenharia Civil</v>
      </c>
      <c r="BQ113" s="3">
        <f>Respostas_Formatadas!AD113</f>
        <v>0</v>
      </c>
      <c r="CY113" s="3" t="str">
        <f t="shared" si="121"/>
        <v>Bacharelado em Engenharia Civil</v>
      </c>
      <c r="CZ113" s="3">
        <f>Respostas_Formatadas!AP113</f>
        <v>0</v>
      </c>
      <c r="EK113" s="3" t="s">
        <v>119</v>
      </c>
      <c r="EN113" s="25"/>
      <c r="MC113" s="3" t="s">
        <v>292</v>
      </c>
      <c r="MG113" s="3" t="s">
        <v>292</v>
      </c>
      <c r="MI113" s="25"/>
      <c r="MK113" s="3" t="s">
        <v>292</v>
      </c>
      <c r="OG113" s="25"/>
    </row>
    <row r="114" spans="68:397" ht="15.75" customHeight="1" x14ac:dyDescent="0.2">
      <c r="BP114" s="3" t="str">
        <f>Respostas_Formatadas!C114</f>
        <v>Bacharelado em Sistemas de Informação</v>
      </c>
      <c r="BQ114" s="3" t="str">
        <f>Respostas_Formatadas!AD114</f>
        <v>Programador</v>
      </c>
      <c r="BR114" s="3" t="s">
        <v>563</v>
      </c>
      <c r="BS114" s="25">
        <f>COUNTIF($BR$3:$BR$273,BR114)</f>
        <v>1</v>
      </c>
      <c r="CY114" s="3" t="str">
        <f t="shared" si="121"/>
        <v>Bacharelado em Sistemas de Informação</v>
      </c>
      <c r="CZ114" s="3" t="str">
        <f>Respostas_Formatadas!AP114</f>
        <v>MicroEmpresario/Desenvolvedor</v>
      </c>
      <c r="DA114" s="3" t="s">
        <v>1229</v>
      </c>
      <c r="DB114" s="25">
        <f>COUNTIF($DA$3:$DA$273,DA114)</f>
        <v>1</v>
      </c>
      <c r="EK114" s="3" t="s">
        <v>120</v>
      </c>
      <c r="EL114" s="3" t="str">
        <f>Respostas_Formatadas!BC114</f>
        <v>Lagarto</v>
      </c>
      <c r="EN114" s="25"/>
      <c r="MC114" s="3" t="s">
        <v>659</v>
      </c>
      <c r="MG114" s="3" t="s">
        <v>659</v>
      </c>
      <c r="MI114" s="25"/>
      <c r="MK114" s="3" t="s">
        <v>291</v>
      </c>
      <c r="OG114" s="25"/>
    </row>
    <row r="115" spans="68:397" ht="15.75" customHeight="1" x14ac:dyDescent="0.2">
      <c r="BP115" s="3" t="str">
        <f>Respostas_Formatadas!C115</f>
        <v>Tecnologia em Automação Industrial</v>
      </c>
      <c r="BQ115" s="3">
        <f>Respostas_Formatadas!AD115</f>
        <v>0</v>
      </c>
      <c r="CY115" s="3" t="str">
        <f t="shared" si="121"/>
        <v>Tecnologia em Automação Industrial</v>
      </c>
      <c r="CZ115" s="3">
        <f>Respostas_Formatadas!AP115</f>
        <v>0</v>
      </c>
      <c r="EK115" s="3" t="s">
        <v>126</v>
      </c>
      <c r="EN115" s="25"/>
      <c r="MC115" s="3" t="s">
        <v>292</v>
      </c>
      <c r="MG115" s="3" t="s">
        <v>292</v>
      </c>
      <c r="MI115" s="25"/>
      <c r="MK115" s="3" t="s">
        <v>292</v>
      </c>
      <c r="OG115" s="25"/>
    </row>
    <row r="116" spans="68:397" ht="15.75" customHeight="1" x14ac:dyDescent="0.2">
      <c r="BP116" s="3" t="str">
        <f>Respostas_Formatadas!C116</f>
        <v>Tecnologia em Saneamento Ambiental</v>
      </c>
      <c r="BQ116" s="3">
        <f>Respostas_Formatadas!AD116</f>
        <v>0</v>
      </c>
      <c r="CY116" s="3" t="str">
        <f t="shared" si="121"/>
        <v>Tecnologia em Saneamento Ambiental</v>
      </c>
      <c r="CZ116" s="3">
        <f>Respostas_Formatadas!AP116</f>
        <v>0</v>
      </c>
      <c r="EK116" s="3" t="s">
        <v>124</v>
      </c>
      <c r="EN116" s="25"/>
      <c r="MC116" s="3" t="s">
        <v>292</v>
      </c>
      <c r="MG116" s="3" t="s">
        <v>292</v>
      </c>
      <c r="MI116" s="25"/>
      <c r="MK116" s="3" t="s">
        <v>292</v>
      </c>
      <c r="OG116" s="25"/>
    </row>
    <row r="117" spans="68:397" ht="15.75" customHeight="1" x14ac:dyDescent="0.2">
      <c r="BP117" s="3" t="str">
        <f>Respostas_Formatadas!C117</f>
        <v>Bacharelado em Sistemas de Informação</v>
      </c>
      <c r="BQ117" s="3" t="str">
        <f>Respostas_Formatadas!AD117</f>
        <v>Tecnico de Suporte</v>
      </c>
      <c r="BR117" s="3" t="s">
        <v>1129</v>
      </c>
      <c r="BS117" s="25">
        <f>COUNTIF($BR$3:$BR$273,BR117)</f>
        <v>1</v>
      </c>
      <c r="CY117" s="3" t="str">
        <f t="shared" si="121"/>
        <v>Bacharelado em Sistemas de Informação</v>
      </c>
      <c r="CZ117" s="3" t="str">
        <f>Respostas_Formatadas!AP117</f>
        <v>Suporte Tecnico Junior</v>
      </c>
      <c r="DA117" s="3" t="s">
        <v>1129</v>
      </c>
      <c r="DB117" s="25">
        <f>COUNTIF($DA$3:$DA$273,DA117)</f>
        <v>1</v>
      </c>
      <c r="EK117" s="3" t="s">
        <v>120</v>
      </c>
      <c r="EL117" s="3" t="str">
        <f>Respostas_Formatadas!BC117</f>
        <v>Lagarto</v>
      </c>
      <c r="EN117" s="25"/>
      <c r="MC117" s="3" t="s">
        <v>291</v>
      </c>
      <c r="MG117" s="3" t="s">
        <v>291</v>
      </c>
      <c r="MI117" s="25"/>
      <c r="MK117" s="3" t="s">
        <v>291</v>
      </c>
      <c r="OG117" s="25"/>
    </row>
    <row r="118" spans="68:397" ht="15.75" customHeight="1" x14ac:dyDescent="0.2">
      <c r="BP118" s="3" t="str">
        <f>Respostas_Formatadas!C118</f>
        <v>Bacharelado em Engenharia Civil</v>
      </c>
      <c r="BQ118" s="3">
        <f>Respostas_Formatadas!AD118</f>
        <v>0</v>
      </c>
      <c r="CY118" s="3" t="str">
        <f t="shared" si="121"/>
        <v>Bacharelado em Engenharia Civil</v>
      </c>
      <c r="CZ118" s="3">
        <f>Respostas_Formatadas!AP118</f>
        <v>0</v>
      </c>
      <c r="EK118" s="3" t="s">
        <v>119</v>
      </c>
      <c r="EN118" s="25"/>
      <c r="MC118" s="3" t="s">
        <v>1298</v>
      </c>
      <c r="MG118" s="3" t="s">
        <v>292</v>
      </c>
      <c r="MI118" s="25"/>
      <c r="MK118" s="3" t="s">
        <v>1298</v>
      </c>
      <c r="OG118" s="25"/>
    </row>
    <row r="119" spans="68:397" ht="15.75" customHeight="1" x14ac:dyDescent="0.2">
      <c r="BP119" s="3" t="str">
        <f>Respostas_Formatadas!C119</f>
        <v>Tecnologia em Gestão de Turismo</v>
      </c>
      <c r="BQ119" s="3">
        <f>Respostas_Formatadas!AD119</f>
        <v>0</v>
      </c>
      <c r="CY119" s="3" t="str">
        <f t="shared" si="121"/>
        <v>Tecnologia em Gestão de Turismo</v>
      </c>
      <c r="CZ119" s="3">
        <f>Respostas_Formatadas!AP119</f>
        <v>0</v>
      </c>
      <c r="EK119" s="3" t="s">
        <v>125</v>
      </c>
      <c r="EN119" s="25"/>
      <c r="MC119" s="3" t="s">
        <v>292</v>
      </c>
      <c r="MG119" s="3" t="s">
        <v>292</v>
      </c>
      <c r="MI119" s="25"/>
      <c r="MK119" s="3" t="s">
        <v>292</v>
      </c>
      <c r="OG119" s="25"/>
    </row>
    <row r="120" spans="68:397" ht="15.75" customHeight="1" x14ac:dyDescent="0.2">
      <c r="BP120" s="3" t="str">
        <f>Respostas_Formatadas!C120</f>
        <v>Tecnologia em Saneamento Ambiental</v>
      </c>
      <c r="BQ120" s="3" t="str">
        <f>Respostas_Formatadas!AD120</f>
        <v>Tecnologo em Saneamento Ambiental</v>
      </c>
      <c r="BR120" s="3" t="s">
        <v>1124</v>
      </c>
      <c r="BS120" s="25">
        <f>COUNTIF($BR$3:$BR$273,BR120)</f>
        <v>3</v>
      </c>
      <c r="CY120" s="3" t="str">
        <f t="shared" si="121"/>
        <v>Tecnologia em Saneamento Ambiental</v>
      </c>
      <c r="CZ120" s="3" t="str">
        <f>Respostas_Formatadas!AP120</f>
        <v>Tecnologo em Saneamento Ambiental</v>
      </c>
      <c r="DA120" s="3" t="s">
        <v>1124</v>
      </c>
      <c r="DB120" s="25">
        <f>COUNTIF($DA$3:$DA$273,DA120)</f>
        <v>1</v>
      </c>
      <c r="EK120" s="3" t="s">
        <v>124</v>
      </c>
      <c r="EL120" s="3" t="str">
        <f>Respostas_Formatadas!BC120</f>
        <v>Propriá</v>
      </c>
      <c r="EN120" s="25"/>
      <c r="MC120" s="3" t="s">
        <v>358</v>
      </c>
      <c r="MG120" s="3" t="s">
        <v>358</v>
      </c>
      <c r="MI120" s="25"/>
      <c r="MK120" s="3" t="s">
        <v>358</v>
      </c>
      <c r="OG120" s="25"/>
    </row>
    <row r="121" spans="68:397" ht="15.75" customHeight="1" x14ac:dyDescent="0.2">
      <c r="BP121" s="3" t="str">
        <f>Respostas_Formatadas!C121</f>
        <v>Licenciatura em Química</v>
      </c>
      <c r="BQ121" s="3">
        <f>Respostas_Formatadas!AD121</f>
        <v>0</v>
      </c>
      <c r="CY121" s="3" t="str">
        <f t="shared" si="121"/>
        <v>Licenciatura em Química</v>
      </c>
      <c r="CZ121" s="3">
        <f>Respostas_Formatadas!AP121</f>
        <v>0</v>
      </c>
      <c r="EK121" s="3" t="s">
        <v>121</v>
      </c>
      <c r="EN121" s="25"/>
      <c r="MC121" s="3" t="s">
        <v>292</v>
      </c>
      <c r="MG121" s="3" t="s">
        <v>292</v>
      </c>
      <c r="MI121" s="25"/>
      <c r="MK121" s="3" t="s">
        <v>292</v>
      </c>
      <c r="OG121" s="25"/>
    </row>
    <row r="122" spans="68:397" ht="15.75" customHeight="1" x14ac:dyDescent="0.2">
      <c r="BP122" s="3" t="str">
        <f>Respostas_Formatadas!C122</f>
        <v>Licenciatura em Física</v>
      </c>
      <c r="BQ122" s="3">
        <f>Respostas_Formatadas!AD122</f>
        <v>0</v>
      </c>
      <c r="CY122" s="3" t="str">
        <f t="shared" si="121"/>
        <v>Licenciatura em Física</v>
      </c>
      <c r="CZ122" s="3">
        <f>Respostas_Formatadas!AP122</f>
        <v>0</v>
      </c>
      <c r="EK122" s="3" t="s">
        <v>123</v>
      </c>
      <c r="EN122" s="25"/>
      <c r="MC122" s="3" t="s">
        <v>659</v>
      </c>
      <c r="MG122" s="3" t="s">
        <v>659</v>
      </c>
      <c r="MI122" s="25"/>
      <c r="MK122" s="3" t="s">
        <v>292</v>
      </c>
      <c r="OG122" s="25"/>
    </row>
    <row r="123" spans="68:397" ht="15.75" customHeight="1" x14ac:dyDescent="0.2">
      <c r="BP123" s="3" t="str">
        <f>Respostas_Formatadas!C123</f>
        <v>Licenciatura em Física</v>
      </c>
      <c r="BQ123" s="3">
        <f>Respostas_Formatadas!AD123</f>
        <v>0</v>
      </c>
      <c r="CY123" s="3" t="str">
        <f t="shared" si="121"/>
        <v>Licenciatura em Física</v>
      </c>
      <c r="CZ123" s="3">
        <f>Respostas_Formatadas!AP123</f>
        <v>0</v>
      </c>
      <c r="EK123" s="3" t="s">
        <v>123</v>
      </c>
      <c r="EN123" s="25"/>
      <c r="MC123" s="3" t="s">
        <v>325</v>
      </c>
      <c r="MG123" s="3" t="s">
        <v>291</v>
      </c>
      <c r="MI123" s="25"/>
      <c r="MK123" s="3" t="s">
        <v>292</v>
      </c>
      <c r="OG123" s="25"/>
    </row>
    <row r="124" spans="68:397" ht="15.75" customHeight="1" x14ac:dyDescent="0.2">
      <c r="BP124" s="3" t="str">
        <f>Respostas_Formatadas!C124</f>
        <v>Licenciatura em Física</v>
      </c>
      <c r="BQ124" s="3">
        <f>Respostas_Formatadas!AD124</f>
        <v>0</v>
      </c>
      <c r="CY124" s="3" t="str">
        <f t="shared" si="121"/>
        <v>Licenciatura em Física</v>
      </c>
      <c r="CZ124" s="3">
        <f>Respostas_Formatadas!AP124</f>
        <v>0</v>
      </c>
      <c r="EK124" s="3" t="s">
        <v>123</v>
      </c>
      <c r="EN124" s="25"/>
      <c r="MC124" s="3" t="s">
        <v>291</v>
      </c>
      <c r="MG124" s="3" t="s">
        <v>291</v>
      </c>
      <c r="MI124" s="25"/>
      <c r="MK124" s="3" t="s">
        <v>291</v>
      </c>
      <c r="OG124" s="25"/>
    </row>
    <row r="125" spans="68:397" ht="15.75" customHeight="1" x14ac:dyDescent="0.2">
      <c r="BP125" s="3" t="str">
        <f>Respostas_Formatadas!C125</f>
        <v>Licenciatura em Física</v>
      </c>
      <c r="BQ125" s="3" t="str">
        <f>Respostas_Formatadas!AD125</f>
        <v xml:space="preserve">Assistente administrativo </v>
      </c>
      <c r="BR125" s="3" t="s">
        <v>541</v>
      </c>
      <c r="BS125" s="25">
        <f>COUNTIF($BR$3:$BR$273,BR125)</f>
        <v>7</v>
      </c>
      <c r="CY125" s="3" t="str">
        <f t="shared" si="121"/>
        <v>Licenciatura em Física</v>
      </c>
      <c r="CZ125" s="3" t="str">
        <f>Respostas_Formatadas!AP125</f>
        <v xml:space="preserve">Assistente administrativo </v>
      </c>
      <c r="DA125" s="3" t="s">
        <v>391</v>
      </c>
      <c r="DB125" s="25">
        <f>COUNTIF($DA$3:$DA$273,DA125)</f>
        <v>3</v>
      </c>
      <c r="EK125" s="3" t="s">
        <v>123</v>
      </c>
      <c r="EL125" s="3" t="str">
        <f>Respostas_Formatadas!BC125</f>
        <v>Lagarto</v>
      </c>
      <c r="EN125" s="25"/>
      <c r="MC125" s="3" t="s">
        <v>291</v>
      </c>
      <c r="MG125" s="3" t="s">
        <v>291</v>
      </c>
      <c r="MI125" s="25"/>
      <c r="MK125" s="3" t="s">
        <v>291</v>
      </c>
      <c r="OG125" s="25"/>
    </row>
    <row r="126" spans="68:397" ht="15.75" customHeight="1" x14ac:dyDescent="0.2">
      <c r="BP126" s="3" t="str">
        <f>Respostas_Formatadas!C126</f>
        <v>Licenciatura em Física</v>
      </c>
      <c r="BQ126" s="3">
        <f>Respostas_Formatadas!AD126</f>
        <v>0</v>
      </c>
      <c r="CY126" s="3" t="str">
        <f t="shared" si="121"/>
        <v>Licenciatura em Física</v>
      </c>
      <c r="CZ126" s="3">
        <f>Respostas_Formatadas!AP126</f>
        <v>0</v>
      </c>
      <c r="EK126" s="3" t="s">
        <v>123</v>
      </c>
      <c r="EN126" s="25"/>
      <c r="MC126" s="3" t="s">
        <v>291</v>
      </c>
      <c r="MG126" s="3" t="s">
        <v>291</v>
      </c>
      <c r="MI126" s="25"/>
      <c r="MK126" s="3" t="s">
        <v>291</v>
      </c>
      <c r="OG126" s="25"/>
    </row>
    <row r="127" spans="68:397" ht="15.75" customHeight="1" x14ac:dyDescent="0.2">
      <c r="BP127" s="3" t="str">
        <f>Respostas_Formatadas!C127</f>
        <v>Licenciatura em Química</v>
      </c>
      <c r="BQ127" s="3">
        <f>Respostas_Formatadas!AD127</f>
        <v>0</v>
      </c>
      <c r="CY127" s="3" t="str">
        <f t="shared" si="121"/>
        <v>Licenciatura em Química</v>
      </c>
      <c r="CZ127" s="3">
        <f>Respostas_Formatadas!AP127</f>
        <v>0</v>
      </c>
      <c r="EK127" s="3" t="s">
        <v>121</v>
      </c>
      <c r="EN127" s="25"/>
      <c r="MC127" s="3" t="s">
        <v>292</v>
      </c>
      <c r="MG127" s="3" t="s">
        <v>292</v>
      </c>
      <c r="MI127" s="25"/>
      <c r="MK127" s="3" t="s">
        <v>616</v>
      </c>
      <c r="OG127" s="25"/>
    </row>
    <row r="128" spans="68:397" ht="15.75" customHeight="1" x14ac:dyDescent="0.2">
      <c r="BP128" s="3" t="str">
        <f>Respostas_Formatadas!C128</f>
        <v>Tecnologia em Saneamento Ambiental</v>
      </c>
      <c r="BQ128" s="3" t="str">
        <f>Respostas_Formatadas!AD128</f>
        <v>Assistente em Administração</v>
      </c>
      <c r="BR128" s="3" t="s">
        <v>391</v>
      </c>
      <c r="BS128" s="25">
        <f>COUNTIF($BR$3:$BR$273,BR128)</f>
        <v>1</v>
      </c>
      <c r="CY128" s="3" t="str">
        <f t="shared" si="121"/>
        <v>Tecnologia em Saneamento Ambiental</v>
      </c>
      <c r="CZ128" s="3" t="str">
        <f>Respostas_Formatadas!AP128</f>
        <v>Assistente em Administração</v>
      </c>
      <c r="DA128" s="3" t="s">
        <v>391</v>
      </c>
      <c r="DB128" s="25">
        <f>COUNTIF($DA$3:$DA$273,DA128)</f>
        <v>3</v>
      </c>
      <c r="EK128" s="3" t="s">
        <v>124</v>
      </c>
      <c r="EL128" s="3" t="str">
        <f>Respostas_Formatadas!BC128</f>
        <v>São Cristóvão</v>
      </c>
      <c r="EN128" s="25"/>
      <c r="MC128" s="3" t="s">
        <v>292</v>
      </c>
      <c r="MG128" s="3" t="s">
        <v>292</v>
      </c>
      <c r="MI128" s="25"/>
      <c r="MK128" s="3" t="s">
        <v>292</v>
      </c>
      <c r="OG128" s="25"/>
    </row>
    <row r="129" spans="68:397" ht="15.75" customHeight="1" x14ac:dyDescent="0.2">
      <c r="BP129" s="3" t="str">
        <f>Respostas_Formatadas!C129</f>
        <v>Bacharelado em Engenharia Civil</v>
      </c>
      <c r="BQ129" s="3">
        <f>Respostas_Formatadas!AD129</f>
        <v>0</v>
      </c>
      <c r="CY129" s="3" t="str">
        <f t="shared" si="121"/>
        <v>Bacharelado em Engenharia Civil</v>
      </c>
      <c r="CZ129" s="3">
        <f>Respostas_Formatadas!AP129</f>
        <v>0</v>
      </c>
      <c r="EK129" s="3" t="s">
        <v>119</v>
      </c>
      <c r="EN129" s="25"/>
      <c r="MC129" s="3" t="s">
        <v>358</v>
      </c>
      <c r="MG129" s="3" t="s">
        <v>358</v>
      </c>
      <c r="MI129" s="25"/>
      <c r="MK129" s="3" t="s">
        <v>292</v>
      </c>
      <c r="OG129" s="25"/>
    </row>
    <row r="130" spans="68:397" ht="15.75" customHeight="1" x14ac:dyDescent="0.2">
      <c r="BP130" s="3" t="str">
        <f>Respostas_Formatadas!C130</f>
        <v>Bacharelado em Engenharia Civil</v>
      </c>
      <c r="BQ130" s="3" t="str">
        <f>Respostas_Formatadas!AD130</f>
        <v>Consultor de negócios</v>
      </c>
      <c r="BR130" s="3" t="s">
        <v>1130</v>
      </c>
      <c r="BS130" s="25">
        <f t="shared" ref="BS130:BS134" si="133">COUNTIF($BR$3:$BR$273,BR130)</f>
        <v>1</v>
      </c>
      <c r="CY130" s="3" t="str">
        <f t="shared" si="121"/>
        <v>Bacharelado em Engenharia Civil</v>
      </c>
      <c r="CZ130" s="3" t="str">
        <f>Respostas_Formatadas!AP130</f>
        <v>Autônomo</v>
      </c>
      <c r="DA130" s="3" t="s">
        <v>623</v>
      </c>
      <c r="DB130" s="25">
        <f t="shared" ref="DB130:DB134" si="134">COUNTIF($DA$3:$DA$273,DA130)</f>
        <v>1</v>
      </c>
      <c r="EK130" s="3" t="s">
        <v>119</v>
      </c>
      <c r="EN130" s="25"/>
      <c r="MC130" s="3" t="s">
        <v>292</v>
      </c>
      <c r="MG130" s="3" t="s">
        <v>292</v>
      </c>
      <c r="MI130" s="25"/>
      <c r="MK130" s="3" t="s">
        <v>292</v>
      </c>
      <c r="OG130" s="25"/>
    </row>
    <row r="131" spans="68:397" ht="15.75" customHeight="1" x14ac:dyDescent="0.2">
      <c r="BP131" s="3" t="str">
        <f>Respostas_Formatadas!C131</f>
        <v>Bacharelado em Engenharia Civil</v>
      </c>
      <c r="BQ131" s="3" t="str">
        <f>Respostas_Formatadas!AD131</f>
        <v>Engenheiro Civil</v>
      </c>
      <c r="BR131" s="3" t="s">
        <v>424</v>
      </c>
      <c r="BS131" s="25">
        <f t="shared" si="133"/>
        <v>8</v>
      </c>
      <c r="CY131" s="3" t="str">
        <f t="shared" si="121"/>
        <v>Bacharelado em Engenharia Civil</v>
      </c>
      <c r="CZ131" s="3" t="str">
        <f>Respostas_Formatadas!AP131</f>
        <v>Engenheiro trainee</v>
      </c>
      <c r="DA131" s="3" t="s">
        <v>1230</v>
      </c>
      <c r="DB131" s="25">
        <f t="shared" si="134"/>
        <v>1</v>
      </c>
      <c r="EK131" s="3" t="s">
        <v>119</v>
      </c>
      <c r="EL131" s="3" t="str">
        <f>Respostas_Formatadas!BC131</f>
        <v>Aracaju</v>
      </c>
      <c r="EN131" s="25"/>
      <c r="MC131" s="3" t="s">
        <v>627</v>
      </c>
      <c r="MG131" s="3" t="s">
        <v>292</v>
      </c>
      <c r="MI131" s="25"/>
      <c r="MK131" s="3" t="s">
        <v>292</v>
      </c>
      <c r="OG131" s="25"/>
    </row>
    <row r="132" spans="68:397" ht="15.75" customHeight="1" x14ac:dyDescent="0.2">
      <c r="BP132" s="3" t="str">
        <f>Respostas_Formatadas!C132</f>
        <v>Licenciatura em Matemática</v>
      </c>
      <c r="BQ132" s="3" t="str">
        <f>Respostas_Formatadas!AD132</f>
        <v>Professor</v>
      </c>
      <c r="BR132" s="3" t="s">
        <v>388</v>
      </c>
      <c r="BS132" s="25">
        <f t="shared" si="133"/>
        <v>31</v>
      </c>
      <c r="CY132" s="3" t="str">
        <f t="shared" ref="CY132:CY195" si="135">BP132</f>
        <v>Licenciatura em Matemática</v>
      </c>
      <c r="CZ132" s="3" t="str">
        <f>Respostas_Formatadas!AP132</f>
        <v>Professor</v>
      </c>
      <c r="DA132" s="3" t="s">
        <v>388</v>
      </c>
      <c r="DB132" s="25">
        <f t="shared" si="134"/>
        <v>26</v>
      </c>
      <c r="EK132" s="3" t="s">
        <v>122</v>
      </c>
      <c r="EL132" s="3" t="str">
        <f>Respostas_Formatadas!BC132</f>
        <v>Aracaju</v>
      </c>
      <c r="EN132" s="25"/>
      <c r="MC132" s="3" t="s">
        <v>292</v>
      </c>
      <c r="MG132" s="3" t="s">
        <v>292</v>
      </c>
      <c r="MI132" s="25"/>
      <c r="MK132" s="3" t="s">
        <v>292</v>
      </c>
      <c r="OG132" s="25"/>
    </row>
    <row r="133" spans="68:397" ht="15.75" customHeight="1" x14ac:dyDescent="0.2">
      <c r="BP133" s="3" t="str">
        <f>Respostas_Formatadas!C133</f>
        <v>Bacharelado em Engenharia Civil</v>
      </c>
      <c r="BQ133" s="3" t="str">
        <f>Respostas_Formatadas!AD133</f>
        <v>Engenheiro civil</v>
      </c>
      <c r="BR133" s="3" t="s">
        <v>424</v>
      </c>
      <c r="BS133" s="25">
        <f t="shared" si="133"/>
        <v>8</v>
      </c>
      <c r="CY133" s="3" t="str">
        <f t="shared" si="135"/>
        <v>Bacharelado em Engenharia Civil</v>
      </c>
      <c r="CZ133" s="3" t="str">
        <f>Respostas_Formatadas!AP133</f>
        <v>Engenheiro civil</v>
      </c>
      <c r="DA133" s="3" t="s">
        <v>424</v>
      </c>
      <c r="DB133" s="25">
        <f t="shared" si="134"/>
        <v>14</v>
      </c>
      <c r="EK133" s="3" t="s">
        <v>119</v>
      </c>
      <c r="EL133" s="3" t="str">
        <f>Respostas_Formatadas!BC133</f>
        <v>Riachão do Jacuípe - BA</v>
      </c>
      <c r="EN133" s="25"/>
      <c r="MC133" s="3" t="s">
        <v>1314</v>
      </c>
      <c r="MG133" s="3" t="s">
        <v>292</v>
      </c>
      <c r="MI133" s="25"/>
      <c r="MK133" s="3" t="s">
        <v>292</v>
      </c>
      <c r="OG133" s="25"/>
    </row>
    <row r="134" spans="68:397" ht="15.75" customHeight="1" x14ac:dyDescent="0.2">
      <c r="BP134" s="3" t="str">
        <f>Respostas_Formatadas!C134</f>
        <v>Licenciatura em Química</v>
      </c>
      <c r="BQ134" s="3" t="str">
        <f>Respostas_Formatadas!AD134</f>
        <v>Professor</v>
      </c>
      <c r="BR134" s="3" t="s">
        <v>388</v>
      </c>
      <c r="BS134" s="25">
        <f t="shared" si="133"/>
        <v>31</v>
      </c>
      <c r="CY134" s="3" t="str">
        <f t="shared" si="135"/>
        <v>Licenciatura em Química</v>
      </c>
      <c r="CZ134" s="3" t="str">
        <f>Respostas_Formatadas!AP134</f>
        <v>Professor</v>
      </c>
      <c r="DA134" s="3" t="s">
        <v>388</v>
      </c>
      <c r="DB134" s="25">
        <f t="shared" si="134"/>
        <v>26</v>
      </c>
      <c r="EK134" s="3" t="s">
        <v>121</v>
      </c>
      <c r="EL134" s="3" t="str">
        <f>Respostas_Formatadas!BC134</f>
        <v>Aracaju</v>
      </c>
      <c r="EN134" s="25"/>
      <c r="MC134" s="3" t="s">
        <v>358</v>
      </c>
      <c r="MG134" s="3" t="s">
        <v>358</v>
      </c>
      <c r="MI134" s="25"/>
      <c r="MK134" s="3" t="s">
        <v>358</v>
      </c>
      <c r="OG134" s="25"/>
    </row>
    <row r="135" spans="68:397" ht="15.75" customHeight="1" x14ac:dyDescent="0.2">
      <c r="BP135" s="3" t="str">
        <f>Respostas_Formatadas!C135</f>
        <v>Tecnologia em Automação Industrial</v>
      </c>
      <c r="BQ135" s="3">
        <f>Respostas_Formatadas!AD135</f>
        <v>0</v>
      </c>
      <c r="CY135" s="3" t="str">
        <f t="shared" si="135"/>
        <v>Tecnologia em Automação Industrial</v>
      </c>
      <c r="CZ135" s="3">
        <f>Respostas_Formatadas!AP135</f>
        <v>0</v>
      </c>
      <c r="EK135" s="3" t="s">
        <v>126</v>
      </c>
      <c r="EN135" s="25"/>
      <c r="MC135" s="3" t="s">
        <v>291</v>
      </c>
      <c r="MG135" s="3" t="s">
        <v>291</v>
      </c>
      <c r="MI135" s="25"/>
      <c r="MK135" s="3" t="s">
        <v>291</v>
      </c>
      <c r="OG135" s="25"/>
    </row>
    <row r="136" spans="68:397" ht="15.75" customHeight="1" x14ac:dyDescent="0.2">
      <c r="BP136" s="3" t="str">
        <f>Respostas_Formatadas!C136</f>
        <v>Tecnologia em Saneamento Ambiental</v>
      </c>
      <c r="BQ136" s="3">
        <f>Respostas_Formatadas!AD136</f>
        <v>0</v>
      </c>
      <c r="CY136" s="3" t="str">
        <f t="shared" si="135"/>
        <v>Tecnologia em Saneamento Ambiental</v>
      </c>
      <c r="CZ136" s="3">
        <f>Respostas_Formatadas!AP136</f>
        <v>0</v>
      </c>
      <c r="EK136" s="3" t="s">
        <v>124</v>
      </c>
      <c r="EN136" s="25"/>
      <c r="MC136" s="3" t="s">
        <v>292</v>
      </c>
      <c r="MG136" s="3" t="s">
        <v>292</v>
      </c>
      <c r="MI136" s="25"/>
      <c r="MK136" s="3" t="s">
        <v>292</v>
      </c>
      <c r="OG136" s="25"/>
    </row>
    <row r="137" spans="68:397" ht="15.75" customHeight="1" x14ac:dyDescent="0.2">
      <c r="BP137" s="3" t="str">
        <f>Respostas_Formatadas!C137</f>
        <v>Bacharelado em Engenharia Civil</v>
      </c>
      <c r="BQ137" s="3">
        <f>Respostas_Formatadas!AD137</f>
        <v>0</v>
      </c>
      <c r="CY137" s="3" t="str">
        <f t="shared" si="135"/>
        <v>Bacharelado em Engenharia Civil</v>
      </c>
      <c r="CZ137" s="3">
        <f>Respostas_Formatadas!AP137</f>
        <v>0</v>
      </c>
      <c r="EK137" s="3" t="s">
        <v>119</v>
      </c>
      <c r="EN137" s="25"/>
      <c r="MC137" s="3" t="s">
        <v>292</v>
      </c>
      <c r="MG137" s="3" t="s">
        <v>292</v>
      </c>
      <c r="MI137" s="25"/>
      <c r="MK137" s="3" t="s">
        <v>754</v>
      </c>
      <c r="OG137" s="25"/>
    </row>
    <row r="138" spans="68:397" ht="15.75" customHeight="1" x14ac:dyDescent="0.2">
      <c r="BP138" s="3" t="str">
        <f>Respostas_Formatadas!C138</f>
        <v>Licenciatura em Química</v>
      </c>
      <c r="BQ138" s="3">
        <f>Respostas_Formatadas!AD138</f>
        <v>0</v>
      </c>
      <c r="CY138" s="3" t="str">
        <f t="shared" si="135"/>
        <v>Licenciatura em Química</v>
      </c>
      <c r="CZ138" s="3">
        <f>Respostas_Formatadas!AP138</f>
        <v>0</v>
      </c>
      <c r="EK138" s="3" t="s">
        <v>121</v>
      </c>
      <c r="EN138" s="25"/>
      <c r="MC138" s="3" t="s">
        <v>648</v>
      </c>
      <c r="MG138" s="3" t="s">
        <v>292</v>
      </c>
      <c r="MI138" s="25"/>
      <c r="MK138" s="3" t="s">
        <v>292</v>
      </c>
      <c r="OG138" s="25"/>
    </row>
    <row r="139" spans="68:397" ht="15.75" customHeight="1" x14ac:dyDescent="0.2">
      <c r="BP139" s="3" t="str">
        <f>Respostas_Formatadas!C139</f>
        <v>Tecnologia em Saneamento Ambiental</v>
      </c>
      <c r="BQ139" s="3" t="str">
        <f>Respostas_Formatadas!AD139</f>
        <v>Empregado Público</v>
      </c>
      <c r="BR139" s="3" t="s">
        <v>1131</v>
      </c>
      <c r="BS139" s="25">
        <f t="shared" ref="BS139:BS140" si="136">COUNTIF($BR$3:$BR$273,BR139)</f>
        <v>2</v>
      </c>
      <c r="CY139" s="3" t="str">
        <f t="shared" si="135"/>
        <v>Tecnologia em Saneamento Ambiental</v>
      </c>
      <c r="CZ139" s="3" t="str">
        <f>Respostas_Formatadas!AP139</f>
        <v>Empregado Público</v>
      </c>
      <c r="DA139" s="3" t="s">
        <v>1131</v>
      </c>
      <c r="DB139" s="25">
        <f t="shared" ref="DB139:DB140" si="137">COUNTIF($DA$3:$DA$273,DA139)</f>
        <v>1</v>
      </c>
      <c r="EK139" s="3" t="s">
        <v>124</v>
      </c>
      <c r="EL139" s="3" t="str">
        <f>Respostas_Formatadas!BC139</f>
        <v>Cumbe</v>
      </c>
      <c r="EN139" s="25"/>
      <c r="MC139" s="3" t="s">
        <v>645</v>
      </c>
      <c r="MG139" s="3" t="s">
        <v>645</v>
      </c>
      <c r="MI139" s="25"/>
      <c r="MK139" s="3" t="s">
        <v>645</v>
      </c>
      <c r="OG139" s="25"/>
    </row>
    <row r="140" spans="68:397" ht="15.75" customHeight="1" x14ac:dyDescent="0.2">
      <c r="BP140" s="3" t="str">
        <f>Respostas_Formatadas!C140</f>
        <v>Tecnologia em Agroecologia</v>
      </c>
      <c r="BQ140" s="3" t="str">
        <f>Respostas_Formatadas!AD140</f>
        <v>Rescenseador</v>
      </c>
      <c r="BR140" s="3" t="s">
        <v>1132</v>
      </c>
      <c r="BS140" s="25">
        <f t="shared" si="136"/>
        <v>1</v>
      </c>
      <c r="CY140" s="3" t="str">
        <f t="shared" si="135"/>
        <v>Tecnologia em Agroecologia</v>
      </c>
      <c r="CZ140" s="3" t="str">
        <f>Respostas_Formatadas!AP140</f>
        <v>Vendedor</v>
      </c>
      <c r="DA140" s="3" t="s">
        <v>506</v>
      </c>
      <c r="DB140" s="25">
        <f t="shared" si="137"/>
        <v>3</v>
      </c>
      <c r="EK140" s="3" t="s">
        <v>130</v>
      </c>
      <c r="EL140" s="3" t="str">
        <f>Respostas_Formatadas!BC140</f>
        <v>Aracaju</v>
      </c>
      <c r="EN140" s="25"/>
      <c r="MC140" s="3" t="s">
        <v>292</v>
      </c>
      <c r="MG140" s="3" t="s">
        <v>292</v>
      </c>
      <c r="MI140" s="25"/>
      <c r="MK140" s="3" t="s">
        <v>292</v>
      </c>
      <c r="OG140" s="25"/>
    </row>
    <row r="141" spans="68:397" ht="15.75" customHeight="1" x14ac:dyDescent="0.2">
      <c r="BP141" s="3" t="str">
        <f>Respostas_Formatadas!C141</f>
        <v>Tecnologia em Gestão de Turismo</v>
      </c>
      <c r="BQ141" s="3">
        <f>Respostas_Formatadas!AD141</f>
        <v>0</v>
      </c>
      <c r="CY141" s="3" t="str">
        <f t="shared" si="135"/>
        <v>Tecnologia em Gestão de Turismo</v>
      </c>
      <c r="CZ141" s="3">
        <f>Respostas_Formatadas!AP141</f>
        <v>0</v>
      </c>
      <c r="EK141" s="3" t="s">
        <v>125</v>
      </c>
      <c r="EN141" s="25"/>
      <c r="MC141" s="3" t="s">
        <v>648</v>
      </c>
      <c r="MG141" s="3" t="s">
        <v>292</v>
      </c>
      <c r="MI141" s="25"/>
      <c r="MK141" s="3" t="s">
        <v>292</v>
      </c>
      <c r="OG141" s="25"/>
    </row>
    <row r="142" spans="68:397" ht="15.75" customHeight="1" x14ac:dyDescent="0.2">
      <c r="BP142" s="3" t="str">
        <f>Respostas_Formatadas!C142</f>
        <v>Tecnologia em Laticínios</v>
      </c>
      <c r="BQ142" s="3" t="str">
        <f>Respostas_Formatadas!AD142</f>
        <v>Auxiliar de controle da qualidade</v>
      </c>
      <c r="BR142" s="3" t="s">
        <v>1133</v>
      </c>
      <c r="BS142" s="25">
        <f t="shared" ref="BS142:BS143" si="138">COUNTIF($BR$3:$BR$273,BR142)</f>
        <v>2</v>
      </c>
      <c r="CY142" s="3" t="str">
        <f t="shared" si="135"/>
        <v>Tecnologia em Laticínios</v>
      </c>
      <c r="CZ142" s="3" t="str">
        <f>Respostas_Formatadas!AP142</f>
        <v>Garantia da Qualidade</v>
      </c>
      <c r="DA142" s="3" t="s">
        <v>1133</v>
      </c>
      <c r="DB142" s="25">
        <f t="shared" ref="DB142:DB143" si="139">COUNTIF($DA$3:$DA$273,DA142)</f>
        <v>1</v>
      </c>
      <c r="EK142" s="3" t="s">
        <v>128</v>
      </c>
      <c r="EL142" s="3" t="str">
        <f>Respostas_Formatadas!BC142</f>
        <v>Nossa Senhora da Glória</v>
      </c>
      <c r="EN142" s="25"/>
      <c r="MC142" s="3" t="s">
        <v>328</v>
      </c>
      <c r="MG142" s="3" t="s">
        <v>328</v>
      </c>
      <c r="MI142" s="25"/>
      <c r="MK142" s="3" t="s">
        <v>328</v>
      </c>
      <c r="OG142" s="25"/>
    </row>
    <row r="143" spans="68:397" ht="15.75" customHeight="1" x14ac:dyDescent="0.2">
      <c r="BP143" s="3" t="str">
        <f>Respostas_Formatadas!C143</f>
        <v>Tecnologia em Laticínios</v>
      </c>
      <c r="BQ143" s="3" t="str">
        <f>Respostas_Formatadas!AD143</f>
        <v>Auxiliar administrativo</v>
      </c>
      <c r="BR143" s="3" t="s">
        <v>326</v>
      </c>
      <c r="BS143" s="25">
        <f t="shared" si="138"/>
        <v>7</v>
      </c>
      <c r="CY143" s="3" t="str">
        <f t="shared" si="135"/>
        <v>Tecnologia em Laticínios</v>
      </c>
      <c r="CZ143" s="3" t="str">
        <f>Respostas_Formatadas!AP143</f>
        <v>Auxiliar administrativo</v>
      </c>
      <c r="DA143" s="3" t="s">
        <v>326</v>
      </c>
      <c r="DB143" s="25">
        <f t="shared" si="139"/>
        <v>3</v>
      </c>
      <c r="EK143" s="3" t="s">
        <v>128</v>
      </c>
      <c r="EL143" s="3" t="str">
        <f>Respostas_Formatadas!BC143</f>
        <v>Nossa Senhora da Glória</v>
      </c>
      <c r="EN143" s="25"/>
      <c r="MC143" s="3" t="s">
        <v>328</v>
      </c>
      <c r="MG143" s="3" t="s">
        <v>328</v>
      </c>
      <c r="MI143" s="25"/>
      <c r="MK143" s="3" t="s">
        <v>328</v>
      </c>
      <c r="OG143" s="25"/>
    </row>
    <row r="144" spans="68:397" ht="15.75" customHeight="1" x14ac:dyDescent="0.2">
      <c r="BP144" s="3" t="str">
        <f>Respostas_Formatadas!C144</f>
        <v>Bacharelado em Engenharia Civil</v>
      </c>
      <c r="BQ144" s="3">
        <f>Respostas_Formatadas!AD144</f>
        <v>0</v>
      </c>
      <c r="CY144" s="3" t="str">
        <f t="shared" si="135"/>
        <v>Bacharelado em Engenharia Civil</v>
      </c>
      <c r="CZ144" s="3">
        <f>Respostas_Formatadas!AP144</f>
        <v>0</v>
      </c>
      <c r="EK144" s="3" t="s">
        <v>119</v>
      </c>
      <c r="EN144" s="25"/>
      <c r="MC144" s="3" t="s">
        <v>292</v>
      </c>
      <c r="MG144" s="3" t="s">
        <v>292</v>
      </c>
      <c r="MI144" s="25"/>
      <c r="MK144" s="3" t="s">
        <v>1305</v>
      </c>
      <c r="OG144" s="25"/>
    </row>
    <row r="145" spans="68:397" ht="15.75" customHeight="1" x14ac:dyDescent="0.2">
      <c r="BP145" s="3" t="str">
        <f>Respostas_Formatadas!C145</f>
        <v>Bacharelado em Engenharia Civil</v>
      </c>
      <c r="BQ145" s="3" t="str">
        <f>Respostas_Formatadas!AD145</f>
        <v>Assistente de Engenharia</v>
      </c>
      <c r="BR145" s="3" t="s">
        <v>657</v>
      </c>
      <c r="BS145" s="25">
        <f>COUNTIF($BR$3:$BR$273,BR145)</f>
        <v>2</v>
      </c>
      <c r="CY145" s="3" t="str">
        <f t="shared" si="135"/>
        <v>Bacharelado em Engenharia Civil</v>
      </c>
      <c r="CZ145" s="3">
        <f>Respostas_Formatadas!AP145</f>
        <v>0</v>
      </c>
      <c r="EK145" s="3" t="s">
        <v>119</v>
      </c>
      <c r="EN145" s="25"/>
      <c r="MC145" s="3" t="s">
        <v>292</v>
      </c>
      <c r="MG145" s="3" t="s">
        <v>292</v>
      </c>
      <c r="MI145" s="25"/>
      <c r="MK145" s="3" t="s">
        <v>292</v>
      </c>
      <c r="OG145" s="25"/>
    </row>
    <row r="146" spans="68:397" ht="15.75" customHeight="1" x14ac:dyDescent="0.2">
      <c r="BP146" s="3" t="str">
        <f>Respostas_Formatadas!C146</f>
        <v>Licenciatura em Física</v>
      </c>
      <c r="BQ146" s="3">
        <f>Respostas_Formatadas!AD146</f>
        <v>0</v>
      </c>
      <c r="CY146" s="3" t="str">
        <f t="shared" si="135"/>
        <v>Licenciatura em Física</v>
      </c>
      <c r="CZ146" s="3">
        <f>Respostas_Formatadas!AP146</f>
        <v>0</v>
      </c>
      <c r="EK146" s="3" t="s">
        <v>123</v>
      </c>
      <c r="EN146" s="25"/>
      <c r="MC146" s="3" t="s">
        <v>1286</v>
      </c>
      <c r="MG146" s="3" t="s">
        <v>659</v>
      </c>
      <c r="MI146" s="25"/>
      <c r="MK146" s="3" t="s">
        <v>322</v>
      </c>
      <c r="OG146" s="25"/>
    </row>
    <row r="147" spans="68:397" ht="15.75" customHeight="1" x14ac:dyDescent="0.2">
      <c r="BP147" s="3" t="str">
        <f>Respostas_Formatadas!C147</f>
        <v>Bacharelado em Engenharia Civil</v>
      </c>
      <c r="BQ147" s="3">
        <f>Respostas_Formatadas!AD147</f>
        <v>0</v>
      </c>
      <c r="CY147" s="3" t="str">
        <f t="shared" si="135"/>
        <v>Bacharelado em Engenharia Civil</v>
      </c>
      <c r="CZ147" s="3">
        <f>Respostas_Formatadas!AP147</f>
        <v>0</v>
      </c>
      <c r="EK147" s="3" t="s">
        <v>119</v>
      </c>
      <c r="EN147" s="25"/>
      <c r="MC147" s="3" t="s">
        <v>292</v>
      </c>
      <c r="MG147" s="3" t="s">
        <v>292</v>
      </c>
      <c r="MI147" s="25"/>
      <c r="MK147" s="3" t="s">
        <v>292</v>
      </c>
      <c r="OG147" s="25"/>
    </row>
    <row r="148" spans="68:397" ht="15.75" customHeight="1" x14ac:dyDescent="0.2">
      <c r="BP148" s="3" t="str">
        <f>Respostas_Formatadas!C148</f>
        <v>Tecnologia em Laticínios</v>
      </c>
      <c r="BQ148" s="3" t="str">
        <f>Respostas_Formatadas!AD148</f>
        <v>Auxiliar de controle de qualidade</v>
      </c>
      <c r="BR148" s="3" t="s">
        <v>1133</v>
      </c>
      <c r="BS148" s="25">
        <f t="shared" ref="BS148:BS150" si="140">COUNTIF($BR$3:$BR$273,BR148)</f>
        <v>2</v>
      </c>
      <c r="CY148" s="3" t="str">
        <f t="shared" si="135"/>
        <v>Tecnologia em Laticínios</v>
      </c>
      <c r="CZ148" s="3" t="str">
        <f>Respostas_Formatadas!AP148</f>
        <v>Tecnólogo em laticinio</v>
      </c>
      <c r="DA148" s="3" t="s">
        <v>1231</v>
      </c>
      <c r="DB148" s="25">
        <f t="shared" ref="DB148:DB150" si="141">COUNTIF($DA$3:$DA$273,DA148)</f>
        <v>1</v>
      </c>
      <c r="EK148" s="3" t="s">
        <v>128</v>
      </c>
      <c r="EL148" s="3" t="str">
        <f>Respostas_Formatadas!BC148</f>
        <v>Nossa Senhora da Glória</v>
      </c>
      <c r="EN148" s="25"/>
      <c r="MC148" s="3" t="s">
        <v>328</v>
      </c>
      <c r="MG148" s="3" t="s">
        <v>328</v>
      </c>
      <c r="MI148" s="25"/>
      <c r="MK148" s="3" t="s">
        <v>665</v>
      </c>
      <c r="OG148" s="25"/>
    </row>
    <row r="149" spans="68:397" ht="15.75" customHeight="1" x14ac:dyDescent="0.2">
      <c r="BP149" s="3" t="str">
        <f>Respostas_Formatadas!C149</f>
        <v>Tecnologia em Laticínios</v>
      </c>
      <c r="BQ149" s="3" t="str">
        <f>Respostas_Formatadas!AD149</f>
        <v>Analista de qualidade</v>
      </c>
      <c r="BR149" s="3" t="s">
        <v>1134</v>
      </c>
      <c r="BS149" s="25">
        <f t="shared" si="140"/>
        <v>1</v>
      </c>
      <c r="CY149" s="3" t="str">
        <f t="shared" si="135"/>
        <v>Tecnologia em Laticínios</v>
      </c>
      <c r="CZ149" s="3" t="str">
        <f>Respostas_Formatadas!AP149</f>
        <v>Auxiliar de laboratório</v>
      </c>
      <c r="DA149" s="3" t="s">
        <v>1122</v>
      </c>
      <c r="DB149" s="25">
        <f t="shared" si="141"/>
        <v>2</v>
      </c>
      <c r="EK149" s="3" t="s">
        <v>128</v>
      </c>
      <c r="EL149" s="3" t="str">
        <f>Respostas_Formatadas!BC149</f>
        <v>Nossa Senhora da Glória</v>
      </c>
      <c r="EN149" s="25"/>
      <c r="MC149" s="3" t="s">
        <v>670</v>
      </c>
      <c r="MG149" s="3" t="s">
        <v>328</v>
      </c>
      <c r="MI149" s="25"/>
      <c r="MK149" s="3" t="s">
        <v>328</v>
      </c>
      <c r="OG149" s="25"/>
    </row>
    <row r="150" spans="68:397" ht="15.75" customHeight="1" x14ac:dyDescent="0.2">
      <c r="BP150" s="3" t="str">
        <f>Respostas_Formatadas!C150</f>
        <v>Tecnologia em Agroecologia</v>
      </c>
      <c r="BQ150" s="3" t="str">
        <f>Respostas_Formatadas!AD150</f>
        <v xml:space="preserve">Assistente de agricultura </v>
      </c>
      <c r="BR150" s="3" t="s">
        <v>1135</v>
      </c>
      <c r="BS150" s="25">
        <f t="shared" si="140"/>
        <v>1</v>
      </c>
      <c r="CY150" s="3" t="str">
        <f t="shared" si="135"/>
        <v>Tecnologia em Agroecologia</v>
      </c>
      <c r="CZ150" s="3" t="str">
        <f>Respostas_Formatadas!AP150</f>
        <v>Analista Ambiental</v>
      </c>
      <c r="DA150" s="3" t="s">
        <v>530</v>
      </c>
      <c r="DB150" s="25">
        <f t="shared" si="141"/>
        <v>5</v>
      </c>
      <c r="EK150" s="3" t="s">
        <v>130</v>
      </c>
      <c r="EL150" s="3" t="str">
        <f>Respostas_Formatadas!BC150</f>
        <v>Ribeirópolis</v>
      </c>
      <c r="EN150" s="25"/>
      <c r="MC150" s="3" t="s">
        <v>292</v>
      </c>
      <c r="MG150" s="3" t="s">
        <v>292</v>
      </c>
      <c r="MI150" s="25"/>
      <c r="MK150" s="3" t="s">
        <v>292</v>
      </c>
      <c r="OG150" s="25"/>
    </row>
    <row r="151" spans="68:397" ht="15.75" customHeight="1" x14ac:dyDescent="0.2">
      <c r="BP151" s="3" t="str">
        <f>Respostas_Formatadas!C151</f>
        <v>Tecnologia em Agroecologia</v>
      </c>
      <c r="BQ151" s="3">
        <f>Respostas_Formatadas!AD151</f>
        <v>0</v>
      </c>
      <c r="CY151" s="3" t="str">
        <f t="shared" si="135"/>
        <v>Tecnologia em Agroecologia</v>
      </c>
      <c r="CZ151" s="3">
        <f>Respostas_Formatadas!AP151</f>
        <v>0</v>
      </c>
      <c r="EK151" s="3" t="s">
        <v>130</v>
      </c>
      <c r="EN151" s="25"/>
      <c r="MC151" s="3" t="s">
        <v>1287</v>
      </c>
      <c r="MG151" s="3" t="s">
        <v>292</v>
      </c>
      <c r="MI151" s="25"/>
      <c r="MK151" s="3" t="s">
        <v>292</v>
      </c>
      <c r="OG151" s="25"/>
    </row>
    <row r="152" spans="68:397" ht="15.75" customHeight="1" x14ac:dyDescent="0.2">
      <c r="BP152" s="3" t="str">
        <f>Respostas_Formatadas!C152</f>
        <v>Tecnologia em Agroecologia</v>
      </c>
      <c r="BQ152" s="3" t="str">
        <f>Respostas_Formatadas!AD152</f>
        <v>Educador Profissional</v>
      </c>
      <c r="BR152" s="3" t="s">
        <v>676</v>
      </c>
      <c r="BS152" s="25">
        <f t="shared" ref="BS152:BS153" si="142">COUNTIF($BR$3:$BR$273,BR152)</f>
        <v>1</v>
      </c>
      <c r="CY152" s="3" t="str">
        <f t="shared" si="135"/>
        <v>Tecnologia em Agroecologia</v>
      </c>
      <c r="CZ152" s="3" t="str">
        <f>Respostas_Formatadas!AP152</f>
        <v>Educador Profissional</v>
      </c>
      <c r="DA152" s="3" t="s">
        <v>676</v>
      </c>
      <c r="DB152" s="25">
        <f t="shared" ref="DB152:DB153" si="143">COUNTIF($DA$3:$DA$273,DA152)</f>
        <v>1</v>
      </c>
      <c r="EK152" s="3" t="s">
        <v>130</v>
      </c>
      <c r="EL152" s="3" t="str">
        <f>Respostas_Formatadas!BC152</f>
        <v>Simão Dias</v>
      </c>
      <c r="EN152" s="25"/>
      <c r="MC152" s="3" t="s">
        <v>659</v>
      </c>
      <c r="MG152" s="3" t="s">
        <v>659</v>
      </c>
      <c r="MI152" s="25"/>
      <c r="MK152" s="3" t="s">
        <v>659</v>
      </c>
      <c r="OG152" s="25"/>
    </row>
    <row r="153" spans="68:397" ht="15.75" customHeight="1" x14ac:dyDescent="0.2">
      <c r="BP153" s="3" t="str">
        <f>Respostas_Formatadas!C153</f>
        <v>Bacharelado em Sistemas de Informação</v>
      </c>
      <c r="BQ153" s="3" t="str">
        <f>Respostas_Formatadas!AD153</f>
        <v>Instrutor</v>
      </c>
      <c r="BR153" s="3" t="s">
        <v>680</v>
      </c>
      <c r="BS153" s="25">
        <f t="shared" si="142"/>
        <v>1</v>
      </c>
      <c r="CY153" s="3" t="str">
        <f t="shared" si="135"/>
        <v>Bacharelado em Sistemas de Informação</v>
      </c>
      <c r="CZ153" s="3" t="str">
        <f>Respostas_Formatadas!AP153</f>
        <v>Instrutor</v>
      </c>
      <c r="DA153" s="3" t="s">
        <v>680</v>
      </c>
      <c r="DB153" s="25">
        <f t="shared" si="143"/>
        <v>1</v>
      </c>
      <c r="EK153" s="3" t="s">
        <v>120</v>
      </c>
      <c r="EL153" s="3" t="str">
        <f>Respostas_Formatadas!BC153</f>
        <v>Estância</v>
      </c>
      <c r="EN153" s="25"/>
      <c r="MC153" s="3" t="s">
        <v>325</v>
      </c>
      <c r="MG153" s="3" t="s">
        <v>325</v>
      </c>
      <c r="MI153" s="25"/>
      <c r="MK153" s="3" t="s">
        <v>325</v>
      </c>
      <c r="OG153" s="25"/>
    </row>
    <row r="154" spans="68:397" ht="15.75" customHeight="1" x14ac:dyDescent="0.2">
      <c r="BP154" s="3" t="str">
        <f>Respostas_Formatadas!C154</f>
        <v>Licenciatura em Física</v>
      </c>
      <c r="BQ154" s="3">
        <f>Respostas_Formatadas!AD154</f>
        <v>0</v>
      </c>
      <c r="CY154" s="3" t="str">
        <f t="shared" si="135"/>
        <v>Licenciatura em Física</v>
      </c>
      <c r="CZ154" s="3">
        <f>Respostas_Formatadas!AP154</f>
        <v>0</v>
      </c>
      <c r="EK154" s="3" t="s">
        <v>123</v>
      </c>
      <c r="EN154" s="25"/>
      <c r="MC154" s="3" t="s">
        <v>291</v>
      </c>
      <c r="MG154" s="3" t="s">
        <v>291</v>
      </c>
      <c r="MI154" s="25"/>
      <c r="MK154" s="3" t="s">
        <v>291</v>
      </c>
      <c r="OG154" s="25"/>
    </row>
    <row r="155" spans="68:397" ht="15.75" customHeight="1" x14ac:dyDescent="0.2">
      <c r="BP155" s="3" t="str">
        <f>Respostas_Formatadas!C155</f>
        <v>Licenciatura em Matemática</v>
      </c>
      <c r="BQ155" s="3" t="str">
        <f>Respostas_Formatadas!AD155</f>
        <v>Professor</v>
      </c>
      <c r="BR155" s="3" t="s">
        <v>388</v>
      </c>
      <c r="BS155" s="25">
        <f t="shared" ref="BS155:BS157" si="144">COUNTIF($BR$3:$BR$273,BR155)</f>
        <v>31</v>
      </c>
      <c r="CY155" s="3" t="str">
        <f t="shared" si="135"/>
        <v>Licenciatura em Matemática</v>
      </c>
      <c r="CZ155" s="3" t="str">
        <f>Respostas_Formatadas!AP155</f>
        <v>Professor</v>
      </c>
      <c r="DA155" s="3" t="s">
        <v>388</v>
      </c>
      <c r="DB155" s="25">
        <f t="shared" ref="DB155:DB157" si="145">COUNTIF($DA$3:$DA$273,DA155)</f>
        <v>26</v>
      </c>
      <c r="EK155" s="3" t="s">
        <v>122</v>
      </c>
      <c r="EL155" s="3" t="str">
        <f>Respostas_Formatadas!BC155</f>
        <v>Aracaju</v>
      </c>
      <c r="EN155" s="25"/>
      <c r="MC155" s="3" t="s">
        <v>292</v>
      </c>
      <c r="MG155" s="3" t="s">
        <v>292</v>
      </c>
      <c r="MI155" s="25"/>
      <c r="MK155" s="3" t="s">
        <v>292</v>
      </c>
      <c r="OG155" s="25"/>
    </row>
    <row r="156" spans="68:397" ht="15.75" customHeight="1" x14ac:dyDescent="0.2">
      <c r="BP156" s="3" t="str">
        <f>Respostas_Formatadas!C156</f>
        <v>Tecnologia em Gestão de Turismo</v>
      </c>
      <c r="BQ156" s="3" t="str">
        <f>Respostas_Formatadas!AD156</f>
        <v>recepcionista de hotel</v>
      </c>
      <c r="BR156" s="3" t="s">
        <v>382</v>
      </c>
      <c r="BS156" s="25">
        <f t="shared" si="144"/>
        <v>3</v>
      </c>
      <c r="CY156" s="3" t="str">
        <f t="shared" si="135"/>
        <v>Tecnologia em Gestão de Turismo</v>
      </c>
      <c r="CZ156" s="3" t="str">
        <f>Respostas_Formatadas!AP156</f>
        <v>chefe de recepção de hotel</v>
      </c>
      <c r="DA156" s="3" t="s">
        <v>382</v>
      </c>
      <c r="DB156" s="25">
        <f t="shared" si="145"/>
        <v>2</v>
      </c>
      <c r="EK156" s="3" t="s">
        <v>125</v>
      </c>
      <c r="EL156" s="3" t="str">
        <f>Respostas_Formatadas!BC156</f>
        <v>Aracaju</v>
      </c>
      <c r="EN156" s="25"/>
      <c r="MC156" s="3" t="s">
        <v>292</v>
      </c>
      <c r="MG156" s="3" t="s">
        <v>292</v>
      </c>
      <c r="MI156" s="25"/>
      <c r="MK156" s="3" t="s">
        <v>292</v>
      </c>
      <c r="OG156" s="25"/>
    </row>
    <row r="157" spans="68:397" ht="15.75" customHeight="1" x14ac:dyDescent="0.2">
      <c r="BP157" s="3" t="str">
        <f>Respostas_Formatadas!C157</f>
        <v>Bacharelado em Sistemas de Informação</v>
      </c>
      <c r="BQ157" s="3" t="str">
        <f>Respostas_Formatadas!AD157</f>
        <v xml:space="preserve">Analista de Desenvolvimento de TI </v>
      </c>
      <c r="BR157" s="3" t="s">
        <v>1117</v>
      </c>
      <c r="BS157" s="25">
        <f t="shared" si="144"/>
        <v>1</v>
      </c>
      <c r="CY157" s="3" t="str">
        <f t="shared" si="135"/>
        <v>Bacharelado em Sistemas de Informação</v>
      </c>
      <c r="CZ157" s="3" t="str">
        <f>Respostas_Formatadas!AP157</f>
        <v>Analista de Desenvolvimento de TI III</v>
      </c>
      <c r="DA157" s="3" t="s">
        <v>1117</v>
      </c>
      <c r="DB157" s="25">
        <f t="shared" si="145"/>
        <v>1</v>
      </c>
      <c r="EK157" s="3" t="s">
        <v>120</v>
      </c>
      <c r="EL157" s="3" t="str">
        <f>Respostas_Formatadas!BC157</f>
        <v>Blumenau - SC</v>
      </c>
      <c r="EN157" s="25"/>
      <c r="MC157" s="3" t="s">
        <v>291</v>
      </c>
      <c r="MG157" s="3" t="s">
        <v>291</v>
      </c>
      <c r="MI157" s="25"/>
      <c r="MK157" s="3" t="s">
        <v>687</v>
      </c>
      <c r="OG157" s="25"/>
    </row>
    <row r="158" spans="68:397" ht="15.75" customHeight="1" x14ac:dyDescent="0.2">
      <c r="BP158" s="3" t="str">
        <f>Respostas_Formatadas!C158</f>
        <v>Licenciatura em Química</v>
      </c>
      <c r="BQ158" s="3">
        <f>Respostas_Formatadas!AD158</f>
        <v>0</v>
      </c>
      <c r="CY158" s="3" t="str">
        <f t="shared" si="135"/>
        <v>Licenciatura em Química</v>
      </c>
      <c r="CZ158" s="3">
        <f>Respostas_Formatadas!AP158</f>
        <v>0</v>
      </c>
      <c r="EK158" s="3" t="s">
        <v>121</v>
      </c>
      <c r="EN158" s="25"/>
      <c r="MC158" s="3" t="s">
        <v>328</v>
      </c>
      <c r="MG158" s="3" t="s">
        <v>292</v>
      </c>
      <c r="MI158" s="25"/>
      <c r="MK158" s="3" t="s">
        <v>328</v>
      </c>
      <c r="OG158" s="25"/>
    </row>
    <row r="159" spans="68:397" ht="15.75" customHeight="1" x14ac:dyDescent="0.2">
      <c r="BP159" s="3" t="str">
        <f>Respostas_Formatadas!C159</f>
        <v>Licenciatura em Química</v>
      </c>
      <c r="BQ159" s="3" t="str">
        <f>Respostas_Formatadas!AD159</f>
        <v>Professora</v>
      </c>
      <c r="BR159" s="3" t="s">
        <v>388</v>
      </c>
      <c r="BS159" s="25">
        <f t="shared" ref="BS159:BS162" si="146">COUNTIF($BR$3:$BR$273,BR159)</f>
        <v>31</v>
      </c>
      <c r="CY159" s="3" t="str">
        <f t="shared" si="135"/>
        <v>Licenciatura em Química</v>
      </c>
      <c r="CZ159" s="3" t="str">
        <f>Respostas_Formatadas!AP159</f>
        <v>Professora</v>
      </c>
      <c r="DA159" s="3" t="s">
        <v>388</v>
      </c>
      <c r="DB159" s="25">
        <f t="shared" ref="DB159:DB162" si="147">COUNTIF($DA$3:$DA$273,DA159)</f>
        <v>26</v>
      </c>
      <c r="EK159" s="3" t="s">
        <v>121</v>
      </c>
      <c r="EL159" s="3" t="str">
        <f>Respostas_Formatadas!BC159</f>
        <v>Aracaju</v>
      </c>
      <c r="EN159" s="25"/>
      <c r="MC159" s="3" t="s">
        <v>292</v>
      </c>
      <c r="MG159" s="3" t="s">
        <v>292</v>
      </c>
      <c r="MI159" s="25"/>
      <c r="MK159" s="3" t="s">
        <v>292</v>
      </c>
      <c r="OG159" s="25"/>
    </row>
    <row r="160" spans="68:397" ht="15.75" customHeight="1" x14ac:dyDescent="0.2">
      <c r="BP160" s="3" t="str">
        <f>Respostas_Formatadas!C160</f>
        <v>Bacharelado em Engenharia Civil</v>
      </c>
      <c r="BQ160" s="3" t="str">
        <f>Respostas_Formatadas!AD160</f>
        <v>Engenheiro civil</v>
      </c>
      <c r="BR160" s="3" t="s">
        <v>424</v>
      </c>
      <c r="BS160" s="25">
        <f t="shared" si="146"/>
        <v>8</v>
      </c>
      <c r="CY160" s="3" t="str">
        <f t="shared" si="135"/>
        <v>Bacharelado em Engenharia Civil</v>
      </c>
      <c r="CZ160" s="3" t="str">
        <f>Respostas_Formatadas!AP160</f>
        <v>Engenheiro civil</v>
      </c>
      <c r="DA160" s="3" t="s">
        <v>424</v>
      </c>
      <c r="DB160" s="25">
        <f t="shared" si="147"/>
        <v>14</v>
      </c>
      <c r="EK160" s="3" t="s">
        <v>119</v>
      </c>
      <c r="EL160" s="3" t="str">
        <f>Respostas_Formatadas!BC160</f>
        <v>Macapá - AP</v>
      </c>
      <c r="EN160" s="25"/>
      <c r="MC160" s="3" t="s">
        <v>399</v>
      </c>
      <c r="MG160" s="3" t="s">
        <v>399</v>
      </c>
      <c r="MI160" s="25"/>
      <c r="MK160" s="3" t="s">
        <v>1306</v>
      </c>
      <c r="OG160" s="25"/>
    </row>
    <row r="161" spans="68:397" ht="15.75" customHeight="1" x14ac:dyDescent="0.2">
      <c r="BP161" s="3" t="str">
        <f>Respostas_Formatadas!C161</f>
        <v>Licenciatura em Matemática</v>
      </c>
      <c r="BQ161" s="3" t="str">
        <f>Respostas_Formatadas!AD161</f>
        <v>Professor</v>
      </c>
      <c r="BR161" s="3" t="s">
        <v>388</v>
      </c>
      <c r="BS161" s="25">
        <f t="shared" si="146"/>
        <v>31</v>
      </c>
      <c r="CY161" s="3" t="str">
        <f t="shared" si="135"/>
        <v>Licenciatura em Matemática</v>
      </c>
      <c r="CZ161" s="3" t="str">
        <f>Respostas_Formatadas!AP161</f>
        <v>Professor</v>
      </c>
      <c r="DA161" s="3" t="s">
        <v>388</v>
      </c>
      <c r="DB161" s="25">
        <f t="shared" si="147"/>
        <v>26</v>
      </c>
      <c r="EK161" s="3" t="s">
        <v>122</v>
      </c>
      <c r="EL161" s="3" t="str">
        <f>Respostas_Formatadas!BC161</f>
        <v>Estância</v>
      </c>
      <c r="EN161" s="25"/>
      <c r="MC161" s="3" t="s">
        <v>292</v>
      </c>
      <c r="MG161" s="3" t="s">
        <v>292</v>
      </c>
      <c r="MI161" s="25"/>
      <c r="MK161" s="3" t="s">
        <v>325</v>
      </c>
      <c r="OG161" s="25"/>
    </row>
    <row r="162" spans="68:397" ht="15.75" customHeight="1" x14ac:dyDescent="0.2">
      <c r="BP162" s="3" t="str">
        <f>Respostas_Formatadas!C162</f>
        <v>Tecnologia em Automação Industrial</v>
      </c>
      <c r="BQ162" s="3" t="str">
        <f>Respostas_Formatadas!AD162</f>
        <v>Técnico em Eletrônica.</v>
      </c>
      <c r="BR162" s="3" t="s">
        <v>699</v>
      </c>
      <c r="BS162" s="25">
        <f t="shared" si="146"/>
        <v>1</v>
      </c>
      <c r="CY162" s="3" t="str">
        <f t="shared" si="135"/>
        <v>Tecnologia em Automação Industrial</v>
      </c>
      <c r="CZ162" s="3" t="str">
        <f>Respostas_Formatadas!AP162</f>
        <v>Técnico em Eletrônica</v>
      </c>
      <c r="DA162" s="3" t="s">
        <v>699</v>
      </c>
      <c r="DB162" s="25">
        <f t="shared" si="147"/>
        <v>1</v>
      </c>
      <c r="EK162" s="3" t="s">
        <v>126</v>
      </c>
      <c r="EL162" s="3" t="str">
        <f>Respostas_Formatadas!BC162</f>
        <v>Aracaju</v>
      </c>
      <c r="EN162" s="25"/>
      <c r="MC162" s="3" t="s">
        <v>1284</v>
      </c>
      <c r="MG162" s="3" t="s">
        <v>291</v>
      </c>
      <c r="MI162" s="25"/>
      <c r="MK162" s="3" t="s">
        <v>292</v>
      </c>
      <c r="OG162" s="25"/>
    </row>
    <row r="163" spans="68:397" ht="15.75" customHeight="1" x14ac:dyDescent="0.2">
      <c r="BP163" s="3" t="str">
        <f>Respostas_Formatadas!C163</f>
        <v>Licenciatura em Química</v>
      </c>
      <c r="BQ163" s="3">
        <f>Respostas_Formatadas!AD163</f>
        <v>0</v>
      </c>
      <c r="CY163" s="3" t="str">
        <f t="shared" si="135"/>
        <v>Licenciatura em Química</v>
      </c>
      <c r="CZ163" s="3">
        <f>Respostas_Formatadas!AP163</f>
        <v>0</v>
      </c>
      <c r="EK163" s="3" t="s">
        <v>121</v>
      </c>
      <c r="EN163" s="25"/>
      <c r="MC163" s="3" t="s">
        <v>292</v>
      </c>
      <c r="MG163" s="3" t="s">
        <v>292</v>
      </c>
      <c r="MI163" s="25"/>
      <c r="MK163" s="3" t="s">
        <v>292</v>
      </c>
      <c r="OG163" s="25"/>
    </row>
    <row r="164" spans="68:397" ht="15.75" customHeight="1" x14ac:dyDescent="0.2">
      <c r="BP164" s="3" t="str">
        <f>Respostas_Formatadas!C164</f>
        <v>Bacharelado em Engenharia Civil</v>
      </c>
      <c r="BQ164" s="3">
        <f>Respostas_Formatadas!AD164</f>
        <v>0</v>
      </c>
      <c r="CY164" s="3" t="str">
        <f t="shared" si="135"/>
        <v>Bacharelado em Engenharia Civil</v>
      </c>
      <c r="CZ164" s="3">
        <f>Respostas_Formatadas!AP164</f>
        <v>0</v>
      </c>
      <c r="EK164" s="3" t="s">
        <v>119</v>
      </c>
      <c r="EN164" s="25"/>
      <c r="MC164" s="3" t="s">
        <v>1285</v>
      </c>
      <c r="MG164" s="3" t="s">
        <v>292</v>
      </c>
      <c r="MI164" s="25"/>
      <c r="MK164" s="3" t="s">
        <v>292</v>
      </c>
      <c r="OG164" s="25"/>
    </row>
    <row r="165" spans="68:397" ht="15.75" customHeight="1" x14ac:dyDescent="0.2">
      <c r="BP165" s="3" t="str">
        <f>Respostas_Formatadas!C165</f>
        <v>Tecnologia em Saneamento Ambiental</v>
      </c>
      <c r="BQ165" s="3" t="str">
        <f>Respostas_Formatadas!AD165</f>
        <v>Coordenador Ambiental</v>
      </c>
      <c r="BR165" s="3" t="s">
        <v>706</v>
      </c>
      <c r="BS165" s="25">
        <f t="shared" ref="BS165:BS166" si="148">COUNTIF($BR$3:$BR$273,BR165)</f>
        <v>3</v>
      </c>
      <c r="CY165" s="3" t="str">
        <f t="shared" si="135"/>
        <v>Tecnologia em Saneamento Ambiental</v>
      </c>
      <c r="CZ165" s="3">
        <f>Respostas_Formatadas!AP165</f>
        <v>0</v>
      </c>
      <c r="EK165" s="3" t="s">
        <v>124</v>
      </c>
      <c r="EN165" s="25"/>
      <c r="MC165" s="3" t="s">
        <v>1288</v>
      </c>
      <c r="MG165" s="3" t="s">
        <v>292</v>
      </c>
      <c r="MI165" s="25"/>
      <c r="MK165" s="3" t="s">
        <v>1307</v>
      </c>
      <c r="OG165" s="25"/>
    </row>
    <row r="166" spans="68:397" ht="15.75" customHeight="1" x14ac:dyDescent="0.2">
      <c r="BP166" s="3" t="str">
        <f>Respostas_Formatadas!C166</f>
        <v>Tecnologia em Saneamento Ambiental</v>
      </c>
      <c r="BQ166" s="3" t="str">
        <f>Respostas_Formatadas!AD166</f>
        <v>Assistente administrativo com atribuições de coordenação de meio ambiente</v>
      </c>
      <c r="BR166" s="3" t="s">
        <v>706</v>
      </c>
      <c r="BS166" s="25">
        <f t="shared" si="148"/>
        <v>3</v>
      </c>
      <c r="CY166" s="3" t="str">
        <f t="shared" si="135"/>
        <v>Tecnologia em Saneamento Ambiental</v>
      </c>
      <c r="CZ166" s="3" t="str">
        <f>Respostas_Formatadas!AP166</f>
        <v>Professor universitário</v>
      </c>
      <c r="DA166" s="3" t="s">
        <v>388</v>
      </c>
      <c r="DB166" s="25">
        <f>COUNTIF($DA$3:$DA$273,DA166)</f>
        <v>26</v>
      </c>
      <c r="EK166" s="3" t="s">
        <v>124</v>
      </c>
      <c r="EL166" s="3" t="str">
        <f>Respostas_Formatadas!BC166</f>
        <v>Palmas - TO</v>
      </c>
      <c r="EN166" s="25"/>
      <c r="MC166" s="3" t="s">
        <v>292</v>
      </c>
      <c r="MG166" s="3" t="s">
        <v>292</v>
      </c>
      <c r="MI166" s="25"/>
      <c r="MK166" s="3" t="s">
        <v>1308</v>
      </c>
      <c r="OG166" s="25"/>
    </row>
    <row r="167" spans="68:397" ht="15.75" customHeight="1" x14ac:dyDescent="0.2">
      <c r="BP167" s="3" t="str">
        <f>Respostas_Formatadas!C167</f>
        <v>Tecnologia em Agroecologia</v>
      </c>
      <c r="BQ167" s="3">
        <f>Respostas_Formatadas!AD167</f>
        <v>0</v>
      </c>
      <c r="CY167" s="3" t="str">
        <f t="shared" si="135"/>
        <v>Tecnologia em Agroecologia</v>
      </c>
      <c r="CZ167" s="3">
        <f>Respostas_Formatadas!AP167</f>
        <v>0</v>
      </c>
      <c r="EK167" s="3" t="s">
        <v>130</v>
      </c>
      <c r="EN167" s="25"/>
      <c r="MC167" s="3" t="s">
        <v>1289</v>
      </c>
      <c r="MG167" s="3" t="s">
        <v>292</v>
      </c>
      <c r="MI167" s="25"/>
      <c r="MK167" s="3" t="s">
        <v>1289</v>
      </c>
      <c r="OG167" s="25"/>
    </row>
    <row r="168" spans="68:397" ht="15.75" customHeight="1" x14ac:dyDescent="0.2">
      <c r="BP168" s="3" t="str">
        <f>Respostas_Formatadas!C168</f>
        <v>Licenciatura em Química</v>
      </c>
      <c r="BQ168" s="3" t="str">
        <f>Respostas_Formatadas!AD168</f>
        <v>Gerente de Infraestrutura Tecnológica</v>
      </c>
      <c r="BR168" s="3" t="s">
        <v>1136</v>
      </c>
      <c r="BS168" s="25">
        <f t="shared" ref="BS168:BS170" si="149">COUNTIF($BR$3:$BR$273,BR168)</f>
        <v>1</v>
      </c>
      <c r="CY168" s="3" t="str">
        <f t="shared" si="135"/>
        <v>Licenciatura em Química</v>
      </c>
      <c r="CZ168" s="3" t="str">
        <f>Respostas_Formatadas!AP168</f>
        <v>Gerente de Infraestrutura Tecnológica</v>
      </c>
      <c r="DA168" s="3" t="s">
        <v>1136</v>
      </c>
      <c r="DB168" s="25">
        <f t="shared" ref="DB168:DB170" si="150">COUNTIF($DA$3:$DA$273,DA168)</f>
        <v>1</v>
      </c>
      <c r="EK168" s="3" t="s">
        <v>121</v>
      </c>
      <c r="EL168" s="3" t="str">
        <f>Respostas_Formatadas!BC168</f>
        <v>Aracaju</v>
      </c>
      <c r="EN168" s="25"/>
      <c r="MC168" s="3" t="s">
        <v>292</v>
      </c>
      <c r="MG168" s="3" t="s">
        <v>292</v>
      </c>
      <c r="MI168" s="25"/>
      <c r="MK168" s="3" t="s">
        <v>292</v>
      </c>
      <c r="OG168" s="25"/>
    </row>
    <row r="169" spans="68:397" ht="15.75" customHeight="1" x14ac:dyDescent="0.2">
      <c r="BP169" s="3" t="str">
        <f>Respostas_Formatadas!C169</f>
        <v>Licenciatura em Química</v>
      </c>
      <c r="BQ169" s="3" t="str">
        <f>Respostas_Formatadas!AD169</f>
        <v>Bercarista</v>
      </c>
      <c r="BR169" s="3" t="s">
        <v>1137</v>
      </c>
      <c r="BS169" s="25">
        <f t="shared" si="149"/>
        <v>1</v>
      </c>
      <c r="CY169" s="3" t="str">
        <f t="shared" si="135"/>
        <v>Licenciatura em Química</v>
      </c>
      <c r="CZ169" s="3" t="str">
        <f>Respostas_Formatadas!AP169</f>
        <v>Monitora educadora de transporte escolar</v>
      </c>
      <c r="DA169" s="3" t="s">
        <v>1232</v>
      </c>
      <c r="DB169" s="25">
        <f t="shared" si="150"/>
        <v>1</v>
      </c>
      <c r="EK169" s="3" t="s">
        <v>121</v>
      </c>
      <c r="EL169" s="3" t="str">
        <f>Respostas_Formatadas!BC169</f>
        <v>São Cristóvão</v>
      </c>
      <c r="EN169" s="25"/>
      <c r="MC169" s="3" t="s">
        <v>399</v>
      </c>
      <c r="MG169" s="3" t="s">
        <v>399</v>
      </c>
      <c r="MI169" s="25"/>
      <c r="MK169" s="3" t="s">
        <v>399</v>
      </c>
      <c r="OG169" s="25"/>
    </row>
    <row r="170" spans="68:397" ht="15.75" customHeight="1" x14ac:dyDescent="0.2">
      <c r="BP170" s="3" t="str">
        <f>Respostas_Formatadas!C170</f>
        <v>Bacharelado em Engenharia Civil</v>
      </c>
      <c r="BQ170" s="3" t="str">
        <f>Respostas_Formatadas!AD170</f>
        <v>Engenheiro civil</v>
      </c>
      <c r="BR170" s="3" t="s">
        <v>424</v>
      </c>
      <c r="BS170" s="25">
        <f t="shared" si="149"/>
        <v>8</v>
      </c>
      <c r="CY170" s="3" t="str">
        <f t="shared" si="135"/>
        <v>Bacharelado em Engenharia Civil</v>
      </c>
      <c r="CZ170" s="3" t="str">
        <f>Respostas_Formatadas!AP170</f>
        <v>Engenheiro civil</v>
      </c>
      <c r="DA170" s="3" t="s">
        <v>424</v>
      </c>
      <c r="DB170" s="25">
        <f t="shared" si="150"/>
        <v>14</v>
      </c>
      <c r="EK170" s="3" t="s">
        <v>119</v>
      </c>
      <c r="EL170" s="3" t="str">
        <f>Respostas_Formatadas!BC170</f>
        <v>Aracaju</v>
      </c>
      <c r="EN170" s="25"/>
      <c r="MC170" s="3" t="s">
        <v>292</v>
      </c>
      <c r="MG170" s="3" t="s">
        <v>292</v>
      </c>
      <c r="MI170" s="25"/>
      <c r="MK170" s="3" t="s">
        <v>292</v>
      </c>
      <c r="OG170" s="25"/>
    </row>
    <row r="171" spans="68:397" ht="15.75" customHeight="1" x14ac:dyDescent="0.2">
      <c r="BP171" s="3" t="str">
        <f>Respostas_Formatadas!C171</f>
        <v>Licenciatura em Matemática</v>
      </c>
      <c r="BQ171" s="3">
        <f>Respostas_Formatadas!AD171</f>
        <v>0</v>
      </c>
      <c r="BS171" s="25"/>
      <c r="CY171" s="3" t="str">
        <f t="shared" si="135"/>
        <v>Licenciatura em Matemática</v>
      </c>
      <c r="CZ171" s="3">
        <f>Respostas_Formatadas!AP171</f>
        <v>0</v>
      </c>
      <c r="EK171" s="3" t="s">
        <v>122</v>
      </c>
      <c r="EN171" s="25"/>
      <c r="MC171" s="3" t="s">
        <v>645</v>
      </c>
      <c r="MG171" s="3" t="s">
        <v>645</v>
      </c>
      <c r="MI171" s="25"/>
      <c r="MK171" s="3" t="s">
        <v>645</v>
      </c>
      <c r="OG171" s="25"/>
    </row>
    <row r="172" spans="68:397" ht="15.75" customHeight="1" x14ac:dyDescent="0.2">
      <c r="BP172" s="3" t="str">
        <f>Respostas_Formatadas!C172</f>
        <v>Licenciatura em Química</v>
      </c>
      <c r="BQ172" s="3" t="str">
        <f>Respostas_Formatadas!AD172</f>
        <v>ASSISTENTE DE LABORATÓRIO</v>
      </c>
      <c r="BR172" s="3" t="s">
        <v>1138</v>
      </c>
      <c r="BS172" s="25">
        <f t="shared" ref="BS172:BS173" si="151">COUNTIF($BR$3:$BR$273,BR172)</f>
        <v>1</v>
      </c>
      <c r="CY172" s="3" t="str">
        <f t="shared" si="135"/>
        <v>Licenciatura em Química</v>
      </c>
      <c r="CZ172" s="3" t="str">
        <f>Respostas_Formatadas!AP172</f>
        <v>Assistente de laboratório</v>
      </c>
      <c r="DA172" s="3" t="s">
        <v>1138</v>
      </c>
      <c r="DB172" s="25">
        <f t="shared" ref="DB172:DB173" si="152">COUNTIF($DA$3:$DA$273,DA172)</f>
        <v>1</v>
      </c>
      <c r="EK172" s="3" t="s">
        <v>121</v>
      </c>
      <c r="EL172" s="3" t="str">
        <f>Respostas_Formatadas!BC172</f>
        <v>Aracaju</v>
      </c>
      <c r="EN172" s="25"/>
      <c r="MC172" s="3" t="s">
        <v>358</v>
      </c>
      <c r="MG172" s="3" t="s">
        <v>358</v>
      </c>
      <c r="MI172" s="25"/>
      <c r="MK172" s="3" t="s">
        <v>358</v>
      </c>
      <c r="OG172" s="25"/>
    </row>
    <row r="173" spans="68:397" ht="15.75" customHeight="1" x14ac:dyDescent="0.2">
      <c r="BP173" s="3" t="str">
        <f>Respostas_Formatadas!C173</f>
        <v>Licenciatura em Matemática</v>
      </c>
      <c r="BQ173" s="3" t="str">
        <f>Respostas_Formatadas!AD173</f>
        <v>Professor de Matemática</v>
      </c>
      <c r="BR173" s="3" t="s">
        <v>388</v>
      </c>
      <c r="BS173" s="25">
        <f t="shared" si="151"/>
        <v>31</v>
      </c>
      <c r="CY173" s="3" t="str">
        <f t="shared" si="135"/>
        <v>Licenciatura em Matemática</v>
      </c>
      <c r="CZ173" s="3" t="str">
        <f>Respostas_Formatadas!AP173</f>
        <v xml:space="preserve">Professor de Matemática </v>
      </c>
      <c r="DA173" s="3" t="s">
        <v>388</v>
      </c>
      <c r="DB173" s="25">
        <f t="shared" si="152"/>
        <v>26</v>
      </c>
      <c r="EK173" s="3" t="s">
        <v>122</v>
      </c>
      <c r="EL173" s="3" t="str">
        <f>Respostas_Formatadas!BC173</f>
        <v>Aracaju</v>
      </c>
      <c r="EN173" s="25"/>
      <c r="MC173" s="3" t="s">
        <v>292</v>
      </c>
      <c r="MG173" s="3" t="s">
        <v>292</v>
      </c>
      <c r="MI173" s="25"/>
      <c r="MK173" s="3" t="s">
        <v>399</v>
      </c>
      <c r="OG173" s="25"/>
    </row>
    <row r="174" spans="68:397" ht="15.75" customHeight="1" x14ac:dyDescent="0.2">
      <c r="BP174" s="3" t="str">
        <f>Respostas_Formatadas!C174</f>
        <v>Tecnologia em Saneamento Ambiental</v>
      </c>
      <c r="BQ174" s="3">
        <f>Respostas_Formatadas!AD174</f>
        <v>0</v>
      </c>
      <c r="CY174" s="3" t="str">
        <f t="shared" si="135"/>
        <v>Tecnologia em Saneamento Ambiental</v>
      </c>
      <c r="CZ174" s="3">
        <f>Respostas_Formatadas!AP174</f>
        <v>0</v>
      </c>
      <c r="EK174" s="3" t="s">
        <v>124</v>
      </c>
      <c r="EN174" s="25"/>
      <c r="MC174" s="3" t="s">
        <v>292</v>
      </c>
      <c r="MG174" s="3" t="s">
        <v>292</v>
      </c>
      <c r="MI174" s="25"/>
      <c r="MK174" s="3" t="s">
        <v>291</v>
      </c>
      <c r="OG174" s="25"/>
    </row>
    <row r="175" spans="68:397" ht="15.75" customHeight="1" x14ac:dyDescent="0.2">
      <c r="BP175" s="3" t="str">
        <f>Respostas_Formatadas!C175</f>
        <v>Tecnologia em Saneamento Ambiental</v>
      </c>
      <c r="BQ175" s="3" t="str">
        <f>Respostas_Formatadas!AD175</f>
        <v>Administrativo</v>
      </c>
      <c r="BR175" s="3" t="s">
        <v>541</v>
      </c>
      <c r="BS175" s="25">
        <f t="shared" ref="BS175:BS177" si="153">COUNTIF($BR$3:$BR$273,BR175)</f>
        <v>7</v>
      </c>
      <c r="CY175" s="3" t="str">
        <f t="shared" si="135"/>
        <v>Tecnologia em Saneamento Ambiental</v>
      </c>
      <c r="CZ175" s="3" t="str">
        <f>Respostas_Formatadas!AP175</f>
        <v>Administração</v>
      </c>
      <c r="DA175" s="3" t="s">
        <v>1233</v>
      </c>
      <c r="DB175" s="25">
        <f t="shared" ref="DB175:DB177" si="154">COUNTIF($DA$3:$DA$273,DA175)</f>
        <v>1</v>
      </c>
      <c r="EK175" s="3" t="s">
        <v>124</v>
      </c>
      <c r="EL175" s="3" t="str">
        <f>Respostas_Formatadas!BC175</f>
        <v>Aracaju</v>
      </c>
      <c r="EN175" s="25"/>
      <c r="MC175" s="3" t="s">
        <v>292</v>
      </c>
      <c r="MG175" s="3" t="s">
        <v>292</v>
      </c>
      <c r="MI175" s="25"/>
      <c r="MK175" s="3" t="s">
        <v>292</v>
      </c>
      <c r="OG175" s="25"/>
    </row>
    <row r="176" spans="68:397" ht="15.75" customHeight="1" x14ac:dyDescent="0.2">
      <c r="BP176" s="3" t="str">
        <f>Respostas_Formatadas!C176</f>
        <v>Tecnologia em Saneamento Ambiental</v>
      </c>
      <c r="BQ176" s="3" t="str">
        <f>Respostas_Formatadas!AD176</f>
        <v>Analista ambiental</v>
      </c>
      <c r="BR176" s="3" t="s">
        <v>530</v>
      </c>
      <c r="BS176" s="25">
        <f t="shared" si="153"/>
        <v>4</v>
      </c>
      <c r="CY176" s="3" t="str">
        <f t="shared" si="135"/>
        <v>Tecnologia em Saneamento Ambiental</v>
      </c>
      <c r="CZ176" s="3" t="str">
        <f>Respostas_Formatadas!AP176</f>
        <v>ANALISTA AMBIENTAL</v>
      </c>
      <c r="DA176" s="3" t="s">
        <v>530</v>
      </c>
      <c r="DB176" s="25">
        <f t="shared" si="154"/>
        <v>5</v>
      </c>
      <c r="EK176" s="3" t="s">
        <v>124</v>
      </c>
      <c r="EL176" s="3" t="str">
        <f>Respostas_Formatadas!BC176</f>
        <v>Aracaju</v>
      </c>
      <c r="EN176" s="25"/>
      <c r="MC176" s="3" t="s">
        <v>292</v>
      </c>
      <c r="MG176" s="3" t="s">
        <v>292</v>
      </c>
      <c r="MI176" s="25"/>
      <c r="MK176" s="3" t="s">
        <v>292</v>
      </c>
      <c r="OG176" s="25"/>
    </row>
    <row r="177" spans="68:397" ht="15.75" customHeight="1" x14ac:dyDescent="0.2">
      <c r="BP177" s="3" t="str">
        <f>Respostas_Formatadas!C177</f>
        <v>Tecnologia em Gestão de Turismo</v>
      </c>
      <c r="BQ177" s="3" t="str">
        <f>Respostas_Formatadas!AD177</f>
        <v>Representante de Atendimento</v>
      </c>
      <c r="BR177" s="3" t="s">
        <v>739</v>
      </c>
      <c r="BS177" s="25">
        <f t="shared" si="153"/>
        <v>1</v>
      </c>
      <c r="CY177" s="3" t="str">
        <f t="shared" si="135"/>
        <v>Tecnologia em Gestão de Turismo</v>
      </c>
      <c r="CZ177" s="3" t="str">
        <f>Respostas_Formatadas!AP177</f>
        <v>Representante de Atendimento</v>
      </c>
      <c r="DA177" s="3" t="s">
        <v>739</v>
      </c>
      <c r="DB177" s="25">
        <f t="shared" si="154"/>
        <v>1</v>
      </c>
      <c r="EK177" s="3" t="s">
        <v>125</v>
      </c>
      <c r="EL177" s="3" t="str">
        <f>Respostas_Formatadas!BC177</f>
        <v>Aracaju</v>
      </c>
      <c r="EN177" s="25"/>
      <c r="MC177" s="3" t="s">
        <v>358</v>
      </c>
      <c r="MG177" s="3" t="s">
        <v>358</v>
      </c>
      <c r="MI177" s="25"/>
      <c r="MK177" s="3" t="s">
        <v>358</v>
      </c>
      <c r="OG177" s="25"/>
    </row>
    <row r="178" spans="68:397" ht="15.75" customHeight="1" x14ac:dyDescent="0.2">
      <c r="BP178" s="3" t="str">
        <f>Respostas_Formatadas!C178</f>
        <v>Tecnologia em Agroecologia</v>
      </c>
      <c r="BQ178" s="3">
        <f>Respostas_Formatadas!AD178</f>
        <v>0</v>
      </c>
      <c r="CY178" s="3" t="str">
        <f t="shared" si="135"/>
        <v>Tecnologia em Agroecologia</v>
      </c>
      <c r="CZ178" s="3">
        <f>Respostas_Formatadas!AP178</f>
        <v>0</v>
      </c>
      <c r="EK178" s="3" t="s">
        <v>130</v>
      </c>
      <c r="EN178" s="25"/>
      <c r="MC178" s="3" t="s">
        <v>1290</v>
      </c>
      <c r="MG178" s="3" t="s">
        <v>292</v>
      </c>
      <c r="MI178" s="25"/>
      <c r="MK178" s="3" t="s">
        <v>358</v>
      </c>
      <c r="OG178" s="25"/>
    </row>
    <row r="179" spans="68:397" ht="15.75" customHeight="1" x14ac:dyDescent="0.2">
      <c r="BP179" s="3" t="str">
        <f>Respostas_Formatadas!C179</f>
        <v>Tecnologia em Saneamento Ambiental</v>
      </c>
      <c r="BQ179" s="3">
        <f>Respostas_Formatadas!AD179</f>
        <v>0</v>
      </c>
      <c r="CY179" s="3" t="str">
        <f t="shared" si="135"/>
        <v>Tecnologia em Saneamento Ambiental</v>
      </c>
      <c r="CZ179" s="3">
        <f>Respostas_Formatadas!AP179</f>
        <v>0</v>
      </c>
      <c r="EK179" s="3" t="s">
        <v>124</v>
      </c>
      <c r="EN179" s="25"/>
      <c r="MC179" s="3" t="s">
        <v>292</v>
      </c>
      <c r="MG179" s="3" t="s">
        <v>292</v>
      </c>
      <c r="MI179" s="25"/>
      <c r="MK179" s="3" t="s">
        <v>292</v>
      </c>
      <c r="OG179" s="25"/>
    </row>
    <row r="180" spans="68:397" ht="15.75" customHeight="1" x14ac:dyDescent="0.2">
      <c r="BP180" s="3" t="str">
        <f>Respostas_Formatadas!C180</f>
        <v>Bacharelado em Engenharia Civil</v>
      </c>
      <c r="BQ180" s="3">
        <f>Respostas_Formatadas!AD180</f>
        <v>0</v>
      </c>
      <c r="CY180" s="3" t="str">
        <f t="shared" si="135"/>
        <v>Bacharelado em Engenharia Civil</v>
      </c>
      <c r="CZ180" s="3">
        <f>Respostas_Formatadas!AP180</f>
        <v>0</v>
      </c>
      <c r="EK180" s="3" t="s">
        <v>119</v>
      </c>
      <c r="EN180" s="25"/>
      <c r="MC180" s="3" t="s">
        <v>292</v>
      </c>
      <c r="MG180" s="3" t="s">
        <v>292</v>
      </c>
      <c r="MI180" s="25"/>
      <c r="MK180" s="3" t="s">
        <v>292</v>
      </c>
      <c r="OG180" s="25"/>
    </row>
    <row r="181" spans="68:397" ht="15.75" customHeight="1" x14ac:dyDescent="0.2">
      <c r="BP181" s="3" t="str">
        <f>Respostas_Formatadas!C181</f>
        <v>Tecnologia em Gestão de Turismo</v>
      </c>
      <c r="BQ181" s="3" t="str">
        <f>Respostas_Formatadas!AD181</f>
        <v>Atendente</v>
      </c>
      <c r="BR181" s="3" t="s">
        <v>578</v>
      </c>
      <c r="BS181" s="25">
        <f>COUNTIF($BR$3:$BR$273,BR181)</f>
        <v>3</v>
      </c>
      <c r="CY181" s="3" t="str">
        <f t="shared" si="135"/>
        <v>Tecnologia em Gestão de Turismo</v>
      </c>
      <c r="CZ181" s="3" t="str">
        <f>Respostas_Formatadas!AP181</f>
        <v>Supervisao</v>
      </c>
      <c r="DA181" s="3" t="s">
        <v>1234</v>
      </c>
      <c r="DB181" s="25">
        <f>COUNTIF($DA$3:$DA$273,DA181)</f>
        <v>1</v>
      </c>
      <c r="EK181" s="3" t="s">
        <v>125</v>
      </c>
      <c r="EL181" s="3" t="str">
        <f>Respostas_Formatadas!BC181</f>
        <v>Aracaju</v>
      </c>
      <c r="EN181" s="25"/>
      <c r="MC181" s="3" t="s">
        <v>292</v>
      </c>
      <c r="MG181" s="3" t="s">
        <v>292</v>
      </c>
      <c r="MI181" s="25"/>
      <c r="MK181" s="3" t="s">
        <v>292</v>
      </c>
      <c r="OG181" s="25"/>
    </row>
    <row r="182" spans="68:397" ht="15.75" customHeight="1" x14ac:dyDescent="0.2">
      <c r="BP182" s="3" t="str">
        <f>Respostas_Formatadas!C182</f>
        <v>Tecnologia em Saneamento Ambiental</v>
      </c>
      <c r="BQ182" s="3">
        <f>Respostas_Formatadas!AD182</f>
        <v>0</v>
      </c>
      <c r="CY182" s="3" t="str">
        <f t="shared" si="135"/>
        <v>Tecnologia em Saneamento Ambiental</v>
      </c>
      <c r="CZ182" s="3">
        <f>Respostas_Formatadas!AP182</f>
        <v>0</v>
      </c>
      <c r="EK182" s="3" t="s">
        <v>124</v>
      </c>
      <c r="EN182" s="25"/>
      <c r="MC182" s="3" t="s">
        <v>358</v>
      </c>
      <c r="MG182" s="3" t="s">
        <v>358</v>
      </c>
      <c r="MI182" s="25"/>
      <c r="MK182" s="3" t="s">
        <v>358</v>
      </c>
      <c r="OG182" s="25"/>
    </row>
    <row r="183" spans="68:397" ht="15.75" customHeight="1" x14ac:dyDescent="0.2">
      <c r="BP183" s="3" t="str">
        <f>Respostas_Formatadas!C183</f>
        <v>Tecnologia em Agroecologia</v>
      </c>
      <c r="BQ183" s="3">
        <f>Respostas_Formatadas!AD183</f>
        <v>0</v>
      </c>
      <c r="CY183" s="3" t="str">
        <f t="shared" si="135"/>
        <v>Tecnologia em Agroecologia</v>
      </c>
      <c r="CZ183" s="3">
        <f>Respostas_Formatadas!AP183</f>
        <v>0</v>
      </c>
      <c r="EK183" s="3" t="s">
        <v>130</v>
      </c>
      <c r="EN183" s="25"/>
      <c r="MC183" s="3" t="s">
        <v>1291</v>
      </c>
      <c r="MG183" s="3" t="s">
        <v>292</v>
      </c>
      <c r="MI183" s="25"/>
      <c r="MK183" s="3" t="s">
        <v>292</v>
      </c>
      <c r="OG183" s="25"/>
    </row>
    <row r="184" spans="68:397" ht="15.75" customHeight="1" x14ac:dyDescent="0.2">
      <c r="BP184" s="3" t="str">
        <f>Respostas_Formatadas!C184</f>
        <v>Licenciatura em Química</v>
      </c>
      <c r="BQ184" s="3" t="str">
        <f>Respostas_Formatadas!AD184</f>
        <v xml:space="preserve">Professor de Química </v>
      </c>
      <c r="BR184" s="3" t="s">
        <v>388</v>
      </c>
      <c r="BS184" s="25">
        <f t="shared" ref="BS184:BS187" si="155">COUNTIF($BR$3:$BR$273,BR184)</f>
        <v>31</v>
      </c>
      <c r="CY184" s="3" t="str">
        <f t="shared" si="135"/>
        <v>Licenciatura em Química</v>
      </c>
      <c r="CZ184" s="3" t="str">
        <f>Respostas_Formatadas!AP184</f>
        <v xml:space="preserve">Professor de Química  </v>
      </c>
      <c r="DA184" s="3" t="s">
        <v>388</v>
      </c>
      <c r="DB184" s="25">
        <f t="shared" ref="DB184:DB186" si="156">COUNTIF($DA$3:$DA$273,DA184)</f>
        <v>26</v>
      </c>
      <c r="EK184" s="3" t="s">
        <v>121</v>
      </c>
      <c r="EL184" s="3" t="str">
        <f>Respostas_Formatadas!BC184</f>
        <v>Aracaju</v>
      </c>
      <c r="EN184" s="25"/>
      <c r="MC184" s="3" t="s">
        <v>292</v>
      </c>
      <c r="MG184" s="3" t="s">
        <v>292</v>
      </c>
      <c r="MI184" s="25"/>
      <c r="MK184" s="3" t="s">
        <v>292</v>
      </c>
      <c r="OG184" s="25"/>
    </row>
    <row r="185" spans="68:397" ht="15.75" customHeight="1" x14ac:dyDescent="0.2">
      <c r="BP185" s="3" t="str">
        <f>Respostas_Formatadas!C185</f>
        <v>Bacharelado em Engenharia Civil</v>
      </c>
      <c r="BQ185" s="3" t="str">
        <f>Respostas_Formatadas!AD185</f>
        <v>projetista 1</v>
      </c>
      <c r="BR185" s="3" t="s">
        <v>1139</v>
      </c>
      <c r="BS185" s="25">
        <f t="shared" si="155"/>
        <v>1</v>
      </c>
      <c r="CY185" s="3" t="str">
        <f t="shared" si="135"/>
        <v>Bacharelado em Engenharia Civil</v>
      </c>
      <c r="CZ185" s="3" t="str">
        <f>Respostas_Formatadas!AP185</f>
        <v>engenheiro civil</v>
      </c>
      <c r="DA185" s="3" t="s">
        <v>424</v>
      </c>
      <c r="DB185" s="25">
        <f t="shared" si="156"/>
        <v>14</v>
      </c>
      <c r="EK185" s="3" t="s">
        <v>119</v>
      </c>
      <c r="EL185" s="3" t="str">
        <f>Respostas_Formatadas!BC185</f>
        <v>São Miguel do Aleixo</v>
      </c>
      <c r="EN185" s="25"/>
      <c r="MC185" s="3" t="s">
        <v>322</v>
      </c>
      <c r="MG185" s="3" t="s">
        <v>322</v>
      </c>
      <c r="MI185" s="25"/>
      <c r="MK185" s="3" t="s">
        <v>322</v>
      </c>
      <c r="OG185" s="25"/>
    </row>
    <row r="186" spans="68:397" ht="15.75" customHeight="1" x14ac:dyDescent="0.2">
      <c r="BP186" s="3" t="str">
        <f>Respostas_Formatadas!C186</f>
        <v>Bacharelado em Engenharia Civil</v>
      </c>
      <c r="BQ186" s="3" t="str">
        <f>Respostas_Formatadas!AD186</f>
        <v>Assistente</v>
      </c>
      <c r="BR186" s="3" t="s">
        <v>605</v>
      </c>
      <c r="BS186" s="25">
        <f t="shared" si="155"/>
        <v>2</v>
      </c>
      <c r="CY186" s="3" t="str">
        <f t="shared" si="135"/>
        <v>Bacharelado em Engenharia Civil</v>
      </c>
      <c r="CZ186" s="3" t="str">
        <f>Respostas_Formatadas!AP186</f>
        <v>Engenheira Civil</v>
      </c>
      <c r="DA186" s="3" t="s">
        <v>424</v>
      </c>
      <c r="DB186" s="25">
        <f t="shared" si="156"/>
        <v>14</v>
      </c>
      <c r="EK186" s="3" t="s">
        <v>119</v>
      </c>
      <c r="EL186" s="3" t="str">
        <f>Respostas_Formatadas!BC186</f>
        <v>Recife - PE</v>
      </c>
      <c r="EN186" s="25"/>
      <c r="MC186" s="3" t="s">
        <v>754</v>
      </c>
      <c r="MG186" s="3" t="s">
        <v>292</v>
      </c>
      <c r="MI186" s="25"/>
      <c r="MK186" s="3" t="s">
        <v>754</v>
      </c>
      <c r="OG186" s="25"/>
    </row>
    <row r="187" spans="68:397" ht="15.75" customHeight="1" x14ac:dyDescent="0.2">
      <c r="BP187" s="3" t="str">
        <f>Respostas_Formatadas!C187</f>
        <v>Tecnologia em Gestão de Turismo</v>
      </c>
      <c r="BQ187" s="3" t="str">
        <f>Respostas_Formatadas!AD187</f>
        <v>supervisor</v>
      </c>
      <c r="BR187" s="3" t="s">
        <v>791</v>
      </c>
      <c r="BS187" s="25">
        <f t="shared" si="155"/>
        <v>1</v>
      </c>
      <c r="CY187" s="3" t="str">
        <f t="shared" si="135"/>
        <v>Tecnologia em Gestão de Turismo</v>
      </c>
      <c r="CZ187" s="3">
        <f>Respostas_Formatadas!AP187</f>
        <v>0</v>
      </c>
      <c r="EK187" s="3" t="s">
        <v>125</v>
      </c>
      <c r="EN187" s="25"/>
      <c r="MC187" s="3" t="s">
        <v>292</v>
      </c>
      <c r="MG187" s="3" t="s">
        <v>292</v>
      </c>
      <c r="MI187" s="25"/>
      <c r="MK187" s="3" t="s">
        <v>292</v>
      </c>
      <c r="OG187" s="25"/>
    </row>
    <row r="188" spans="68:397" ht="15.75" customHeight="1" x14ac:dyDescent="0.2">
      <c r="BP188" s="3" t="str">
        <f>Respostas_Formatadas!C188</f>
        <v>Tecnologia em Saneamento Ambiental</v>
      </c>
      <c r="BQ188" s="3">
        <f>Respostas_Formatadas!AD188</f>
        <v>0</v>
      </c>
      <c r="CY188" s="3" t="str">
        <f t="shared" si="135"/>
        <v>Tecnologia em Saneamento Ambiental</v>
      </c>
      <c r="CZ188" s="3">
        <f>Respostas_Formatadas!AP188</f>
        <v>0</v>
      </c>
      <c r="EK188" s="3" t="s">
        <v>124</v>
      </c>
      <c r="EN188" s="25"/>
      <c r="MC188" s="3" t="s">
        <v>292</v>
      </c>
      <c r="MG188" s="3" t="s">
        <v>292</v>
      </c>
      <c r="MI188" s="25"/>
      <c r="MK188" s="3" t="s">
        <v>292</v>
      </c>
      <c r="OG188" s="25"/>
    </row>
    <row r="189" spans="68:397" ht="15.75" customHeight="1" x14ac:dyDescent="0.2">
      <c r="BP189" s="3" t="str">
        <f>Respostas_Formatadas!C189</f>
        <v>Tecnologia em Gestão de Turismo</v>
      </c>
      <c r="BQ189" s="3">
        <f>Respostas_Formatadas!AD189</f>
        <v>0</v>
      </c>
      <c r="CY189" s="3" t="str">
        <f t="shared" si="135"/>
        <v>Tecnologia em Gestão de Turismo</v>
      </c>
      <c r="CZ189" s="3">
        <f>Respostas_Formatadas!AP189</f>
        <v>0</v>
      </c>
      <c r="EK189" s="3" t="s">
        <v>125</v>
      </c>
      <c r="EN189" s="25"/>
      <c r="MC189" s="3" t="s">
        <v>616</v>
      </c>
      <c r="MG189" s="3" t="s">
        <v>616</v>
      </c>
      <c r="MI189" s="25"/>
      <c r="MK189" s="3" t="s">
        <v>616</v>
      </c>
      <c r="OG189" s="25"/>
    </row>
    <row r="190" spans="68:397" ht="15.75" customHeight="1" x14ac:dyDescent="0.2">
      <c r="BP190" s="3" t="str">
        <f>Respostas_Formatadas!C190</f>
        <v>Licenciatura em Química</v>
      </c>
      <c r="BQ190" s="3" t="str">
        <f>Respostas_Formatadas!AD190</f>
        <v xml:space="preserve">Professor </v>
      </c>
      <c r="BR190" s="3" t="s">
        <v>388</v>
      </c>
      <c r="BS190" s="25">
        <f>COUNTIF($BR$3:$BR$273,BR190)</f>
        <v>31</v>
      </c>
      <c r="CY190" s="3" t="str">
        <f t="shared" si="135"/>
        <v>Licenciatura em Química</v>
      </c>
      <c r="CZ190" s="3" t="str">
        <f>Respostas_Formatadas!AP190</f>
        <v xml:space="preserve">Professor </v>
      </c>
      <c r="DA190" s="3" t="s">
        <v>388</v>
      </c>
      <c r="DB190" s="25">
        <f>COUNTIF($DA$3:$DA$273,DA190)</f>
        <v>26</v>
      </c>
      <c r="EK190" s="3" t="s">
        <v>121</v>
      </c>
      <c r="EL190" s="3" t="str">
        <f>Respostas_Formatadas!BC190</f>
        <v>Penedo - AL</v>
      </c>
      <c r="EN190" s="25"/>
      <c r="MC190" s="3" t="s">
        <v>292</v>
      </c>
      <c r="MG190" s="3" t="s">
        <v>292</v>
      </c>
      <c r="MI190" s="25"/>
      <c r="MK190" s="3" t="s">
        <v>1309</v>
      </c>
      <c r="OG190" s="25"/>
    </row>
    <row r="191" spans="68:397" ht="15.75" customHeight="1" x14ac:dyDescent="0.2">
      <c r="BP191" s="3" t="str">
        <f>Respostas_Formatadas!C191</f>
        <v>Tecnologia em Laticínios</v>
      </c>
      <c r="BQ191" s="3">
        <f>Respostas_Formatadas!AD191</f>
        <v>0</v>
      </c>
      <c r="CY191" s="3" t="str">
        <f t="shared" si="135"/>
        <v>Tecnologia em Laticínios</v>
      </c>
      <c r="CZ191" s="3">
        <f>Respostas_Formatadas!AP191</f>
        <v>0</v>
      </c>
      <c r="EK191" s="3" t="s">
        <v>128</v>
      </c>
      <c r="EN191" s="25"/>
      <c r="MC191" s="3" t="s">
        <v>761</v>
      </c>
      <c r="MG191" s="3" t="s">
        <v>761</v>
      </c>
      <c r="MI191" s="25"/>
      <c r="MK191" s="3" t="s">
        <v>761</v>
      </c>
      <c r="OG191" s="25"/>
    </row>
    <row r="192" spans="68:397" ht="15.75" customHeight="1" x14ac:dyDescent="0.2">
      <c r="BP192" s="3" t="str">
        <f>Respostas_Formatadas!C192</f>
        <v>Tecnologia em Logística</v>
      </c>
      <c r="BQ192" s="3">
        <f>Respostas_Formatadas!AD192</f>
        <v>0</v>
      </c>
      <c r="CY192" s="3" t="str">
        <f t="shared" si="135"/>
        <v>Tecnologia em Logística</v>
      </c>
      <c r="CZ192" s="3">
        <f>Respostas_Formatadas!AP192</f>
        <v>0</v>
      </c>
      <c r="EK192" s="3" t="s">
        <v>127</v>
      </c>
      <c r="EN192" s="25"/>
      <c r="MC192" s="3" t="s">
        <v>322</v>
      </c>
      <c r="MG192" s="3" t="s">
        <v>322</v>
      </c>
      <c r="MI192" s="25"/>
      <c r="MK192" s="3" t="s">
        <v>322</v>
      </c>
      <c r="OG192" s="25"/>
    </row>
    <row r="193" spans="68:397" ht="15.75" customHeight="1" x14ac:dyDescent="0.2">
      <c r="BP193" s="3" t="str">
        <f>Respostas_Formatadas!C193</f>
        <v>Licenciatura em Matemática</v>
      </c>
      <c r="BQ193" s="3" t="str">
        <f>Respostas_Formatadas!AD193</f>
        <v>SERVIÇO BASICO</v>
      </c>
      <c r="BR193" s="3" t="s">
        <v>1140</v>
      </c>
      <c r="BS193" s="25">
        <f t="shared" ref="BS193:BS196" si="157">COUNTIF($BR$3:$BR$273,BR193)</f>
        <v>1</v>
      </c>
      <c r="CY193" s="3" t="str">
        <f t="shared" si="135"/>
        <v>Licenciatura em Matemática</v>
      </c>
      <c r="CZ193" s="3" t="str">
        <f>Respostas_Formatadas!AP193</f>
        <v>EXECUTOR DE SERVIÇO BASICO</v>
      </c>
      <c r="DA193" s="3" t="s">
        <v>1140</v>
      </c>
      <c r="DB193" s="25">
        <f>COUNTIF($DA$3:$DA$273,DA193)</f>
        <v>1</v>
      </c>
      <c r="EK193" s="3" t="s">
        <v>122</v>
      </c>
      <c r="EL193" s="3" t="str">
        <f>Respostas_Formatadas!BC193</f>
        <v>São Cristóvão</v>
      </c>
      <c r="EN193" s="25"/>
      <c r="MC193" s="3" t="s">
        <v>399</v>
      </c>
      <c r="MG193" s="3" t="s">
        <v>399</v>
      </c>
      <c r="MI193" s="25"/>
      <c r="MK193" s="3" t="s">
        <v>399</v>
      </c>
      <c r="OG193" s="25"/>
    </row>
    <row r="194" spans="68:397" ht="15.75" customHeight="1" x14ac:dyDescent="0.2">
      <c r="BP194" s="3" t="str">
        <f>Respostas_Formatadas!C194</f>
        <v>Tecnologia em Logística</v>
      </c>
      <c r="BQ194" s="3" t="str">
        <f>Respostas_Formatadas!AD194</f>
        <v>Almoxarife</v>
      </c>
      <c r="BR194" s="3" t="s">
        <v>769</v>
      </c>
      <c r="BS194" s="25">
        <f t="shared" si="157"/>
        <v>1</v>
      </c>
      <c r="CY194" s="3" t="str">
        <f t="shared" si="135"/>
        <v>Tecnologia em Logística</v>
      </c>
      <c r="CZ194" s="3">
        <f>Respostas_Formatadas!AP194</f>
        <v>0</v>
      </c>
      <c r="EK194" s="3" t="s">
        <v>127</v>
      </c>
      <c r="EN194" s="25"/>
      <c r="MC194" s="3" t="s">
        <v>322</v>
      </c>
      <c r="MG194" s="3" t="s">
        <v>322</v>
      </c>
      <c r="MI194" s="25"/>
      <c r="MK194" s="3" t="s">
        <v>322</v>
      </c>
      <c r="OG194" s="25"/>
    </row>
    <row r="195" spans="68:397" ht="15.75" customHeight="1" x14ac:dyDescent="0.2">
      <c r="BP195" s="3" t="str">
        <f>Respostas_Formatadas!C195</f>
        <v>Tecnologia em Agroecologia</v>
      </c>
      <c r="BQ195" s="3" t="str">
        <f>Respostas_Formatadas!AD195</f>
        <v>diretor de projetos</v>
      </c>
      <c r="BR195" s="3" t="s">
        <v>1141</v>
      </c>
      <c r="BS195" s="25">
        <f t="shared" si="157"/>
        <v>1</v>
      </c>
      <c r="CY195" s="3" t="str">
        <f t="shared" si="135"/>
        <v>Tecnologia em Agroecologia</v>
      </c>
      <c r="CZ195" s="3">
        <f>Respostas_Formatadas!AP195</f>
        <v>0</v>
      </c>
      <c r="EK195" s="3" t="s">
        <v>130</v>
      </c>
      <c r="EN195" s="25"/>
      <c r="MC195" s="3" t="s">
        <v>1299</v>
      </c>
      <c r="MG195" s="3" t="s">
        <v>292</v>
      </c>
      <c r="MI195" s="25"/>
      <c r="MK195" s="3" t="s">
        <v>1320</v>
      </c>
      <c r="OG195" s="25"/>
    </row>
    <row r="196" spans="68:397" ht="15.75" customHeight="1" x14ac:dyDescent="0.2">
      <c r="BP196" s="3" t="str">
        <f>Respostas_Formatadas!C196</f>
        <v>Bacharelado em Engenharia Civil</v>
      </c>
      <c r="BQ196" s="3" t="str">
        <f>Respostas_Formatadas!AD196</f>
        <v>Assessora da Diretoria</v>
      </c>
      <c r="BR196" s="3" t="s">
        <v>1142</v>
      </c>
      <c r="BS196" s="25">
        <f t="shared" si="157"/>
        <v>1</v>
      </c>
      <c r="CY196" s="3" t="str">
        <f t="shared" ref="CY196:CY259" si="158">BP196</f>
        <v>Bacharelado em Engenharia Civil</v>
      </c>
      <c r="CZ196" s="3" t="str">
        <f>Respostas_Formatadas!AP196</f>
        <v>Engenheira Civil</v>
      </c>
      <c r="DA196" s="3" t="s">
        <v>424</v>
      </c>
      <c r="DB196" s="25">
        <f>COUNTIF($DA$3:$DA$273,DA196)</f>
        <v>14</v>
      </c>
      <c r="EK196" s="3" t="s">
        <v>119</v>
      </c>
      <c r="EN196" s="25"/>
      <c r="MC196" s="3" t="s">
        <v>292</v>
      </c>
      <c r="MG196" s="3" t="s">
        <v>292</v>
      </c>
      <c r="MI196" s="25"/>
      <c r="MK196" s="3" t="s">
        <v>292</v>
      </c>
      <c r="OG196" s="25"/>
    </row>
    <row r="197" spans="68:397" ht="15.75" customHeight="1" x14ac:dyDescent="0.2">
      <c r="BP197" s="3" t="str">
        <f>Respostas_Formatadas!C197</f>
        <v>Tecnologia em Gestão de Turismo</v>
      </c>
      <c r="BQ197" s="3">
        <f>Respostas_Formatadas!AD197</f>
        <v>0</v>
      </c>
      <c r="CY197" s="3" t="str">
        <f t="shared" si="158"/>
        <v>Tecnologia em Gestão de Turismo</v>
      </c>
      <c r="CZ197" s="3">
        <f>Respostas_Formatadas!AP197</f>
        <v>0</v>
      </c>
      <c r="EK197" s="3" t="s">
        <v>125</v>
      </c>
      <c r="EN197" s="25"/>
      <c r="MC197" s="3" t="s">
        <v>292</v>
      </c>
      <c r="MG197" s="3" t="s">
        <v>292</v>
      </c>
      <c r="MI197" s="25"/>
      <c r="MK197" s="3" t="s">
        <v>292</v>
      </c>
      <c r="OG197" s="25"/>
    </row>
    <row r="198" spans="68:397" ht="15.75" customHeight="1" x14ac:dyDescent="0.2">
      <c r="BP198" s="3" t="str">
        <f>Respostas_Formatadas!C198</f>
        <v>Tecnologia em Saneamento Ambiental</v>
      </c>
      <c r="BQ198" s="3" t="str">
        <f>Respostas_Formatadas!AD198</f>
        <v>Analista Ambiental</v>
      </c>
      <c r="BR198" s="3" t="s">
        <v>530</v>
      </c>
      <c r="BS198" s="25">
        <f t="shared" ref="BS198:BS200" si="159">COUNTIF($BR$3:$BR$273,BR198)</f>
        <v>4</v>
      </c>
      <c r="CY198" s="3" t="str">
        <f t="shared" si="158"/>
        <v>Tecnologia em Saneamento Ambiental</v>
      </c>
      <c r="CZ198" s="3" t="str">
        <f>Respostas_Formatadas!AP198</f>
        <v>Analista Ambiental</v>
      </c>
      <c r="DA198" s="3" t="s">
        <v>530</v>
      </c>
      <c r="DB198" s="25">
        <f t="shared" ref="DB198:DB200" si="160">COUNTIF($DA$3:$DA$273,DA198)</f>
        <v>5</v>
      </c>
      <c r="EK198" s="3" t="s">
        <v>124</v>
      </c>
      <c r="EL198" s="3" t="str">
        <f>Respostas_Formatadas!BC198</f>
        <v>Aracaju</v>
      </c>
      <c r="EN198" s="25"/>
      <c r="MC198" s="3" t="s">
        <v>292</v>
      </c>
      <c r="MG198" s="3" t="s">
        <v>292</v>
      </c>
      <c r="MI198" s="25"/>
      <c r="MK198" s="3" t="s">
        <v>778</v>
      </c>
      <c r="OG198" s="25"/>
    </row>
    <row r="199" spans="68:397" ht="15.75" customHeight="1" x14ac:dyDescent="0.2">
      <c r="BP199" s="3" t="str">
        <f>Respostas_Formatadas!C199</f>
        <v>Licenciatura em Matemática</v>
      </c>
      <c r="BQ199" s="3" t="str">
        <f>Respostas_Formatadas!AD199</f>
        <v>Professor</v>
      </c>
      <c r="BR199" s="3" t="s">
        <v>388</v>
      </c>
      <c r="BS199" s="25">
        <f t="shared" si="159"/>
        <v>31</v>
      </c>
      <c r="CY199" s="3" t="str">
        <f t="shared" si="158"/>
        <v>Licenciatura em Matemática</v>
      </c>
      <c r="CZ199" s="3" t="str">
        <f>Respostas_Formatadas!AP199</f>
        <v xml:space="preserve">Professor autônomo </v>
      </c>
      <c r="DA199" s="3" t="s">
        <v>388</v>
      </c>
      <c r="DB199" s="25">
        <f t="shared" si="160"/>
        <v>26</v>
      </c>
      <c r="EK199" s="3" t="s">
        <v>122</v>
      </c>
      <c r="EN199" s="25"/>
      <c r="MC199" s="3" t="s">
        <v>1315</v>
      </c>
      <c r="MG199" s="3" t="s">
        <v>292</v>
      </c>
      <c r="MI199" s="25"/>
      <c r="MK199" s="3" t="s">
        <v>325</v>
      </c>
      <c r="OG199" s="25"/>
    </row>
    <row r="200" spans="68:397" ht="15.75" customHeight="1" x14ac:dyDescent="0.2">
      <c r="BP200" s="3" t="str">
        <f>Respostas_Formatadas!C200</f>
        <v>Bacharelado em Engenharia Civil</v>
      </c>
      <c r="BQ200" s="3" t="str">
        <f>Respostas_Formatadas!AD200</f>
        <v>Engenheiro civil</v>
      </c>
      <c r="BR200" s="3" t="s">
        <v>424</v>
      </c>
      <c r="BS200" s="25">
        <f t="shared" si="159"/>
        <v>8</v>
      </c>
      <c r="CY200" s="3" t="str">
        <f t="shared" si="158"/>
        <v>Bacharelado em Engenharia Civil</v>
      </c>
      <c r="CZ200" s="3" t="str">
        <f>Respostas_Formatadas!AP200</f>
        <v xml:space="preserve"> Engenheiro civil</v>
      </c>
      <c r="DA200" s="3" t="s">
        <v>424</v>
      </c>
      <c r="DB200" s="25">
        <f t="shared" si="160"/>
        <v>14</v>
      </c>
      <c r="EK200" s="3" t="s">
        <v>119</v>
      </c>
      <c r="EL200" s="3" t="str">
        <f>Respostas_Formatadas!BC200</f>
        <v>Aracaju</v>
      </c>
      <c r="EN200" s="25"/>
      <c r="MC200" s="3" t="s">
        <v>1316</v>
      </c>
      <c r="MG200" s="3" t="s">
        <v>292</v>
      </c>
      <c r="MI200" s="25"/>
      <c r="MK200" s="3" t="s">
        <v>292</v>
      </c>
      <c r="OG200" s="25"/>
    </row>
    <row r="201" spans="68:397" ht="15.75" customHeight="1" x14ac:dyDescent="0.2">
      <c r="BP201" s="3" t="str">
        <f>Respostas_Formatadas!C201</f>
        <v>Tecnologia em Agroecologia</v>
      </c>
      <c r="BQ201" s="3">
        <f>Respostas_Formatadas!AD201</f>
        <v>0</v>
      </c>
      <c r="CY201" s="3" t="str">
        <f t="shared" si="158"/>
        <v>Tecnologia em Agroecologia</v>
      </c>
      <c r="CZ201" s="3">
        <f>Respostas_Formatadas!AP201</f>
        <v>0</v>
      </c>
      <c r="EK201" s="3" t="s">
        <v>130</v>
      </c>
      <c r="EN201" s="25"/>
      <c r="MC201" s="3" t="s">
        <v>292</v>
      </c>
      <c r="MG201" s="3" t="s">
        <v>292</v>
      </c>
      <c r="MI201" s="25"/>
      <c r="MK201" s="3" t="s">
        <v>292</v>
      </c>
      <c r="OG201" s="25"/>
    </row>
    <row r="202" spans="68:397" ht="15.75" customHeight="1" x14ac:dyDescent="0.2">
      <c r="BP202" s="3" t="str">
        <f>Respostas_Formatadas!C202</f>
        <v>Licenciatura em Química</v>
      </c>
      <c r="BQ202" s="3">
        <f>Respostas_Formatadas!AD202</f>
        <v>0</v>
      </c>
      <c r="CY202" s="3" t="str">
        <f t="shared" si="158"/>
        <v>Licenciatura em Química</v>
      </c>
      <c r="CZ202" s="3">
        <f>Respostas_Formatadas!AP202</f>
        <v>0</v>
      </c>
      <c r="EK202" s="3" t="s">
        <v>121</v>
      </c>
      <c r="EN202" s="25"/>
      <c r="MC202" s="3" t="s">
        <v>292</v>
      </c>
      <c r="MG202" s="3" t="s">
        <v>292</v>
      </c>
      <c r="MI202" s="25"/>
      <c r="MK202" s="3" t="s">
        <v>292</v>
      </c>
      <c r="OG202" s="25"/>
    </row>
    <row r="203" spans="68:397" ht="15.75" customHeight="1" x14ac:dyDescent="0.2">
      <c r="BP203" s="3" t="str">
        <f>Respostas_Formatadas!C203</f>
        <v>Bacharelado em Engenharia Civil</v>
      </c>
      <c r="BQ203" s="3" t="str">
        <f>Respostas_Formatadas!AD203</f>
        <v>Assistente de Engenharia</v>
      </c>
      <c r="BR203" s="3" t="s">
        <v>657</v>
      </c>
      <c r="BS203" s="25">
        <f>COUNTIF($BR$3:$BR$273,BR203)</f>
        <v>2</v>
      </c>
      <c r="CY203" s="3" t="str">
        <f t="shared" si="158"/>
        <v>Bacharelado em Engenharia Civil</v>
      </c>
      <c r="CZ203" s="3" t="str">
        <f>Respostas_Formatadas!AP203</f>
        <v>Engenheiro Civil</v>
      </c>
      <c r="DA203" s="3" t="s">
        <v>424</v>
      </c>
      <c r="DB203" s="25">
        <f>COUNTIF($DA$3:$DA$273,DA203)</f>
        <v>14</v>
      </c>
      <c r="EK203" s="3" t="s">
        <v>119</v>
      </c>
      <c r="EL203" s="3" t="str">
        <f>Respostas_Formatadas!BC203</f>
        <v>Aracaju</v>
      </c>
      <c r="EN203" s="25"/>
      <c r="MC203" s="3" t="s">
        <v>292</v>
      </c>
      <c r="MG203" s="3" t="s">
        <v>292</v>
      </c>
      <c r="MI203" s="25"/>
      <c r="MK203" s="3" t="s">
        <v>292</v>
      </c>
      <c r="OG203" s="25"/>
    </row>
    <row r="204" spans="68:397" ht="15.75" customHeight="1" x14ac:dyDescent="0.2">
      <c r="BP204" s="3" t="str">
        <f>Respostas_Formatadas!C204</f>
        <v>Tecnologia em Alimentos</v>
      </c>
      <c r="BQ204" s="3">
        <f>Respostas_Formatadas!AD204</f>
        <v>0</v>
      </c>
      <c r="CY204" s="3" t="str">
        <f t="shared" si="158"/>
        <v>Tecnologia em Alimentos</v>
      </c>
      <c r="CZ204" s="3">
        <f>Respostas_Formatadas!AP204</f>
        <v>0</v>
      </c>
      <c r="EK204" s="3" t="s">
        <v>129</v>
      </c>
      <c r="EN204" s="25"/>
      <c r="MC204" s="3" t="s">
        <v>399</v>
      </c>
      <c r="MG204" s="3" t="s">
        <v>399</v>
      </c>
      <c r="MI204" s="25"/>
      <c r="MK204" s="3" t="s">
        <v>399</v>
      </c>
      <c r="OG204" s="25"/>
    </row>
    <row r="205" spans="68:397" ht="15.75" customHeight="1" x14ac:dyDescent="0.2">
      <c r="BP205" s="3" t="str">
        <f>Respostas_Formatadas!C205</f>
        <v>Licenciatura em Matemática</v>
      </c>
      <c r="BQ205" s="3" t="str">
        <f>Respostas_Formatadas!AD205</f>
        <v>Func. Público Estadual</v>
      </c>
      <c r="BR205" s="3" t="s">
        <v>1131</v>
      </c>
      <c r="BS205" s="25">
        <f>COUNTIF($BR$3:$BR$273,BR205)</f>
        <v>2</v>
      </c>
      <c r="CY205" s="3" t="str">
        <f t="shared" si="158"/>
        <v>Licenciatura em Matemática</v>
      </c>
      <c r="CZ205" s="3" t="str">
        <f>Respostas_Formatadas!AP205</f>
        <v>Policial Militar</v>
      </c>
      <c r="DA205" s="3" t="s">
        <v>409</v>
      </c>
      <c r="DB205" s="25">
        <f>COUNTIF($DA$3:$DA$273,DA205)</f>
        <v>3</v>
      </c>
      <c r="EK205" s="3" t="s">
        <v>122</v>
      </c>
      <c r="EL205" s="3" t="str">
        <f>Respostas_Formatadas!BC205</f>
        <v>Aracaju</v>
      </c>
      <c r="EN205" s="25"/>
      <c r="MC205" s="3" t="s">
        <v>358</v>
      </c>
      <c r="MG205" s="3" t="s">
        <v>358</v>
      </c>
      <c r="MI205" s="25"/>
      <c r="MK205" s="3" t="s">
        <v>358</v>
      </c>
      <c r="OG205" s="25"/>
    </row>
    <row r="206" spans="68:397" ht="15.75" customHeight="1" x14ac:dyDescent="0.2">
      <c r="BP206" s="3" t="str">
        <f>Respostas_Formatadas!C206</f>
        <v>Bacharelado em Engenharia Civil</v>
      </c>
      <c r="BQ206" s="3">
        <f>Respostas_Formatadas!AD206</f>
        <v>0</v>
      </c>
      <c r="CY206" s="3" t="str">
        <f t="shared" si="158"/>
        <v>Bacharelado em Engenharia Civil</v>
      </c>
      <c r="CZ206" s="3">
        <f>Respostas_Formatadas!AP206</f>
        <v>0</v>
      </c>
      <c r="EK206" s="3" t="s">
        <v>119</v>
      </c>
      <c r="EN206" s="25"/>
      <c r="MC206" s="3" t="s">
        <v>292</v>
      </c>
      <c r="MG206" s="3" t="s">
        <v>292</v>
      </c>
      <c r="MI206" s="25"/>
      <c r="MK206" s="3" t="s">
        <v>292</v>
      </c>
      <c r="OG206" s="25"/>
    </row>
    <row r="207" spans="68:397" ht="15.75" customHeight="1" x14ac:dyDescent="0.2">
      <c r="BP207" s="3" t="str">
        <f>Respostas_Formatadas!C207</f>
        <v>Tecnologia em Gestão de Turismo</v>
      </c>
      <c r="BQ207" s="3" t="str">
        <f>Respostas_Formatadas!AD207</f>
        <v>Auxiliar de Reservas</v>
      </c>
      <c r="BR207" s="3" t="s">
        <v>789</v>
      </c>
      <c r="BS207" s="25">
        <f t="shared" ref="BS207:BS212" si="161">COUNTIF($BR$3:$BR$273,BR207)</f>
        <v>1</v>
      </c>
      <c r="CY207" s="3" t="str">
        <f t="shared" si="158"/>
        <v>Tecnologia em Gestão de Turismo</v>
      </c>
      <c r="CZ207" s="3" t="str">
        <f>Respostas_Formatadas!AP207</f>
        <v>Supervisor</v>
      </c>
      <c r="DA207" s="3" t="s">
        <v>791</v>
      </c>
      <c r="DB207" s="25">
        <f t="shared" ref="DB207:DB209" si="162">COUNTIF($DA$3:$DA$273,DA207)</f>
        <v>1</v>
      </c>
      <c r="EK207" s="3" t="s">
        <v>125</v>
      </c>
      <c r="EL207" s="3" t="str">
        <f>Respostas_Formatadas!BC207</f>
        <v>Aracaju</v>
      </c>
      <c r="EN207" s="25"/>
      <c r="MC207" s="3" t="s">
        <v>292</v>
      </c>
      <c r="MG207" s="3" t="s">
        <v>292</v>
      </c>
      <c r="MI207" s="25"/>
      <c r="MK207" s="3" t="s">
        <v>292</v>
      </c>
      <c r="OG207" s="25"/>
    </row>
    <row r="208" spans="68:397" ht="15.75" customHeight="1" x14ac:dyDescent="0.2">
      <c r="BP208" s="3" t="str">
        <f>Respostas_Formatadas!C208</f>
        <v>Bacharelado em Sistemas de Informação</v>
      </c>
      <c r="BQ208" s="3" t="str">
        <f>Respostas_Formatadas!AD208</f>
        <v>Programador Web I</v>
      </c>
      <c r="BR208" s="3" t="s">
        <v>1143</v>
      </c>
      <c r="BS208" s="25">
        <f t="shared" si="161"/>
        <v>1</v>
      </c>
      <c r="CY208" s="3" t="str">
        <f t="shared" si="158"/>
        <v>Bacharelado em Sistemas de Informação</v>
      </c>
      <c r="CZ208" s="3" t="str">
        <f>Respostas_Formatadas!AP208</f>
        <v>Analista de Sistema</v>
      </c>
      <c r="DA208" s="3" t="s">
        <v>298</v>
      </c>
      <c r="DB208" s="25">
        <f t="shared" si="162"/>
        <v>5</v>
      </c>
      <c r="EK208" s="3" t="s">
        <v>120</v>
      </c>
      <c r="EL208" s="3" t="str">
        <f>Respostas_Formatadas!BC208</f>
        <v>Aracaju</v>
      </c>
      <c r="EN208" s="25"/>
      <c r="MC208" s="3" t="s">
        <v>796</v>
      </c>
      <c r="MG208" s="3" t="s">
        <v>796</v>
      </c>
      <c r="MI208" s="25"/>
      <c r="MK208" s="3" t="s">
        <v>292</v>
      </c>
      <c r="OG208" s="25"/>
    </row>
    <row r="209" spans="68:397" ht="15.75" customHeight="1" x14ac:dyDescent="0.2">
      <c r="BP209" s="3" t="str">
        <f>Respostas_Formatadas!C209</f>
        <v>Tecnologia em Laticínios</v>
      </c>
      <c r="BQ209" s="3" t="str">
        <f>Respostas_Formatadas!AD209</f>
        <v>Assistente administrativo</v>
      </c>
      <c r="BR209" s="3" t="s">
        <v>541</v>
      </c>
      <c r="BS209" s="25">
        <f t="shared" si="161"/>
        <v>7</v>
      </c>
      <c r="CY209" s="3" t="str">
        <f t="shared" si="158"/>
        <v>Tecnologia em Laticínios</v>
      </c>
      <c r="CZ209" s="3" t="str">
        <f>Respostas_Formatadas!AP209</f>
        <v>Assistente administrativa</v>
      </c>
      <c r="DA209" s="3" t="s">
        <v>541</v>
      </c>
      <c r="DB209" s="25">
        <f t="shared" si="162"/>
        <v>4</v>
      </c>
      <c r="EK209" s="3" t="s">
        <v>128</v>
      </c>
      <c r="EL209" s="3" t="str">
        <f>Respostas_Formatadas!BC209</f>
        <v>Nossa Senhora da Glória</v>
      </c>
      <c r="EN209" s="25"/>
      <c r="MC209" s="3" t="s">
        <v>800</v>
      </c>
      <c r="MG209" s="3" t="s">
        <v>800</v>
      </c>
      <c r="MI209" s="25"/>
      <c r="MK209" s="3" t="s">
        <v>328</v>
      </c>
      <c r="OG209" s="25"/>
    </row>
    <row r="210" spans="68:397" ht="15.75" customHeight="1" x14ac:dyDescent="0.2">
      <c r="BP210" s="3" t="str">
        <f>Respostas_Formatadas!C210</f>
        <v>Tecnologia em Automação Industrial</v>
      </c>
      <c r="BQ210" s="3" t="str">
        <f>Respostas_Formatadas!AD210</f>
        <v>Professor</v>
      </c>
      <c r="BR210" s="3" t="s">
        <v>388</v>
      </c>
      <c r="BS210" s="25">
        <f t="shared" si="161"/>
        <v>31</v>
      </c>
      <c r="CY210" s="3" t="str">
        <f t="shared" si="158"/>
        <v>Tecnologia em Automação Industrial</v>
      </c>
      <c r="CZ210" s="3">
        <f>Respostas_Formatadas!AP210</f>
        <v>0</v>
      </c>
      <c r="EK210" s="3" t="s">
        <v>126</v>
      </c>
      <c r="EN210" s="25"/>
      <c r="MC210" s="3" t="s">
        <v>292</v>
      </c>
      <c r="MG210" s="3" t="s">
        <v>291</v>
      </c>
      <c r="MI210" s="25"/>
      <c r="MK210" s="3" t="s">
        <v>292</v>
      </c>
      <c r="OG210" s="25"/>
    </row>
    <row r="211" spans="68:397" ht="15.75" customHeight="1" x14ac:dyDescent="0.2">
      <c r="BP211" s="3" t="str">
        <f>Respostas_Formatadas!C211</f>
        <v>Tecnologia em Logística</v>
      </c>
      <c r="BQ211" s="3" t="str">
        <f>Respostas_Formatadas!AD211</f>
        <v xml:space="preserve">Secretário </v>
      </c>
      <c r="BR211" s="3" t="s">
        <v>903</v>
      </c>
      <c r="BS211" s="25">
        <f t="shared" si="161"/>
        <v>1</v>
      </c>
      <c r="CY211" s="3" t="str">
        <f t="shared" si="158"/>
        <v>Tecnologia em Logística</v>
      </c>
      <c r="CZ211" s="3" t="str">
        <f>Respostas_Formatadas!AP211</f>
        <v xml:space="preserve">Secretário </v>
      </c>
      <c r="DA211" s="3" t="s">
        <v>903</v>
      </c>
      <c r="DB211" s="25">
        <f t="shared" ref="DB211:DB212" si="163">COUNTIF($DA$3:$DA$273,DA211)</f>
        <v>2</v>
      </c>
      <c r="EK211" s="3" t="s">
        <v>127</v>
      </c>
      <c r="EL211" s="3" t="str">
        <f>Respostas_Formatadas!BC211</f>
        <v>Campo do Brito</v>
      </c>
      <c r="EN211" s="25"/>
      <c r="MC211" s="3" t="s">
        <v>1292</v>
      </c>
      <c r="MG211" s="3" t="s">
        <v>1292</v>
      </c>
      <c r="MI211" s="25"/>
      <c r="MK211" s="3" t="s">
        <v>1292</v>
      </c>
      <c r="OG211" s="25"/>
    </row>
    <row r="212" spans="68:397" ht="15.75" customHeight="1" x14ac:dyDescent="0.2">
      <c r="BP212" s="3" t="str">
        <f>Respostas_Formatadas!C212</f>
        <v>Licenciatura em Matemática</v>
      </c>
      <c r="BQ212" s="3" t="str">
        <f>Respostas_Formatadas!AD212</f>
        <v>Auxiliar administrativo</v>
      </c>
      <c r="BR212" s="3" t="s">
        <v>326</v>
      </c>
      <c r="BS212" s="25">
        <f t="shared" si="161"/>
        <v>7</v>
      </c>
      <c r="CY212" s="3" t="str">
        <f t="shared" si="158"/>
        <v>Licenciatura em Matemática</v>
      </c>
      <c r="CZ212" s="3" t="str">
        <f>Respostas_Formatadas!AP212</f>
        <v>Assistente administrativo</v>
      </c>
      <c r="DA212" s="3" t="s">
        <v>541</v>
      </c>
      <c r="DB212" s="25">
        <f t="shared" si="163"/>
        <v>4</v>
      </c>
      <c r="EK212" s="3" t="s">
        <v>122</v>
      </c>
      <c r="EN212" s="25"/>
      <c r="MC212" s="3" t="s">
        <v>399</v>
      </c>
      <c r="MG212" s="3" t="s">
        <v>399</v>
      </c>
      <c r="MI212" s="25"/>
      <c r="MK212" s="3" t="s">
        <v>292</v>
      </c>
      <c r="OG212" s="25"/>
    </row>
    <row r="213" spans="68:397" ht="15.75" customHeight="1" x14ac:dyDescent="0.2">
      <c r="BP213" s="3" t="str">
        <f>Respostas_Formatadas!C213</f>
        <v>Bacharelado em Engenharia Civil</v>
      </c>
      <c r="BQ213" s="3">
        <f>Respostas_Formatadas!AD213</f>
        <v>0</v>
      </c>
      <c r="CY213" s="3" t="str">
        <f t="shared" si="158"/>
        <v>Bacharelado em Engenharia Civil</v>
      </c>
      <c r="CZ213" s="3">
        <f>Respostas_Formatadas!AP213</f>
        <v>0</v>
      </c>
      <c r="EK213" s="3" t="s">
        <v>119</v>
      </c>
      <c r="EN213" s="25"/>
      <c r="MC213" s="3" t="s">
        <v>292</v>
      </c>
      <c r="MG213" s="3" t="s">
        <v>292</v>
      </c>
      <c r="MI213" s="25"/>
      <c r="MK213" s="3" t="s">
        <v>292</v>
      </c>
      <c r="OG213" s="25"/>
    </row>
    <row r="214" spans="68:397" ht="15.75" customHeight="1" x14ac:dyDescent="0.2">
      <c r="BP214" s="3" t="str">
        <f>Respostas_Formatadas!C214</f>
        <v>Tecnologia em Saneamento Ambiental</v>
      </c>
      <c r="BQ214" s="3" t="str">
        <f>Respostas_Formatadas!AD214</f>
        <v>Coordenador</v>
      </c>
      <c r="BR214" s="3" t="s">
        <v>526</v>
      </c>
      <c r="BS214" s="25">
        <f t="shared" ref="BS214:BS215" si="164">COUNTIF($BR$3:$BR$273,BR214)</f>
        <v>2</v>
      </c>
      <c r="CY214" s="3" t="str">
        <f t="shared" si="158"/>
        <v>Tecnologia em Saneamento Ambiental</v>
      </c>
      <c r="CZ214" s="3" t="str">
        <f>Respostas_Formatadas!AP214</f>
        <v xml:space="preserve">Coordenador </v>
      </c>
      <c r="DA214" s="3" t="s">
        <v>526</v>
      </c>
      <c r="DB214" s="25">
        <f t="shared" ref="DB214:DB215" si="165">COUNTIF($DA$3:$DA$273,DA214)</f>
        <v>2</v>
      </c>
      <c r="EK214" s="3" t="s">
        <v>124</v>
      </c>
      <c r="EL214" s="3" t="str">
        <f>Respostas_Formatadas!BC214</f>
        <v>Recife - PE</v>
      </c>
      <c r="EN214" s="25"/>
      <c r="MC214" s="3" t="s">
        <v>292</v>
      </c>
      <c r="MG214" s="3" t="s">
        <v>292</v>
      </c>
      <c r="MI214" s="25"/>
      <c r="MK214" s="3" t="s">
        <v>754</v>
      </c>
      <c r="OG214" s="25"/>
    </row>
    <row r="215" spans="68:397" ht="15.75" customHeight="1" x14ac:dyDescent="0.2">
      <c r="BP215" s="3" t="str">
        <f>Respostas_Formatadas!C215</f>
        <v>Tecnologia em Laticínios</v>
      </c>
      <c r="BQ215" s="3" t="str">
        <f>Respostas_Formatadas!AD215</f>
        <v>Plataformista</v>
      </c>
      <c r="BR215" s="3" t="s">
        <v>810</v>
      </c>
      <c r="BS215" s="25">
        <f t="shared" si="164"/>
        <v>2</v>
      </c>
      <c r="CY215" s="3" t="str">
        <f t="shared" si="158"/>
        <v>Tecnologia em Laticínios</v>
      </c>
      <c r="CZ215" s="3" t="str">
        <f>Respostas_Formatadas!AP215</f>
        <v>Encarregado de Produção</v>
      </c>
      <c r="DA215" s="3" t="s">
        <v>418</v>
      </c>
      <c r="DB215" s="25">
        <f t="shared" si="165"/>
        <v>2</v>
      </c>
      <c r="EK215" s="3" t="s">
        <v>128</v>
      </c>
      <c r="EL215" s="3" t="str">
        <f>Respostas_Formatadas!BC215</f>
        <v>Nossa Senhora da Glória</v>
      </c>
      <c r="EN215" s="25"/>
      <c r="MC215" s="3" t="s">
        <v>353</v>
      </c>
      <c r="MG215" s="3" t="s">
        <v>328</v>
      </c>
      <c r="MI215" s="25"/>
      <c r="MK215" s="3" t="s">
        <v>328</v>
      </c>
      <c r="OG215" s="25"/>
    </row>
    <row r="216" spans="68:397" ht="15.75" customHeight="1" x14ac:dyDescent="0.2">
      <c r="BP216" s="3" t="str">
        <f>Respostas_Formatadas!C216</f>
        <v>Tecnologia em Logística</v>
      </c>
      <c r="BQ216" s="3">
        <f>Respostas_Formatadas!AD216</f>
        <v>0</v>
      </c>
      <c r="CY216" s="3" t="str">
        <f t="shared" si="158"/>
        <v>Tecnologia em Logística</v>
      </c>
      <c r="CZ216" s="3">
        <f>Respostas_Formatadas!AP216</f>
        <v>0</v>
      </c>
      <c r="EK216" s="3" t="s">
        <v>127</v>
      </c>
      <c r="EN216" s="25"/>
      <c r="MC216" s="3" t="s">
        <v>616</v>
      </c>
      <c r="MG216" s="3" t="s">
        <v>616</v>
      </c>
      <c r="MI216" s="25"/>
      <c r="MK216" s="3" t="s">
        <v>616</v>
      </c>
      <c r="OG216" s="25"/>
    </row>
    <row r="217" spans="68:397" ht="15.75" customHeight="1" x14ac:dyDescent="0.2">
      <c r="BP217" s="3" t="str">
        <f>Respostas_Formatadas!C217</f>
        <v>Tecnologia em Automação Industrial</v>
      </c>
      <c r="BQ217" s="3" t="str">
        <f>Respostas_Formatadas!AD217</f>
        <v>Tecnico em Eletroeletronica</v>
      </c>
      <c r="BR217" s="3" t="s">
        <v>1144</v>
      </c>
      <c r="BS217" s="25">
        <f>COUNTIF($BR$3:$BR$273,BR217)</f>
        <v>1</v>
      </c>
      <c r="CY217" s="3" t="str">
        <f t="shared" si="158"/>
        <v>Tecnologia em Automação Industrial</v>
      </c>
      <c r="CZ217" s="3" t="str">
        <f>Respostas_Formatadas!AP217</f>
        <v>Tecnico em Eletroeletronica</v>
      </c>
      <c r="DA217" s="3" t="s">
        <v>1144</v>
      </c>
      <c r="DB217" s="25">
        <f>COUNTIF($DA$3:$DA$273,DA217)</f>
        <v>1</v>
      </c>
      <c r="EK217" s="3" t="s">
        <v>126</v>
      </c>
      <c r="EL217" s="3" t="str">
        <f>Respostas_Formatadas!BC217</f>
        <v>Aracaju</v>
      </c>
      <c r="EN217" s="25"/>
      <c r="MC217" s="3" t="s">
        <v>325</v>
      </c>
      <c r="MG217" s="3" t="s">
        <v>325</v>
      </c>
      <c r="MI217" s="25"/>
      <c r="MK217" s="3" t="s">
        <v>325</v>
      </c>
      <c r="OG217" s="25"/>
    </row>
    <row r="218" spans="68:397" ht="15.75" customHeight="1" x14ac:dyDescent="0.2">
      <c r="BP218" s="3" t="str">
        <f>Respostas_Formatadas!C218</f>
        <v>Tecnologia em Logística</v>
      </c>
      <c r="BQ218" s="3">
        <f>Respostas_Formatadas!AD218</f>
        <v>0</v>
      </c>
      <c r="CY218" s="3" t="str">
        <f t="shared" si="158"/>
        <v>Tecnologia em Logística</v>
      </c>
      <c r="CZ218" s="3">
        <f>Respostas_Formatadas!AP218</f>
        <v>0</v>
      </c>
      <c r="EK218" s="3" t="s">
        <v>127</v>
      </c>
      <c r="EN218" s="25"/>
      <c r="MC218" s="3" t="s">
        <v>1293</v>
      </c>
      <c r="MG218" s="3" t="s">
        <v>1293</v>
      </c>
      <c r="MI218" s="25"/>
      <c r="MK218" s="3" t="s">
        <v>1293</v>
      </c>
      <c r="OG218" s="25"/>
    </row>
    <row r="219" spans="68:397" ht="15.75" customHeight="1" x14ac:dyDescent="0.2">
      <c r="BP219" s="3" t="str">
        <f>Respostas_Formatadas!C219</f>
        <v>Tecnologia em Automação Industrial</v>
      </c>
      <c r="BQ219" s="3">
        <f>Respostas_Formatadas!AD219</f>
        <v>0</v>
      </c>
      <c r="CY219" s="3" t="str">
        <f t="shared" si="158"/>
        <v>Tecnologia em Automação Industrial</v>
      </c>
      <c r="CZ219" s="3">
        <f>Respostas_Formatadas!AP219</f>
        <v>0</v>
      </c>
      <c r="EK219" s="3" t="s">
        <v>126</v>
      </c>
      <c r="EN219" s="25"/>
      <c r="MC219" s="3" t="s">
        <v>344</v>
      </c>
      <c r="MG219" s="3" t="s">
        <v>344</v>
      </c>
      <c r="MI219" s="25"/>
      <c r="MK219" s="3" t="s">
        <v>344</v>
      </c>
      <c r="OG219" s="25"/>
    </row>
    <row r="220" spans="68:397" ht="15.75" customHeight="1" x14ac:dyDescent="0.2">
      <c r="BP220" s="3" t="str">
        <f>Respostas_Formatadas!C220</f>
        <v>Licenciatura em Matemática</v>
      </c>
      <c r="BQ220" s="3" t="str">
        <f>Respostas_Formatadas!AD220</f>
        <v>Professor</v>
      </c>
      <c r="BR220" s="3" t="s">
        <v>388</v>
      </c>
      <c r="BS220" s="25">
        <f t="shared" ref="BS220:BS221" si="166">COUNTIF($BR$3:$BR$273,BR220)</f>
        <v>31</v>
      </c>
      <c r="CY220" s="3" t="str">
        <f t="shared" si="158"/>
        <v>Licenciatura em Matemática</v>
      </c>
      <c r="CZ220" s="3" t="str">
        <f>Respostas_Formatadas!AP220</f>
        <v>Professor</v>
      </c>
      <c r="DA220" s="3" t="s">
        <v>388</v>
      </c>
      <c r="DB220" s="25">
        <f t="shared" ref="DB220:DB221" si="167">COUNTIF($DA$3:$DA$273,DA220)</f>
        <v>26</v>
      </c>
      <c r="EK220" s="3" t="s">
        <v>122</v>
      </c>
      <c r="EL220" s="3" t="str">
        <f>Respostas_Formatadas!BC220</f>
        <v>Aracaju</v>
      </c>
      <c r="EN220" s="25"/>
      <c r="MC220" s="3" t="s">
        <v>292</v>
      </c>
      <c r="MG220" s="3" t="s">
        <v>292</v>
      </c>
      <c r="MI220" s="25"/>
      <c r="MK220" s="3" t="s">
        <v>292</v>
      </c>
      <c r="OG220" s="25"/>
    </row>
    <row r="221" spans="68:397" ht="15.75" customHeight="1" x14ac:dyDescent="0.2">
      <c r="BP221" s="3" t="str">
        <f>Respostas_Formatadas!C221</f>
        <v>Tecnologia em Saneamento Ambiental</v>
      </c>
      <c r="BQ221" s="3" t="str">
        <f>Respostas_Formatadas!AD221</f>
        <v xml:space="preserve">Técnico Ambiental </v>
      </c>
      <c r="BR221" s="3" t="s">
        <v>1113</v>
      </c>
      <c r="BS221" s="25">
        <f t="shared" si="166"/>
        <v>2</v>
      </c>
      <c r="CY221" s="3" t="str">
        <f t="shared" si="158"/>
        <v>Tecnologia em Saneamento Ambiental</v>
      </c>
      <c r="CZ221" s="3" t="str">
        <f>Respostas_Formatadas!AP221</f>
        <v>Técnica Ambiental</v>
      </c>
      <c r="DA221" s="3" t="s">
        <v>1113</v>
      </c>
      <c r="DB221" s="25">
        <f t="shared" si="167"/>
        <v>1</v>
      </c>
      <c r="EK221" s="3" t="s">
        <v>124</v>
      </c>
      <c r="EL221" s="3" t="str">
        <f>Respostas_Formatadas!BC221</f>
        <v>Aracaju</v>
      </c>
      <c r="EN221" s="25"/>
      <c r="MC221" s="3" t="s">
        <v>292</v>
      </c>
      <c r="MG221" s="3" t="s">
        <v>292</v>
      </c>
      <c r="MI221" s="25"/>
      <c r="MK221" s="3" t="s">
        <v>292</v>
      </c>
      <c r="OG221" s="25"/>
    </row>
    <row r="222" spans="68:397" ht="15.75" customHeight="1" x14ac:dyDescent="0.2">
      <c r="BP222" s="3" t="str">
        <f>Respostas_Formatadas!C222</f>
        <v>Licenciatura em Química</v>
      </c>
      <c r="BQ222" s="3">
        <f>Respostas_Formatadas!AD222</f>
        <v>0</v>
      </c>
      <c r="CY222" s="3" t="str">
        <f t="shared" si="158"/>
        <v>Licenciatura em Química</v>
      </c>
      <c r="CZ222" s="3">
        <f>Respostas_Formatadas!AP222</f>
        <v>0</v>
      </c>
      <c r="EK222" s="3" t="s">
        <v>121</v>
      </c>
      <c r="EN222" s="25"/>
      <c r="MC222" s="3" t="s">
        <v>292</v>
      </c>
      <c r="MG222" s="3" t="s">
        <v>292</v>
      </c>
      <c r="MI222" s="25"/>
      <c r="MK222" s="3" t="s">
        <v>292</v>
      </c>
      <c r="OG222" s="25"/>
    </row>
    <row r="223" spans="68:397" ht="15.75" customHeight="1" x14ac:dyDescent="0.2">
      <c r="BP223" s="3" t="str">
        <f>Respostas_Formatadas!C223</f>
        <v>Bacharelado em Sistemas de Informação</v>
      </c>
      <c r="BQ223" s="3" t="str">
        <f>Respostas_Formatadas!AD223</f>
        <v>Técnico em Telecomunicações</v>
      </c>
      <c r="BR223" s="3" t="s">
        <v>822</v>
      </c>
      <c r="BS223" s="25">
        <f>COUNTIF($BR$3:$BR$273,BR223)</f>
        <v>1</v>
      </c>
      <c r="CY223" s="3" t="str">
        <f t="shared" si="158"/>
        <v>Bacharelado em Sistemas de Informação</v>
      </c>
      <c r="CZ223" s="3" t="str">
        <f>Respostas_Formatadas!AP223</f>
        <v>Técnico em Telecomunicações</v>
      </c>
      <c r="DA223" s="3" t="s">
        <v>822</v>
      </c>
      <c r="DB223" s="25">
        <f>COUNTIF($DA$3:$DA$273,DA223)</f>
        <v>1</v>
      </c>
      <c r="EK223" s="3" t="s">
        <v>120</v>
      </c>
      <c r="EL223" s="3" t="str">
        <f>Respostas_Formatadas!BC223</f>
        <v>Lagarto</v>
      </c>
      <c r="EN223" s="25"/>
      <c r="MC223" s="3" t="s">
        <v>358</v>
      </c>
      <c r="MG223" s="3" t="s">
        <v>291</v>
      </c>
      <c r="MI223" s="25"/>
      <c r="MK223" s="3" t="s">
        <v>291</v>
      </c>
      <c r="OG223" s="25"/>
    </row>
    <row r="224" spans="68:397" ht="15.75" customHeight="1" x14ac:dyDescent="0.2">
      <c r="BP224" s="3" t="str">
        <f>Respostas_Formatadas!C224</f>
        <v>Bacharelado em Engenharia Civil</v>
      </c>
      <c r="BQ224" s="3">
        <f>Respostas_Formatadas!AD224</f>
        <v>0</v>
      </c>
      <c r="CY224" s="3" t="str">
        <f t="shared" si="158"/>
        <v>Bacharelado em Engenharia Civil</v>
      </c>
      <c r="CZ224" s="3">
        <f>Respostas_Formatadas!AP224</f>
        <v>0</v>
      </c>
      <c r="EK224" s="3" t="s">
        <v>119</v>
      </c>
      <c r="EN224" s="25"/>
      <c r="MC224" s="3" t="s">
        <v>292</v>
      </c>
      <c r="MG224" s="3" t="s">
        <v>292</v>
      </c>
      <c r="MI224" s="25"/>
      <c r="MK224" s="3" t="s">
        <v>292</v>
      </c>
      <c r="OG224" s="25"/>
    </row>
    <row r="225" spans="68:397" ht="15.75" customHeight="1" x14ac:dyDescent="0.2">
      <c r="BP225" s="3" t="str">
        <f>Respostas_Formatadas!C225</f>
        <v>Tecnologia em Logística</v>
      </c>
      <c r="BQ225" s="3">
        <f>Respostas_Formatadas!AD225</f>
        <v>0</v>
      </c>
      <c r="CY225" s="3" t="str">
        <f t="shared" si="158"/>
        <v>Tecnologia em Logística</v>
      </c>
      <c r="CZ225" s="3">
        <f>Respostas_Formatadas!AP225</f>
        <v>0</v>
      </c>
      <c r="EK225" s="3" t="s">
        <v>127</v>
      </c>
      <c r="EN225" s="25"/>
      <c r="MC225" s="3" t="s">
        <v>824</v>
      </c>
      <c r="MG225" s="3" t="s">
        <v>824</v>
      </c>
      <c r="MI225" s="25"/>
      <c r="MK225" s="3" t="s">
        <v>824</v>
      </c>
      <c r="OG225" s="25"/>
    </row>
    <row r="226" spans="68:397" ht="15.75" customHeight="1" x14ac:dyDescent="0.2">
      <c r="BP226" s="3" t="str">
        <f>Respostas_Formatadas!C226</f>
        <v>Tecnologia em Gestão de Turismo</v>
      </c>
      <c r="BQ226" s="3">
        <f>Respostas_Formatadas!AD226</f>
        <v>0</v>
      </c>
      <c r="CY226" s="3" t="str">
        <f t="shared" si="158"/>
        <v>Tecnologia em Gestão de Turismo</v>
      </c>
      <c r="CZ226" s="3">
        <f>Respostas_Formatadas!AP226</f>
        <v>0</v>
      </c>
      <c r="EK226" s="3" t="s">
        <v>125</v>
      </c>
      <c r="EN226" s="25"/>
      <c r="MC226" s="3" t="s">
        <v>510</v>
      </c>
      <c r="MG226" s="3" t="s">
        <v>510</v>
      </c>
      <c r="MI226" s="25"/>
      <c r="MK226" s="3" t="s">
        <v>292</v>
      </c>
      <c r="OG226" s="25"/>
    </row>
    <row r="227" spans="68:397" ht="15.75" customHeight="1" x14ac:dyDescent="0.2">
      <c r="BP227" s="3" t="str">
        <f>Respostas_Formatadas!C227</f>
        <v>Licenciatura em Matemática</v>
      </c>
      <c r="BQ227" s="3">
        <f>Respostas_Formatadas!AD227</f>
        <v>0</v>
      </c>
      <c r="CY227" s="3" t="str">
        <f t="shared" si="158"/>
        <v>Licenciatura em Matemática</v>
      </c>
      <c r="CZ227" s="3">
        <f>Respostas_Formatadas!AP227</f>
        <v>0</v>
      </c>
      <c r="EK227" s="3" t="s">
        <v>122</v>
      </c>
      <c r="EN227" s="25"/>
      <c r="MC227" s="3" t="s">
        <v>828</v>
      </c>
      <c r="MG227" s="3" t="s">
        <v>828</v>
      </c>
      <c r="MI227" s="25"/>
      <c r="MK227" s="3" t="s">
        <v>399</v>
      </c>
      <c r="OG227" s="25"/>
    </row>
    <row r="228" spans="68:397" ht="15.75" customHeight="1" x14ac:dyDescent="0.2">
      <c r="BP228" s="3" t="str">
        <f>Respostas_Formatadas!C228</f>
        <v>Bacharelado em Sistemas de Informação</v>
      </c>
      <c r="BQ228" s="3" t="str">
        <f>Respostas_Formatadas!AD228</f>
        <v>Programador de sistemas</v>
      </c>
      <c r="BR228" s="3" t="s">
        <v>340</v>
      </c>
      <c r="BS228" s="25">
        <f t="shared" ref="BS228:BS229" si="168">COUNTIF($BR$3:$BR$273,BR228)</f>
        <v>1</v>
      </c>
      <c r="CY228" s="3" t="str">
        <f t="shared" si="158"/>
        <v>Bacharelado em Sistemas de Informação</v>
      </c>
      <c r="CZ228" s="3" t="str">
        <f>Respostas_Formatadas!AP228</f>
        <v>Atual</v>
      </c>
      <c r="DA228" s="3" t="s">
        <v>340</v>
      </c>
      <c r="DB228" s="25">
        <f t="shared" ref="DB228:DB229" si="169">COUNTIF($DA$3:$DA$273,DA228)</f>
        <v>2</v>
      </c>
      <c r="EK228" s="3" t="s">
        <v>120</v>
      </c>
      <c r="EL228" s="3" t="str">
        <f>Respostas_Formatadas!BC228</f>
        <v>Lagarto</v>
      </c>
      <c r="EN228" s="25"/>
      <c r="MC228" s="3" t="s">
        <v>291</v>
      </c>
      <c r="MG228" s="3" t="s">
        <v>291</v>
      </c>
      <c r="MI228" s="25"/>
      <c r="MK228" s="3" t="s">
        <v>291</v>
      </c>
      <c r="OG228" s="25"/>
    </row>
    <row r="229" spans="68:397" ht="15.75" customHeight="1" x14ac:dyDescent="0.2">
      <c r="BP229" s="3" t="str">
        <f>Respostas_Formatadas!C229</f>
        <v>Tecnologia em Logística</v>
      </c>
      <c r="BQ229" s="3" t="str">
        <f>Respostas_Formatadas!AD229</f>
        <v>Professor</v>
      </c>
      <c r="BR229" s="3" t="s">
        <v>388</v>
      </c>
      <c r="BS229" s="25">
        <f t="shared" si="168"/>
        <v>31</v>
      </c>
      <c r="CY229" s="3" t="str">
        <f t="shared" si="158"/>
        <v>Tecnologia em Logística</v>
      </c>
      <c r="CZ229" s="3" t="str">
        <f>Respostas_Formatadas!AP229</f>
        <v>Professor</v>
      </c>
      <c r="DA229" s="3" t="s">
        <v>388</v>
      </c>
      <c r="DB229" s="25">
        <f t="shared" si="169"/>
        <v>26</v>
      </c>
      <c r="EK229" s="3" t="s">
        <v>127</v>
      </c>
      <c r="EL229" s="3" t="str">
        <f>Respostas_Formatadas!BC229</f>
        <v>Itabaiana</v>
      </c>
      <c r="EN229" s="25"/>
      <c r="MC229" s="3" t="s">
        <v>322</v>
      </c>
      <c r="MG229" s="3" t="s">
        <v>322</v>
      </c>
      <c r="MI229" s="25"/>
      <c r="MK229" s="3" t="s">
        <v>322</v>
      </c>
      <c r="OG229" s="25"/>
    </row>
    <row r="230" spans="68:397" ht="15.75" customHeight="1" x14ac:dyDescent="0.2">
      <c r="BP230" s="3" t="str">
        <f>Respostas_Formatadas!C230</f>
        <v>Bacharelado em Engenharia Civil</v>
      </c>
      <c r="BQ230" s="3">
        <f>Respostas_Formatadas!AD230</f>
        <v>0</v>
      </c>
      <c r="CY230" s="3" t="str">
        <f t="shared" si="158"/>
        <v>Bacharelado em Engenharia Civil</v>
      </c>
      <c r="CZ230" s="3">
        <f>Respostas_Formatadas!AP230</f>
        <v>0</v>
      </c>
      <c r="EK230" s="3" t="s">
        <v>119</v>
      </c>
      <c r="EN230" s="25"/>
      <c r="MC230" s="3" t="s">
        <v>292</v>
      </c>
      <c r="MG230" s="3" t="s">
        <v>292</v>
      </c>
      <c r="MI230" s="25"/>
      <c r="MK230" s="3" t="s">
        <v>292</v>
      </c>
      <c r="OG230" s="25"/>
    </row>
    <row r="231" spans="68:397" ht="15.75" customHeight="1" x14ac:dyDescent="0.2">
      <c r="BP231" s="3" t="str">
        <f>Respostas_Formatadas!C231</f>
        <v>Tecnologia em Automação Industrial</v>
      </c>
      <c r="BQ231" s="3">
        <f>Respostas_Formatadas!AD231</f>
        <v>0</v>
      </c>
      <c r="CY231" s="3" t="str">
        <f t="shared" si="158"/>
        <v>Tecnologia em Automação Industrial</v>
      </c>
      <c r="CZ231" s="3">
        <f>Respostas_Formatadas!AP231</f>
        <v>0</v>
      </c>
      <c r="EK231" s="3" t="s">
        <v>126</v>
      </c>
      <c r="EN231" s="25"/>
      <c r="MC231" s="3" t="s">
        <v>627</v>
      </c>
      <c r="MG231" s="3" t="s">
        <v>627</v>
      </c>
      <c r="MI231" s="25"/>
      <c r="MK231" s="3" t="s">
        <v>627</v>
      </c>
      <c r="OG231" s="25"/>
    </row>
    <row r="232" spans="68:397" ht="15.75" customHeight="1" x14ac:dyDescent="0.2">
      <c r="BP232" s="3" t="str">
        <f>Respostas_Formatadas!C232</f>
        <v>Bacharelado em Engenharia Civil</v>
      </c>
      <c r="BQ232" s="3">
        <f>Respostas_Formatadas!AD232</f>
        <v>0</v>
      </c>
      <c r="CY232" s="3" t="str">
        <f t="shared" si="158"/>
        <v>Bacharelado em Engenharia Civil</v>
      </c>
      <c r="CZ232" s="3">
        <f>Respostas_Formatadas!AP232</f>
        <v>0</v>
      </c>
      <c r="EK232" s="3" t="s">
        <v>119</v>
      </c>
      <c r="EN232" s="25"/>
      <c r="MC232" s="3" t="s">
        <v>292</v>
      </c>
      <c r="MG232" s="3" t="s">
        <v>292</v>
      </c>
      <c r="MI232" s="25"/>
      <c r="MK232" s="3" t="s">
        <v>292</v>
      </c>
      <c r="OG232" s="25"/>
    </row>
    <row r="233" spans="68:397" ht="15.75" customHeight="1" x14ac:dyDescent="0.2">
      <c r="BP233" s="3" t="str">
        <f>Respostas_Formatadas!C233</f>
        <v>Tecnologia em Gestão de Turismo</v>
      </c>
      <c r="BQ233" s="3" t="str">
        <f>Respostas_Formatadas!AD233</f>
        <v>Assistente Operacional</v>
      </c>
      <c r="BR233" s="3" t="s">
        <v>834</v>
      </c>
      <c r="BS233" s="25">
        <f>COUNTIF($BR$3:$BR$273,BR233)</f>
        <v>1</v>
      </c>
      <c r="CY233" s="3" t="str">
        <f t="shared" si="158"/>
        <v>Tecnologia em Gestão de Turismo</v>
      </c>
      <c r="CZ233" s="3" t="str">
        <f>Respostas_Formatadas!AP233</f>
        <v xml:space="preserve">Assitente Operacionl </v>
      </c>
      <c r="DA233" s="3" t="s">
        <v>834</v>
      </c>
      <c r="DB233" s="25">
        <f>COUNTIF($DA$3:$DA$273,DA233)</f>
        <v>1</v>
      </c>
      <c r="EK233" s="3" t="s">
        <v>125</v>
      </c>
      <c r="EL233" s="3" t="str">
        <f>Respostas_Formatadas!BC233</f>
        <v>Aracaju</v>
      </c>
      <c r="EN233" s="25"/>
      <c r="MC233" s="3" t="s">
        <v>824</v>
      </c>
      <c r="MG233" s="3" t="s">
        <v>824</v>
      </c>
      <c r="MI233" s="25"/>
      <c r="MK233" s="3" t="s">
        <v>292</v>
      </c>
      <c r="OG233" s="25"/>
    </row>
    <row r="234" spans="68:397" ht="15.75" customHeight="1" x14ac:dyDescent="0.2">
      <c r="BP234" s="3" t="str">
        <f>Respostas_Formatadas!C234</f>
        <v>Tecnologia em Gestão de Turismo</v>
      </c>
      <c r="BQ234" s="3">
        <f>Respostas_Formatadas!AD234</f>
        <v>0</v>
      </c>
      <c r="CY234" s="3" t="str">
        <f t="shared" si="158"/>
        <v>Tecnologia em Gestão de Turismo</v>
      </c>
      <c r="CZ234" s="3">
        <f>Respostas_Formatadas!AP234</f>
        <v>0</v>
      </c>
      <c r="EK234" s="3" t="s">
        <v>125</v>
      </c>
      <c r="EL234" s="3" t="str">
        <f>Respostas_Formatadas!BC234</f>
        <v>Aracaju</v>
      </c>
      <c r="EN234" s="25"/>
      <c r="MC234" s="3" t="s">
        <v>358</v>
      </c>
      <c r="MG234" s="3" t="s">
        <v>358</v>
      </c>
      <c r="MI234" s="25"/>
      <c r="MK234" s="3" t="s">
        <v>358</v>
      </c>
      <c r="OG234" s="25"/>
    </row>
    <row r="235" spans="68:397" ht="15.75" customHeight="1" x14ac:dyDescent="0.2">
      <c r="BP235" s="3" t="str">
        <f>Respostas_Formatadas!C235</f>
        <v>Tecnologia em Saneamento Ambiental</v>
      </c>
      <c r="BQ235" s="3" t="str">
        <f>Respostas_Formatadas!AD235</f>
        <v>Policial</v>
      </c>
      <c r="BR235" s="3" t="s">
        <v>837</v>
      </c>
      <c r="BS235" s="25">
        <f>COUNTIF($BR$3:$BR$273,BR235)</f>
        <v>1</v>
      </c>
      <c r="CY235" s="3" t="str">
        <f t="shared" si="158"/>
        <v>Tecnologia em Saneamento Ambiental</v>
      </c>
      <c r="CZ235" s="3" t="str">
        <f>Respostas_Formatadas!AP235</f>
        <v xml:space="preserve">Argente de segurança publica </v>
      </c>
      <c r="DA235" s="3" t="s">
        <v>1235</v>
      </c>
      <c r="DB235" s="25">
        <f>COUNTIF($DA$3:$DA$273,DA235)</f>
        <v>2</v>
      </c>
      <c r="EK235" s="3" t="s">
        <v>124</v>
      </c>
      <c r="EL235" s="3" t="str">
        <f>Respostas_Formatadas!BC235</f>
        <v>Aracaju</v>
      </c>
      <c r="EN235" s="25"/>
      <c r="MC235" s="3" t="s">
        <v>399</v>
      </c>
      <c r="MG235" s="3" t="s">
        <v>399</v>
      </c>
      <c r="MI235" s="25"/>
      <c r="MK235" s="3" t="s">
        <v>399</v>
      </c>
      <c r="OG235" s="25"/>
    </row>
    <row r="236" spans="68:397" ht="15.75" customHeight="1" x14ac:dyDescent="0.2">
      <c r="BP236" s="3" t="str">
        <f>Respostas_Formatadas!C236</f>
        <v>Licenciatura em Matemática</v>
      </c>
      <c r="BQ236" s="3">
        <f>Respostas_Formatadas!AD236</f>
        <v>0</v>
      </c>
      <c r="CY236" s="3" t="str">
        <f t="shared" si="158"/>
        <v>Licenciatura em Matemática</v>
      </c>
      <c r="CZ236" s="3">
        <f>Respostas_Formatadas!AP236</f>
        <v>0</v>
      </c>
      <c r="EK236" s="3" t="s">
        <v>122</v>
      </c>
      <c r="EN236" s="25"/>
      <c r="MC236" s="3" t="s">
        <v>358</v>
      </c>
      <c r="MG236" s="3" t="s">
        <v>358</v>
      </c>
      <c r="MI236" s="25"/>
      <c r="MK236" s="3" t="s">
        <v>292</v>
      </c>
      <c r="OG236" s="25"/>
    </row>
    <row r="237" spans="68:397" ht="15.75" customHeight="1" x14ac:dyDescent="0.2">
      <c r="BP237" s="3" t="str">
        <f>Respostas_Formatadas!C237</f>
        <v>Licenciatura em Química</v>
      </c>
      <c r="BQ237" s="3" t="str">
        <f>Respostas_Formatadas!AD237</f>
        <v>Professor</v>
      </c>
      <c r="BR237" s="3" t="s">
        <v>388</v>
      </c>
      <c r="BS237" s="25">
        <f t="shared" ref="BS237:BS239" si="170">COUNTIF($BR$3:$BR$273,BR237)</f>
        <v>31</v>
      </c>
      <c r="CY237" s="3" t="str">
        <f t="shared" si="158"/>
        <v>Licenciatura em Química</v>
      </c>
      <c r="CZ237" s="3">
        <f>Respostas_Formatadas!AP237</f>
        <v>0</v>
      </c>
      <c r="EK237" s="3" t="s">
        <v>121</v>
      </c>
      <c r="EN237" s="25"/>
      <c r="MC237" s="3" t="s">
        <v>843</v>
      </c>
      <c r="MG237" s="3" t="s">
        <v>843</v>
      </c>
      <c r="MI237" s="25"/>
      <c r="MK237" s="3" t="s">
        <v>843</v>
      </c>
      <c r="OG237" s="25"/>
    </row>
    <row r="238" spans="68:397" ht="15.75" customHeight="1" x14ac:dyDescent="0.2">
      <c r="BP238" s="3" t="str">
        <f>Respostas_Formatadas!C238</f>
        <v>Licenciatura em Matemática</v>
      </c>
      <c r="BQ238" s="3" t="str">
        <f>Respostas_Formatadas!AD238</f>
        <v xml:space="preserve">Administrativo </v>
      </c>
      <c r="BR238" s="3" t="s">
        <v>541</v>
      </c>
      <c r="BS238" s="25">
        <f t="shared" si="170"/>
        <v>7</v>
      </c>
      <c r="CY238" s="3" t="str">
        <f t="shared" si="158"/>
        <v>Licenciatura em Matemática</v>
      </c>
      <c r="CZ238" s="3" t="str">
        <f>Respostas_Formatadas!AP238</f>
        <v xml:space="preserve">Administrativo </v>
      </c>
      <c r="DA238" s="3" t="s">
        <v>541</v>
      </c>
      <c r="DB238" s="25">
        <f t="shared" ref="DB238:DB239" si="171">COUNTIF($DA$3:$DA$273,DA238)</f>
        <v>4</v>
      </c>
      <c r="EK238" s="3" t="s">
        <v>122</v>
      </c>
      <c r="EN238" s="25"/>
      <c r="MC238" s="3" t="s">
        <v>1294</v>
      </c>
      <c r="MG238" s="3" t="s">
        <v>292</v>
      </c>
      <c r="MI238" s="25"/>
      <c r="MK238" s="3" t="s">
        <v>292</v>
      </c>
      <c r="OG238" s="25"/>
    </row>
    <row r="239" spans="68:397" ht="15.75" customHeight="1" x14ac:dyDescent="0.2">
      <c r="BP239" s="3" t="str">
        <f>Respostas_Formatadas!C239</f>
        <v>Tecnologia em Automação Industrial</v>
      </c>
      <c r="BQ239" s="3" t="str">
        <f>Respostas_Formatadas!AD239</f>
        <v>Assistente</v>
      </c>
      <c r="BR239" s="3" t="s">
        <v>605</v>
      </c>
      <c r="BS239" s="25">
        <f t="shared" si="170"/>
        <v>2</v>
      </c>
      <c r="CY239" s="3" t="str">
        <f t="shared" si="158"/>
        <v>Tecnologia em Automação Industrial</v>
      </c>
      <c r="CZ239" s="3" t="str">
        <f>Respostas_Formatadas!AP239</f>
        <v>Assistente</v>
      </c>
      <c r="DA239" s="3" t="s">
        <v>605</v>
      </c>
      <c r="DB239" s="25">
        <f t="shared" si="171"/>
        <v>1</v>
      </c>
      <c r="EK239" s="3" t="s">
        <v>126</v>
      </c>
      <c r="EN239" s="25"/>
      <c r="MC239" s="3" t="s">
        <v>291</v>
      </c>
      <c r="MG239" s="3" t="s">
        <v>291</v>
      </c>
      <c r="MI239" s="25"/>
      <c r="MK239" s="3" t="s">
        <v>291</v>
      </c>
      <c r="OG239" s="25"/>
    </row>
    <row r="240" spans="68:397" ht="15.75" customHeight="1" x14ac:dyDescent="0.2">
      <c r="BP240" s="3" t="str">
        <f>Respostas_Formatadas!C240</f>
        <v>Tecnologia em Logística</v>
      </c>
      <c r="BQ240" s="3">
        <f>Respostas_Formatadas!AD240</f>
        <v>0</v>
      </c>
      <c r="CY240" s="3" t="str">
        <f t="shared" si="158"/>
        <v>Tecnologia em Logística</v>
      </c>
      <c r="CZ240" s="3">
        <f>Respostas_Formatadas!AP240</f>
        <v>0</v>
      </c>
      <c r="EK240" s="3" t="s">
        <v>127</v>
      </c>
      <c r="EN240" s="25"/>
      <c r="MC240" s="3" t="s">
        <v>848</v>
      </c>
      <c r="MG240" s="3" t="s">
        <v>824</v>
      </c>
      <c r="MI240" s="25"/>
      <c r="MK240" s="3" t="s">
        <v>824</v>
      </c>
      <c r="OG240" s="25"/>
    </row>
    <row r="241" spans="68:397" ht="15.75" customHeight="1" x14ac:dyDescent="0.2">
      <c r="BP241" s="3" t="str">
        <f>Respostas_Formatadas!C241</f>
        <v>Licenciatura em Matemática</v>
      </c>
      <c r="BQ241" s="3" t="str">
        <f>Respostas_Formatadas!AD241</f>
        <v>Professor</v>
      </c>
      <c r="BR241" s="3" t="s">
        <v>388</v>
      </c>
      <c r="BS241" s="25">
        <f t="shared" ref="BS241:BS242" si="172">COUNTIF($BR$3:$BR$273,BR241)</f>
        <v>31</v>
      </c>
      <c r="CY241" s="3" t="str">
        <f t="shared" si="158"/>
        <v>Licenciatura em Matemática</v>
      </c>
      <c r="CZ241" s="3" t="str">
        <f>Respostas_Formatadas!AP241</f>
        <v>Professor</v>
      </c>
      <c r="DA241" s="3" t="s">
        <v>388</v>
      </c>
      <c r="DB241" s="25">
        <f t="shared" ref="DB241:DB244" si="173">COUNTIF($DA$3:$DA$273,DA241)</f>
        <v>26</v>
      </c>
      <c r="EK241" s="3" t="s">
        <v>122</v>
      </c>
      <c r="EL241" s="3" t="str">
        <f>Respostas_Formatadas!BC241</f>
        <v>Barra dos Coqueiros</v>
      </c>
      <c r="EN241" s="25"/>
      <c r="MC241" s="3" t="s">
        <v>778</v>
      </c>
      <c r="MG241" s="3" t="s">
        <v>778</v>
      </c>
      <c r="MI241" s="25"/>
      <c r="MK241" s="3" t="s">
        <v>778</v>
      </c>
      <c r="OG241" s="25"/>
    </row>
    <row r="242" spans="68:397" ht="15.75" customHeight="1" x14ac:dyDescent="0.2">
      <c r="BP242" s="3" t="str">
        <f>Respostas_Formatadas!C242</f>
        <v>Tecnologia em Logística</v>
      </c>
      <c r="BQ242" s="3" t="str">
        <f>Respostas_Formatadas!AD242</f>
        <v>Assistente Administrativo</v>
      </c>
      <c r="BR242" s="3" t="s">
        <v>541</v>
      </c>
      <c r="BS242" s="25">
        <f t="shared" si="172"/>
        <v>7</v>
      </c>
      <c r="CY242" s="3" t="str">
        <f t="shared" si="158"/>
        <v>Tecnologia em Logística</v>
      </c>
      <c r="CZ242" s="3" t="str">
        <f>Respostas_Formatadas!AP242</f>
        <v>Técnico em Agropecuária</v>
      </c>
      <c r="DA242" s="3" t="s">
        <v>851</v>
      </c>
      <c r="DB242" s="25">
        <f t="shared" si="173"/>
        <v>2</v>
      </c>
      <c r="EK242" s="3" t="s">
        <v>127</v>
      </c>
      <c r="EL242" s="3" t="str">
        <f>Respostas_Formatadas!BC242</f>
        <v>Pinhão</v>
      </c>
      <c r="EN242" s="25"/>
      <c r="MC242" s="3" t="s">
        <v>853</v>
      </c>
      <c r="MG242" s="3" t="s">
        <v>853</v>
      </c>
      <c r="MI242" s="25"/>
      <c r="MK242" s="3" t="s">
        <v>853</v>
      </c>
      <c r="OG242" s="25"/>
    </row>
    <row r="243" spans="68:397" ht="15.75" customHeight="1" x14ac:dyDescent="0.2">
      <c r="BP243" s="3" t="str">
        <f>Respostas_Formatadas!C243</f>
        <v>Tecnologia em Alimentos</v>
      </c>
      <c r="BQ243" s="3" t="str">
        <f>Respostas_Formatadas!AD243</f>
        <v>Continuo no mesmo emprego que ja estava</v>
      </c>
      <c r="CY243" s="3" t="str">
        <f t="shared" si="158"/>
        <v>Tecnologia em Alimentos</v>
      </c>
      <c r="CZ243" s="3" t="str">
        <f>Respostas_Formatadas!AP243</f>
        <v>Segurança publica</v>
      </c>
      <c r="DA243" s="3" t="s">
        <v>1235</v>
      </c>
      <c r="DB243" s="25">
        <f t="shared" si="173"/>
        <v>2</v>
      </c>
      <c r="EK243" s="3" t="s">
        <v>129</v>
      </c>
      <c r="EL243" s="3" t="str">
        <f>Respostas_Formatadas!BC243</f>
        <v>Aracaju</v>
      </c>
      <c r="EN243" s="25"/>
      <c r="MC243" s="3" t="s">
        <v>292</v>
      </c>
      <c r="MG243" s="3" t="s">
        <v>292</v>
      </c>
      <c r="MI243" s="25"/>
      <c r="MK243" s="3" t="s">
        <v>292</v>
      </c>
      <c r="OG243" s="25"/>
    </row>
    <row r="244" spans="68:397" ht="15.75" customHeight="1" x14ac:dyDescent="0.2">
      <c r="BP244" s="3" t="str">
        <f>Respostas_Formatadas!C244</f>
        <v>Bacharelado em Engenharia Civil</v>
      </c>
      <c r="BQ244" s="3" t="str">
        <f>Respostas_Formatadas!AD244</f>
        <v>Auxiliar em Administração</v>
      </c>
      <c r="BR244" s="3" t="s">
        <v>860</v>
      </c>
      <c r="BS244" s="25">
        <f>COUNTIF($BR$3:$BR$273,BR244)</f>
        <v>1</v>
      </c>
      <c r="CY244" s="3" t="str">
        <f t="shared" si="158"/>
        <v>Bacharelado em Engenharia Civil</v>
      </c>
      <c r="CZ244" s="3" t="str">
        <f>Respostas_Formatadas!AP244</f>
        <v>Auxiliar em Administração</v>
      </c>
      <c r="DA244" s="3" t="s">
        <v>860</v>
      </c>
      <c r="DB244" s="25">
        <f t="shared" si="173"/>
        <v>1</v>
      </c>
      <c r="EK244" s="3" t="s">
        <v>119</v>
      </c>
      <c r="EL244" s="3" t="str">
        <f>Respostas_Formatadas!BC244</f>
        <v>Nossa Senhora do Socorro</v>
      </c>
      <c r="EN244" s="25"/>
      <c r="MC244" s="3" t="s">
        <v>292</v>
      </c>
      <c r="MG244" s="3" t="s">
        <v>292</v>
      </c>
      <c r="MI244" s="25"/>
      <c r="MK244" s="3" t="s">
        <v>292</v>
      </c>
      <c r="OG244" s="25"/>
    </row>
    <row r="245" spans="68:397" ht="15.75" customHeight="1" x14ac:dyDescent="0.2">
      <c r="BP245" s="3" t="str">
        <f>Respostas_Formatadas!C245</f>
        <v>Bacharelado em Sistemas de Informação</v>
      </c>
      <c r="BQ245" s="3">
        <f>Respostas_Formatadas!AD245</f>
        <v>0</v>
      </c>
      <c r="CY245" s="3" t="str">
        <f t="shared" si="158"/>
        <v>Bacharelado em Sistemas de Informação</v>
      </c>
      <c r="CZ245" s="3">
        <f>Respostas_Formatadas!AP245</f>
        <v>0</v>
      </c>
      <c r="EK245" s="3" t="s">
        <v>120</v>
      </c>
      <c r="EN245" s="25"/>
      <c r="MC245" s="3" t="s">
        <v>325</v>
      </c>
      <c r="MG245" s="3" t="s">
        <v>325</v>
      </c>
      <c r="MI245" s="25"/>
      <c r="MK245" s="3" t="s">
        <v>325</v>
      </c>
      <c r="OG245" s="25"/>
    </row>
    <row r="246" spans="68:397" ht="15.75" customHeight="1" x14ac:dyDescent="0.2">
      <c r="BP246" s="3" t="str">
        <f>Respostas_Formatadas!C246</f>
        <v>Bacharelado em Engenharia Civil</v>
      </c>
      <c r="BQ246" s="3">
        <f>Respostas_Formatadas!AD246</f>
        <v>0</v>
      </c>
      <c r="CY246" s="3" t="str">
        <f t="shared" si="158"/>
        <v>Bacharelado em Engenharia Civil</v>
      </c>
      <c r="CZ246" s="3">
        <f>Respostas_Formatadas!AP246</f>
        <v>0</v>
      </c>
      <c r="EK246" s="3" t="s">
        <v>119</v>
      </c>
      <c r="EN246" s="25"/>
      <c r="MC246" s="3" t="s">
        <v>325</v>
      </c>
      <c r="MG246" s="3" t="s">
        <v>292</v>
      </c>
      <c r="MI246" s="25"/>
      <c r="MK246" s="3" t="s">
        <v>862</v>
      </c>
      <c r="OG246" s="25"/>
    </row>
    <row r="247" spans="68:397" ht="15.75" customHeight="1" x14ac:dyDescent="0.2">
      <c r="BP247" s="3" t="str">
        <f>Respostas_Formatadas!C247</f>
        <v>Bacharelado em Engenharia Civil</v>
      </c>
      <c r="BQ247" s="3">
        <f>Respostas_Formatadas!AD247</f>
        <v>0</v>
      </c>
      <c r="CY247" s="3" t="str">
        <f t="shared" si="158"/>
        <v>Bacharelado em Engenharia Civil</v>
      </c>
      <c r="CZ247" s="3">
        <f>Respostas_Formatadas!AP247</f>
        <v>0</v>
      </c>
      <c r="EK247" s="3" t="s">
        <v>119</v>
      </c>
      <c r="EN247" s="25"/>
      <c r="MC247" s="3" t="s">
        <v>322</v>
      </c>
      <c r="MG247" s="3" t="s">
        <v>292</v>
      </c>
      <c r="MI247" s="25"/>
      <c r="MK247" s="3" t="s">
        <v>292</v>
      </c>
      <c r="OG247" s="25"/>
    </row>
    <row r="248" spans="68:397" ht="15.75" customHeight="1" x14ac:dyDescent="0.2">
      <c r="BP248" s="3" t="str">
        <f>Respostas_Formatadas!C248</f>
        <v>Tecnologia em Gestão de Turismo</v>
      </c>
      <c r="BQ248" s="3" t="str">
        <f>Respostas_Formatadas!AD248</f>
        <v>turismóloga</v>
      </c>
      <c r="BR248" s="3" t="s">
        <v>1145</v>
      </c>
      <c r="BS248" s="25">
        <f>COUNTIF($BR$3:$BR$273,BR248)</f>
        <v>1</v>
      </c>
      <c r="CY248" s="3" t="str">
        <f t="shared" si="158"/>
        <v>Tecnologia em Gestão de Turismo</v>
      </c>
      <c r="CZ248" s="3" t="str">
        <f>Respostas_Formatadas!AP248</f>
        <v xml:space="preserve">turismóloga </v>
      </c>
      <c r="DA248" s="3" t="s">
        <v>1145</v>
      </c>
      <c r="DB248" s="25">
        <f>COUNTIF($DA$3:$DA$273,DA248)</f>
        <v>1</v>
      </c>
      <c r="EK248" s="3" t="s">
        <v>125</v>
      </c>
      <c r="EL248" s="3" t="str">
        <f>Respostas_Formatadas!BC248</f>
        <v>Aracaju</v>
      </c>
      <c r="EN248" s="25"/>
      <c r="MC248" s="3" t="s">
        <v>292</v>
      </c>
      <c r="MG248" s="3" t="s">
        <v>292</v>
      </c>
      <c r="MI248" s="25"/>
      <c r="MK248" s="3" t="s">
        <v>292</v>
      </c>
      <c r="OG248" s="25"/>
    </row>
    <row r="249" spans="68:397" ht="15.75" customHeight="1" x14ac:dyDescent="0.2">
      <c r="BP249" s="3" t="str">
        <f>Respostas_Formatadas!C249</f>
        <v>Bacharelado em Engenharia Civil</v>
      </c>
      <c r="BQ249" s="3">
        <f>Respostas_Formatadas!AD249</f>
        <v>0</v>
      </c>
      <c r="CY249" s="3" t="str">
        <f t="shared" si="158"/>
        <v>Bacharelado em Engenharia Civil</v>
      </c>
      <c r="CZ249" s="3">
        <f>Respostas_Formatadas!AP249</f>
        <v>0</v>
      </c>
      <c r="EK249" s="3" t="s">
        <v>119</v>
      </c>
      <c r="EN249" s="25"/>
      <c r="MC249" s="3" t="s">
        <v>1295</v>
      </c>
      <c r="MG249" s="3" t="s">
        <v>292</v>
      </c>
      <c r="MI249" s="25"/>
      <c r="MK249" s="3" t="s">
        <v>1295</v>
      </c>
      <c r="OG249" s="25"/>
    </row>
    <row r="250" spans="68:397" ht="15.75" customHeight="1" x14ac:dyDescent="0.2">
      <c r="BP250" s="3" t="str">
        <f>Respostas_Formatadas!C250</f>
        <v>Bacharelado em Sistemas de Informação</v>
      </c>
      <c r="BQ250" s="3" t="str">
        <f>Respostas_Formatadas!AD250</f>
        <v>Analista de sistemas</v>
      </c>
      <c r="BR250" s="3" t="s">
        <v>298</v>
      </c>
      <c r="BS250" s="25">
        <f t="shared" ref="BS250:BS253" si="174">COUNTIF($BR$3:$BR$273,BR250)</f>
        <v>5</v>
      </c>
      <c r="CY250" s="3" t="str">
        <f t="shared" si="158"/>
        <v>Bacharelado em Sistemas de Informação</v>
      </c>
      <c r="CZ250" s="3" t="str">
        <f>Respostas_Formatadas!AP250</f>
        <v xml:space="preserve">Desenvolvedor </v>
      </c>
      <c r="DA250" s="3" t="s">
        <v>1236</v>
      </c>
      <c r="DB250" s="25">
        <f t="shared" ref="DB250:DB253" si="175">COUNTIF($DA$3:$DA$273,DA250)</f>
        <v>1</v>
      </c>
      <c r="EK250" s="3" t="s">
        <v>120</v>
      </c>
      <c r="EL250" s="3" t="str">
        <f>Respostas_Formatadas!BC250</f>
        <v>Aracaju</v>
      </c>
      <c r="EN250" s="25"/>
      <c r="MC250" s="3" t="s">
        <v>341</v>
      </c>
      <c r="MG250" s="3" t="s">
        <v>341</v>
      </c>
      <c r="MI250" s="25"/>
      <c r="MK250" s="3" t="s">
        <v>292</v>
      </c>
      <c r="OG250" s="25"/>
    </row>
    <row r="251" spans="68:397" ht="15.75" customHeight="1" x14ac:dyDescent="0.2">
      <c r="BP251" s="3" t="str">
        <f>Respostas_Formatadas!C251</f>
        <v>Tecnologia em Saneamento Ambiental</v>
      </c>
      <c r="BQ251" s="3" t="str">
        <f>Respostas_Formatadas!AD251</f>
        <v>CAIXA</v>
      </c>
      <c r="BR251" s="3" t="s">
        <v>1114</v>
      </c>
      <c r="BS251" s="25">
        <f t="shared" si="174"/>
        <v>1</v>
      </c>
      <c r="CY251" s="3" t="str">
        <f t="shared" si="158"/>
        <v>Tecnologia em Saneamento Ambiental</v>
      </c>
      <c r="CZ251" s="3" t="str">
        <f>Respostas_Formatadas!AP251</f>
        <v>CAIXA</v>
      </c>
      <c r="DA251" s="3" t="s">
        <v>1114</v>
      </c>
      <c r="DB251" s="25">
        <f t="shared" si="175"/>
        <v>1</v>
      </c>
      <c r="EK251" s="3" t="s">
        <v>124</v>
      </c>
      <c r="EL251" s="3" t="str">
        <f>Respostas_Formatadas!BC251</f>
        <v>Aracaju</v>
      </c>
      <c r="EN251" s="25"/>
      <c r="MC251" s="3" t="s">
        <v>358</v>
      </c>
      <c r="MG251" s="3" t="s">
        <v>358</v>
      </c>
      <c r="MI251" s="25"/>
      <c r="MK251" s="3" t="s">
        <v>358</v>
      </c>
      <c r="OG251" s="25"/>
    </row>
    <row r="252" spans="68:397" ht="15.75" customHeight="1" x14ac:dyDescent="0.2">
      <c r="BP252" s="3" t="str">
        <f>Respostas_Formatadas!C252</f>
        <v>Tecnologia em Saneamento Ambiental</v>
      </c>
      <c r="BQ252" s="3" t="str">
        <f>Respostas_Formatadas!AD252</f>
        <v>Técnico operador de painel central votorantim cimentos</v>
      </c>
      <c r="BR252" s="3" t="s">
        <v>1146</v>
      </c>
      <c r="BS252" s="25">
        <f t="shared" si="174"/>
        <v>1</v>
      </c>
      <c r="CY252" s="3" t="str">
        <f t="shared" si="158"/>
        <v>Tecnologia em Saneamento Ambiental</v>
      </c>
      <c r="CZ252" s="3" t="str">
        <f>Respostas_Formatadas!AP252</f>
        <v>Gerente administrativo</v>
      </c>
      <c r="DA252" s="3" t="s">
        <v>1237</v>
      </c>
      <c r="DB252" s="25">
        <f t="shared" si="175"/>
        <v>1</v>
      </c>
      <c r="EK252" s="3" t="s">
        <v>124</v>
      </c>
      <c r="EL252" s="3" t="str">
        <f>Respostas_Formatadas!BC252</f>
        <v>Aracaju</v>
      </c>
      <c r="EN252" s="25"/>
      <c r="MC252" s="3" t="s">
        <v>292</v>
      </c>
      <c r="MG252" s="3" t="s">
        <v>292</v>
      </c>
      <c r="MI252" s="25"/>
      <c r="MK252" s="3" t="s">
        <v>358</v>
      </c>
      <c r="OG252" s="25"/>
    </row>
    <row r="253" spans="68:397" ht="15.75" customHeight="1" x14ac:dyDescent="0.2">
      <c r="BP253" s="3" t="str">
        <f>Respostas_Formatadas!C253</f>
        <v>Licenciatura em Química</v>
      </c>
      <c r="BQ253" s="3" t="str">
        <f>Respostas_Formatadas!AD253</f>
        <v>Professor</v>
      </c>
      <c r="BR253" s="3" t="s">
        <v>388</v>
      </c>
      <c r="BS253" s="25">
        <f t="shared" si="174"/>
        <v>31</v>
      </c>
      <c r="CY253" s="3" t="str">
        <f t="shared" si="158"/>
        <v>Licenciatura em Química</v>
      </c>
      <c r="CZ253" s="3" t="str">
        <f>Respostas_Formatadas!AP253</f>
        <v>Professor</v>
      </c>
      <c r="DA253" s="3" t="s">
        <v>388</v>
      </c>
      <c r="DB253" s="25">
        <f t="shared" si="175"/>
        <v>26</v>
      </c>
      <c r="EK253" s="3" t="s">
        <v>121</v>
      </c>
      <c r="EL253" s="3" t="str">
        <f>Respostas_Formatadas!BC253</f>
        <v>Aracaju</v>
      </c>
      <c r="EN253" s="25"/>
      <c r="MC253" s="3" t="s">
        <v>879</v>
      </c>
      <c r="MG253" s="3" t="s">
        <v>292</v>
      </c>
      <c r="MI253" s="25"/>
      <c r="MK253" s="3" t="s">
        <v>292</v>
      </c>
      <c r="OG253" s="25"/>
    </row>
    <row r="254" spans="68:397" ht="15.75" customHeight="1" x14ac:dyDescent="0.2">
      <c r="BP254" s="3" t="str">
        <f>Respostas_Formatadas!C254</f>
        <v>Licenciatura em Química</v>
      </c>
      <c r="BQ254" s="3">
        <f>Respostas_Formatadas!AD254</f>
        <v>0</v>
      </c>
      <c r="CY254" s="3" t="str">
        <f t="shared" si="158"/>
        <v>Licenciatura em Química</v>
      </c>
      <c r="CZ254" s="3">
        <f>Respostas_Formatadas!AP254</f>
        <v>0</v>
      </c>
      <c r="EK254" s="3" t="s">
        <v>121</v>
      </c>
      <c r="EN254" s="25"/>
      <c r="MC254" s="3" t="s">
        <v>292</v>
      </c>
      <c r="MG254" s="3" t="s">
        <v>292</v>
      </c>
      <c r="MI254" s="25"/>
      <c r="MK254" s="3" t="s">
        <v>292</v>
      </c>
      <c r="OG254" s="25"/>
    </row>
    <row r="255" spans="68:397" ht="15.75" customHeight="1" x14ac:dyDescent="0.2">
      <c r="BP255" s="3" t="str">
        <f>Respostas_Formatadas!C255</f>
        <v>Tecnologia em Gestão de Turismo</v>
      </c>
      <c r="BQ255" s="3">
        <f>Respostas_Formatadas!AD255</f>
        <v>0</v>
      </c>
      <c r="CY255" s="3" t="str">
        <f t="shared" si="158"/>
        <v>Tecnologia em Gestão de Turismo</v>
      </c>
      <c r="CZ255" s="3">
        <f>Respostas_Formatadas!AP255</f>
        <v>0</v>
      </c>
      <c r="EK255" s="3" t="s">
        <v>125</v>
      </c>
      <c r="EN255" s="25"/>
      <c r="MC255" s="3" t="s">
        <v>1296</v>
      </c>
      <c r="MG255" s="3" t="s">
        <v>292</v>
      </c>
      <c r="MI255" s="25"/>
      <c r="MK255" s="3" t="s">
        <v>292</v>
      </c>
      <c r="OG255" s="25"/>
    </row>
    <row r="256" spans="68:397" ht="15.75" customHeight="1" x14ac:dyDescent="0.2">
      <c r="BP256" s="3" t="str">
        <f>Respostas_Formatadas!C256</f>
        <v>Tecnologia em Gestão de Turismo</v>
      </c>
      <c r="BQ256" s="3">
        <f>Respostas_Formatadas!AD256</f>
        <v>0</v>
      </c>
      <c r="CY256" s="3" t="str">
        <f t="shared" si="158"/>
        <v>Tecnologia em Gestão de Turismo</v>
      </c>
      <c r="CZ256" s="3">
        <f>Respostas_Formatadas!AP256</f>
        <v>0</v>
      </c>
      <c r="EK256" s="3" t="s">
        <v>125</v>
      </c>
      <c r="EN256" s="25"/>
      <c r="MC256" s="3" t="s">
        <v>1293</v>
      </c>
      <c r="MG256" s="3" t="s">
        <v>292</v>
      </c>
      <c r="MI256" s="25"/>
      <c r="MK256" s="3" t="s">
        <v>1293</v>
      </c>
      <c r="OG256" s="25"/>
    </row>
    <row r="257" spans="68:397" ht="15.75" customHeight="1" x14ac:dyDescent="0.2">
      <c r="BP257" s="3" t="str">
        <f>Respostas_Formatadas!C257</f>
        <v>Tecnologia em Gestão de Turismo</v>
      </c>
      <c r="BQ257" s="3">
        <f>Respostas_Formatadas!AD257</f>
        <v>0</v>
      </c>
      <c r="CY257" s="3" t="str">
        <f t="shared" si="158"/>
        <v>Tecnologia em Gestão de Turismo</v>
      </c>
      <c r="CZ257" s="3">
        <f>Respostas_Formatadas!AP257</f>
        <v>0</v>
      </c>
      <c r="EK257" s="3" t="s">
        <v>125</v>
      </c>
      <c r="EN257" s="25"/>
      <c r="MC257" s="3" t="s">
        <v>292</v>
      </c>
      <c r="MG257" s="3" t="s">
        <v>292</v>
      </c>
      <c r="MI257" s="25"/>
      <c r="MK257" s="3" t="s">
        <v>292</v>
      </c>
      <c r="OG257" s="25"/>
    </row>
    <row r="258" spans="68:397" ht="15.75" customHeight="1" x14ac:dyDescent="0.2">
      <c r="BP258" s="3" t="str">
        <f>Respostas_Formatadas!C258</f>
        <v>Bacharelado em Engenharia Civil</v>
      </c>
      <c r="BQ258" s="3">
        <f>Respostas_Formatadas!AD258</f>
        <v>0</v>
      </c>
      <c r="CY258" s="3" t="str">
        <f t="shared" si="158"/>
        <v>Bacharelado em Engenharia Civil</v>
      </c>
      <c r="CZ258" s="3">
        <f>Respostas_Formatadas!AP258</f>
        <v>0</v>
      </c>
      <c r="EK258" s="3" t="s">
        <v>119</v>
      </c>
      <c r="EN258" s="25"/>
      <c r="MC258" s="3" t="s">
        <v>1297</v>
      </c>
      <c r="MG258" s="3" t="s">
        <v>292</v>
      </c>
      <c r="MI258" s="25"/>
      <c r="MK258" s="3" t="s">
        <v>1297</v>
      </c>
      <c r="OG258" s="25"/>
    </row>
    <row r="259" spans="68:397" ht="15.75" customHeight="1" x14ac:dyDescent="0.2">
      <c r="BP259" s="3" t="str">
        <f>Respostas_Formatadas!C259</f>
        <v>Bacharelado em Engenharia Civil</v>
      </c>
      <c r="BQ259" s="3" t="str">
        <f>Respostas_Formatadas!AD259</f>
        <v xml:space="preserve">Diretor </v>
      </c>
      <c r="BR259" s="3" t="s">
        <v>480</v>
      </c>
      <c r="BS259" s="25">
        <f t="shared" ref="BS259:BS264" si="176">COUNTIF($BR$3:$BR$273,BR259)</f>
        <v>2</v>
      </c>
      <c r="CY259" s="3" t="str">
        <f t="shared" si="158"/>
        <v>Bacharelado em Engenharia Civil</v>
      </c>
      <c r="CZ259" s="3" t="str">
        <f>Respostas_Formatadas!AP259</f>
        <v xml:space="preserve">Engenheiro civil </v>
      </c>
      <c r="DA259" s="3" t="s">
        <v>424</v>
      </c>
      <c r="DB259" s="25">
        <f t="shared" ref="DB259:DB264" si="177">COUNTIF($DA$3:$DA$273,DA259)</f>
        <v>14</v>
      </c>
      <c r="EK259" s="3" t="s">
        <v>119</v>
      </c>
      <c r="EL259" s="3" t="str">
        <f>Respostas_Formatadas!BC259</f>
        <v>Aracaju</v>
      </c>
      <c r="EN259" s="25"/>
      <c r="MC259" s="3" t="s">
        <v>1317</v>
      </c>
      <c r="MG259" s="3" t="s">
        <v>292</v>
      </c>
      <c r="MI259" s="25"/>
      <c r="MK259" s="3" t="s">
        <v>292</v>
      </c>
      <c r="OG259" s="25"/>
    </row>
    <row r="260" spans="68:397" ht="15.75" customHeight="1" x14ac:dyDescent="0.2">
      <c r="BP260" s="3" t="str">
        <f>Respostas_Formatadas!C260</f>
        <v>Tecnologia em Gestão de Turismo</v>
      </c>
      <c r="BQ260" s="3" t="str">
        <f>Respostas_Formatadas!AD260</f>
        <v>Recepcionista na época da graduação e depois da graduação.</v>
      </c>
      <c r="BR260" s="3" t="s">
        <v>382</v>
      </c>
      <c r="BS260" s="25">
        <f t="shared" si="176"/>
        <v>3</v>
      </c>
      <c r="CY260" s="3" t="str">
        <f t="shared" ref="CY260:CY267" si="178">BP260</f>
        <v>Tecnologia em Gestão de Turismo</v>
      </c>
      <c r="CZ260" s="3" t="str">
        <f>Respostas_Formatadas!AP260</f>
        <v>Recepcionista</v>
      </c>
      <c r="DA260" s="3" t="s">
        <v>382</v>
      </c>
      <c r="DB260" s="25">
        <f t="shared" si="177"/>
        <v>2</v>
      </c>
      <c r="EK260" s="3" t="s">
        <v>125</v>
      </c>
      <c r="EL260" s="3" t="str">
        <f>Respostas_Formatadas!BC260</f>
        <v>Aracaju</v>
      </c>
      <c r="EN260" s="25"/>
      <c r="MC260" s="3" t="s">
        <v>292</v>
      </c>
      <c r="MG260" s="3" t="s">
        <v>292</v>
      </c>
      <c r="MI260" s="25"/>
      <c r="MK260" s="3" t="s">
        <v>292</v>
      </c>
      <c r="OG260" s="25"/>
    </row>
    <row r="261" spans="68:397" ht="15.75" customHeight="1" x14ac:dyDescent="0.2">
      <c r="BP261" s="3" t="str">
        <f>Respostas_Formatadas!C261</f>
        <v>Tecnologia em Saneamento Ambiental</v>
      </c>
      <c r="BQ261" s="3" t="str">
        <f>Respostas_Formatadas!AD261</f>
        <v>Tecnólogo Ambiental</v>
      </c>
      <c r="BR261" s="3" t="s">
        <v>1124</v>
      </c>
      <c r="BS261" s="25">
        <f t="shared" si="176"/>
        <v>3</v>
      </c>
      <c r="CY261" s="3" t="str">
        <f t="shared" si="178"/>
        <v>Tecnologia em Saneamento Ambiental</v>
      </c>
      <c r="CZ261" s="3" t="str">
        <f>Respostas_Formatadas!AP261</f>
        <v>Vendedor</v>
      </c>
      <c r="DA261" s="3" t="s">
        <v>506</v>
      </c>
      <c r="DB261" s="25">
        <f t="shared" si="177"/>
        <v>3</v>
      </c>
      <c r="EK261" s="3" t="s">
        <v>124</v>
      </c>
      <c r="EL261" s="3" t="str">
        <f>Respostas_Formatadas!BC261</f>
        <v>Aracaju</v>
      </c>
      <c r="EN261" s="25"/>
      <c r="MC261" s="3" t="s">
        <v>292</v>
      </c>
      <c r="MG261" s="3" t="s">
        <v>292</v>
      </c>
      <c r="MI261" s="25"/>
      <c r="MK261" s="3" t="s">
        <v>292</v>
      </c>
      <c r="OG261" s="25"/>
    </row>
    <row r="262" spans="68:397" ht="15.75" customHeight="1" x14ac:dyDescent="0.2">
      <c r="BP262" s="3" t="str">
        <f>Respostas_Formatadas!C262</f>
        <v>Tecnologia em Alimentos</v>
      </c>
      <c r="BQ262" s="3" t="str">
        <f>Respostas_Formatadas!AD262</f>
        <v>Zelador</v>
      </c>
      <c r="BR262" s="3" t="s">
        <v>901</v>
      </c>
      <c r="BS262" s="25">
        <f t="shared" si="176"/>
        <v>1</v>
      </c>
      <c r="CY262" s="3" t="str">
        <f t="shared" si="178"/>
        <v>Tecnologia em Alimentos</v>
      </c>
      <c r="CZ262" s="3" t="str">
        <f>Respostas_Formatadas!AP262</f>
        <v>Secretário</v>
      </c>
      <c r="DA262" s="3" t="s">
        <v>903</v>
      </c>
      <c r="DB262" s="25">
        <f t="shared" si="177"/>
        <v>2</v>
      </c>
      <c r="EK262" s="3" t="s">
        <v>129</v>
      </c>
      <c r="EL262" s="3" t="str">
        <f>Respostas_Formatadas!BC262</f>
        <v>São Cristóvão</v>
      </c>
      <c r="EN262" s="25"/>
      <c r="MC262" s="3" t="s">
        <v>399</v>
      </c>
      <c r="MG262" s="3" t="s">
        <v>399</v>
      </c>
      <c r="MI262" s="25"/>
      <c r="MK262" s="3" t="s">
        <v>399</v>
      </c>
      <c r="OG262" s="25"/>
    </row>
    <row r="263" spans="68:397" ht="15.75" customHeight="1" x14ac:dyDescent="0.2">
      <c r="BP263" s="3" t="str">
        <f>Respostas_Formatadas!C263</f>
        <v>Bacharelado em Sistemas de Informação</v>
      </c>
      <c r="BQ263" s="3" t="str">
        <f>Respostas_Formatadas!AD263</f>
        <v>Analista de sistemas</v>
      </c>
      <c r="BR263" s="3" t="s">
        <v>298</v>
      </c>
      <c r="BS263" s="25">
        <f t="shared" si="176"/>
        <v>5</v>
      </c>
      <c r="CY263" s="3" t="str">
        <f t="shared" si="178"/>
        <v>Bacharelado em Sistemas de Informação</v>
      </c>
      <c r="CZ263" s="3" t="str">
        <f>Respostas_Formatadas!AP263</f>
        <v>Analista de sistemas</v>
      </c>
      <c r="DA263" s="3" t="s">
        <v>298</v>
      </c>
      <c r="DB263" s="25">
        <f t="shared" si="177"/>
        <v>5</v>
      </c>
      <c r="EK263" s="3" t="s">
        <v>120</v>
      </c>
      <c r="EL263" s="3" t="str">
        <f>Respostas_Formatadas!BC263</f>
        <v>Aracaju</v>
      </c>
      <c r="EN263" s="25"/>
      <c r="MC263" s="3" t="s">
        <v>322</v>
      </c>
      <c r="MG263" s="3" t="s">
        <v>291</v>
      </c>
      <c r="MI263" s="25"/>
      <c r="MK263" s="3" t="s">
        <v>292</v>
      </c>
      <c r="OG263" s="25"/>
    </row>
    <row r="264" spans="68:397" ht="15.75" customHeight="1" x14ac:dyDescent="0.2">
      <c r="BP264" s="3" t="str">
        <f>Respostas_Formatadas!C264</f>
        <v>Tecnologia em Gestão de Turismo</v>
      </c>
      <c r="BQ264" s="3" t="str">
        <f>Respostas_Formatadas!AD264</f>
        <v xml:space="preserve">Atendente </v>
      </c>
      <c r="BR264" s="3" t="s">
        <v>578</v>
      </c>
      <c r="BS264" s="25">
        <f t="shared" si="176"/>
        <v>3</v>
      </c>
      <c r="CY264" s="3" t="str">
        <f t="shared" si="178"/>
        <v>Tecnologia em Gestão de Turismo</v>
      </c>
      <c r="CZ264" s="3" t="str">
        <f>Respostas_Formatadas!AP264</f>
        <v>Assistente comercial</v>
      </c>
      <c r="DA264" s="3" t="s">
        <v>1238</v>
      </c>
      <c r="DB264" s="25">
        <f t="shared" si="177"/>
        <v>1</v>
      </c>
      <c r="EK264" s="3" t="s">
        <v>125</v>
      </c>
      <c r="EL264" s="3" t="str">
        <f>Respostas_Formatadas!BC264</f>
        <v>Aracaju</v>
      </c>
      <c r="EN264" s="25"/>
      <c r="MC264" s="3" t="s">
        <v>292</v>
      </c>
      <c r="MG264" s="3" t="s">
        <v>292</v>
      </c>
      <c r="MI264" s="25"/>
      <c r="MK264" s="3" t="s">
        <v>358</v>
      </c>
      <c r="OG264" s="25"/>
    </row>
    <row r="265" spans="68:397" ht="15.75" customHeight="1" x14ac:dyDescent="0.2">
      <c r="BP265" s="3" t="str">
        <f>Respostas_Formatadas!C265</f>
        <v>Tecnologia em Gestão de Turismo</v>
      </c>
      <c r="BQ265" s="3">
        <f>Respostas_Formatadas!AD265</f>
        <v>0</v>
      </c>
      <c r="CY265" s="3" t="str">
        <f t="shared" si="178"/>
        <v>Tecnologia em Gestão de Turismo</v>
      </c>
      <c r="CZ265" s="3">
        <f>Respostas_Formatadas!AP265</f>
        <v>0</v>
      </c>
      <c r="EK265" s="3" t="s">
        <v>125</v>
      </c>
      <c r="EN265" s="25"/>
      <c r="MC265" s="3" t="s">
        <v>778</v>
      </c>
      <c r="MG265" s="3" t="s">
        <v>778</v>
      </c>
      <c r="MI265" s="25"/>
      <c r="MK265" s="3" t="s">
        <v>778</v>
      </c>
      <c r="OG265" s="25"/>
    </row>
    <row r="266" spans="68:397" ht="15.75" customHeight="1" x14ac:dyDescent="0.2">
      <c r="BP266" s="3" t="str">
        <f>Respostas_Formatadas!C266</f>
        <v>Licenciatura em Química</v>
      </c>
      <c r="BQ266" s="3">
        <f>Respostas_Formatadas!AD266</f>
        <v>0</v>
      </c>
      <c r="CY266" s="3" t="str">
        <f t="shared" si="178"/>
        <v>Licenciatura em Química</v>
      </c>
      <c r="CZ266" s="3">
        <f>Respostas_Formatadas!AP266</f>
        <v>0</v>
      </c>
      <c r="EK266" s="3" t="s">
        <v>121</v>
      </c>
      <c r="EN266" s="25"/>
      <c r="MC266" s="3" t="s">
        <v>328</v>
      </c>
      <c r="MG266" s="3" t="s">
        <v>292</v>
      </c>
      <c r="MI266" s="25"/>
      <c r="MK266" s="3" t="s">
        <v>292</v>
      </c>
      <c r="OG266" s="25"/>
    </row>
    <row r="267" spans="68:397" ht="15.75" customHeight="1" x14ac:dyDescent="0.2">
      <c r="BP267" s="3" t="str">
        <f>Respostas_Formatadas!C267</f>
        <v>Tecnologia em Automação Industrial</v>
      </c>
      <c r="BQ267" s="3" t="str">
        <f>Respostas_Formatadas!AD267</f>
        <v>Tecnico em operações</v>
      </c>
      <c r="BR267" s="3" t="s">
        <v>1147</v>
      </c>
      <c r="BS267" s="25">
        <f t="shared" ref="BS267:BS272" si="179">COUNTIF($BR$3:$BR$273,BR267)</f>
        <v>1</v>
      </c>
      <c r="CY267" s="3" t="str">
        <f t="shared" si="178"/>
        <v>Tecnologia em Automação Industrial</v>
      </c>
      <c r="CZ267" s="3" t="str">
        <f>Respostas_Formatadas!AP267</f>
        <v>Tecnico em operações</v>
      </c>
      <c r="DA267" s="3" t="s">
        <v>1147</v>
      </c>
      <c r="DB267" s="25">
        <f t="shared" ref="DB267:DB272" si="180">COUNTIF($DA$3:$DA$273,DA267)</f>
        <v>1</v>
      </c>
      <c r="EK267" s="3" t="s">
        <v>126</v>
      </c>
      <c r="EL267" s="3" t="str">
        <f>Respostas_Formatadas!BC267</f>
        <v>Aracaju</v>
      </c>
      <c r="EN267" s="25"/>
      <c r="MC267" s="3" t="s">
        <v>292</v>
      </c>
      <c r="MG267" s="3" t="s">
        <v>292</v>
      </c>
      <c r="MI267" s="25"/>
      <c r="MK267" s="3" t="s">
        <v>292</v>
      </c>
      <c r="OG267" s="25"/>
    </row>
    <row r="268" spans="68:397" ht="15.75" customHeight="1" x14ac:dyDescent="0.2">
      <c r="BP268" s="3" t="str">
        <f>Respostas_Formatadas!C268</f>
        <v>Tecnologia em Saneamento Ambiental</v>
      </c>
      <c r="BQ268" s="3" t="str">
        <f>Respostas_Formatadas!AD268</f>
        <v>auxiliar administrativo</v>
      </c>
      <c r="BR268" s="3" t="s">
        <v>326</v>
      </c>
      <c r="BS268" s="25">
        <f t="shared" si="179"/>
        <v>7</v>
      </c>
      <c r="CY268" s="3" t="str">
        <f>BP268</f>
        <v>Tecnologia em Saneamento Ambiental</v>
      </c>
      <c r="CZ268" s="3" t="str">
        <f>Respostas_Formatadas!AP268</f>
        <v>oficial administrativo</v>
      </c>
      <c r="DA268" s="3" t="s">
        <v>1239</v>
      </c>
      <c r="DB268" s="25">
        <f t="shared" si="180"/>
        <v>1</v>
      </c>
      <c r="EK268" s="3" t="s">
        <v>124</v>
      </c>
      <c r="EL268" s="3" t="str">
        <f>Respostas_Formatadas!BC268</f>
        <v>Aracaju</v>
      </c>
      <c r="EN268" s="25"/>
      <c r="MC268" s="3" t="s">
        <v>292</v>
      </c>
      <c r="MG268" s="3" t="s">
        <v>292</v>
      </c>
      <c r="MI268" s="25"/>
      <c r="MK268" s="3" t="s">
        <v>292</v>
      </c>
      <c r="OG268" s="25"/>
    </row>
    <row r="269" spans="68:397" ht="15.75" customHeight="1" x14ac:dyDescent="0.2">
      <c r="BP269" s="3" t="str">
        <f>Respostas_Formatadas!C269</f>
        <v>Tecnologia em Logística</v>
      </c>
      <c r="BQ269" s="3" t="str">
        <f>Respostas_Formatadas!AD269</f>
        <v>Caixa/Administrativo</v>
      </c>
      <c r="BR269" s="3" t="s">
        <v>541</v>
      </c>
      <c r="BS269" s="25">
        <f t="shared" si="179"/>
        <v>7</v>
      </c>
      <c r="CY269" s="3" t="str">
        <f t="shared" ref="CY269:CY273" si="181">BP269</f>
        <v>Tecnologia em Logística</v>
      </c>
      <c r="CZ269" s="3" t="str">
        <f>Respostas_Formatadas!AP269</f>
        <v xml:space="preserve">AuxiliarAdministrativo obs integrando caixa </v>
      </c>
      <c r="DA269" s="3" t="s">
        <v>326</v>
      </c>
      <c r="DB269" s="25">
        <f t="shared" si="180"/>
        <v>3</v>
      </c>
      <c r="EK269" s="3" t="s">
        <v>127</v>
      </c>
      <c r="EL269" s="3" t="str">
        <f>Respostas_Formatadas!BC269</f>
        <v>Aracaju</v>
      </c>
      <c r="EN269" s="25"/>
      <c r="MC269" s="3" t="s">
        <v>824</v>
      </c>
      <c r="MG269" s="3" t="s">
        <v>824</v>
      </c>
      <c r="MI269" s="25"/>
      <c r="MK269" s="3" t="s">
        <v>292</v>
      </c>
      <c r="OG269" s="25"/>
    </row>
    <row r="270" spans="68:397" ht="15.75" customHeight="1" x14ac:dyDescent="0.2">
      <c r="BP270" s="3" t="str">
        <f>Respostas_Formatadas!C270</f>
        <v>Tecnologia em Logística</v>
      </c>
      <c r="BQ270" s="3" t="str">
        <f>Respostas_Formatadas!AD270</f>
        <v>Assistente Administrativo</v>
      </c>
      <c r="BR270" s="3" t="s">
        <v>541</v>
      </c>
      <c r="BS270" s="25">
        <f t="shared" si="179"/>
        <v>7</v>
      </c>
      <c r="CY270" s="3" t="str">
        <f t="shared" si="181"/>
        <v>Tecnologia em Logística</v>
      </c>
      <c r="CZ270" s="3" t="str">
        <f>Respostas_Formatadas!AP270</f>
        <v>Técnico em Agropecuária</v>
      </c>
      <c r="DA270" s="3" t="s">
        <v>851</v>
      </c>
      <c r="DB270" s="25">
        <f t="shared" si="180"/>
        <v>2</v>
      </c>
      <c r="EK270" s="3" t="s">
        <v>127</v>
      </c>
      <c r="EL270" s="3" t="str">
        <f>Respostas_Formatadas!BC270</f>
        <v>Pinhão</v>
      </c>
      <c r="EN270" s="25"/>
      <c r="MC270" s="3" t="s">
        <v>853</v>
      </c>
      <c r="MG270" s="3" t="s">
        <v>853</v>
      </c>
      <c r="MI270" s="25"/>
      <c r="MK270" s="3" t="s">
        <v>853</v>
      </c>
      <c r="OG270" s="25"/>
    </row>
    <row r="271" spans="68:397" ht="15.75" customHeight="1" x14ac:dyDescent="0.2">
      <c r="BP271" s="3" t="str">
        <f>Respostas_Formatadas!C271</f>
        <v>Bacharelado em Sistemas de Informação</v>
      </c>
      <c r="BQ271" s="3" t="str">
        <f>Respostas_Formatadas!AD271</f>
        <v>Programador de software</v>
      </c>
      <c r="BR271" s="3" t="s">
        <v>925</v>
      </c>
      <c r="BS271" s="25">
        <f t="shared" si="179"/>
        <v>1</v>
      </c>
      <c r="CY271" s="3" t="str">
        <f t="shared" si="181"/>
        <v>Bacharelado em Sistemas de Informação</v>
      </c>
      <c r="CZ271" s="3" t="str">
        <f>Respostas_Formatadas!AP271</f>
        <v>Programador de Software</v>
      </c>
      <c r="DA271" s="3" t="s">
        <v>925</v>
      </c>
      <c r="DB271" s="25">
        <f t="shared" si="180"/>
        <v>1</v>
      </c>
      <c r="EK271" s="3" t="s">
        <v>120</v>
      </c>
      <c r="EL271" s="3" t="str">
        <f>Respostas_Formatadas!BC271</f>
        <v>Aracaju</v>
      </c>
      <c r="EN271" s="25"/>
      <c r="MC271" s="3" t="s">
        <v>659</v>
      </c>
      <c r="MG271" s="3" t="s">
        <v>292</v>
      </c>
      <c r="MI271" s="25"/>
      <c r="MK271" s="3" t="s">
        <v>292</v>
      </c>
      <c r="OG271" s="25"/>
    </row>
    <row r="272" spans="68:397" ht="15.75" customHeight="1" x14ac:dyDescent="0.2">
      <c r="BP272" s="3" t="str">
        <f>Respostas_Formatadas!C272</f>
        <v>Tecnologia em Automação Industrial</v>
      </c>
      <c r="BQ272" s="3" t="str">
        <f>Respostas_Formatadas!AD272</f>
        <v>Técnico em eletrica</v>
      </c>
      <c r="BR272" s="3" t="s">
        <v>1148</v>
      </c>
      <c r="BS272" s="25">
        <f t="shared" si="179"/>
        <v>1</v>
      </c>
      <c r="CY272" s="3" t="str">
        <f t="shared" si="181"/>
        <v>Tecnologia em Automação Industrial</v>
      </c>
      <c r="CZ272" s="3" t="str">
        <f>Respostas_Formatadas!AP272</f>
        <v xml:space="preserve">Eletricista industrial </v>
      </c>
      <c r="DA272" s="3" t="s">
        <v>1240</v>
      </c>
      <c r="DB272" s="25">
        <f t="shared" si="180"/>
        <v>1</v>
      </c>
      <c r="EK272" s="3" t="s">
        <v>126</v>
      </c>
      <c r="EL272" s="3" t="str">
        <f>Respostas_Formatadas!BC272</f>
        <v>Alagoinhas - BA</v>
      </c>
      <c r="EN272" s="25"/>
      <c r="MC272" s="3" t="s">
        <v>1287</v>
      </c>
      <c r="MG272" s="3" t="s">
        <v>291</v>
      </c>
      <c r="MI272" s="25"/>
      <c r="MK272" s="3" t="s">
        <v>1284</v>
      </c>
      <c r="OG272" s="25"/>
    </row>
    <row r="273" spans="68:397" ht="15.75" customHeight="1" x14ac:dyDescent="0.2">
      <c r="BP273" s="3" t="str">
        <f>Respostas_Formatadas!C273</f>
        <v>Tecnologia em Agroecologia</v>
      </c>
      <c r="BQ273" s="3">
        <f>Respostas_Formatadas!AD273</f>
        <v>0</v>
      </c>
      <c r="CY273" s="3" t="str">
        <f t="shared" si="181"/>
        <v>Tecnologia em Agroecologia</v>
      </c>
      <c r="CZ273" s="3">
        <f>Respostas_Formatadas!AP273</f>
        <v>0</v>
      </c>
      <c r="EK273" s="3" t="s">
        <v>130</v>
      </c>
      <c r="EN273" s="25"/>
      <c r="MC273" s="3" t="s">
        <v>1298</v>
      </c>
      <c r="MG273" s="3" t="s">
        <v>292</v>
      </c>
      <c r="MI273" s="25"/>
      <c r="MK273" s="3" t="s">
        <v>292</v>
      </c>
      <c r="OG273" s="25"/>
    </row>
    <row r="274" spans="68:397" ht="15.75" customHeight="1" x14ac:dyDescent="0.2">
      <c r="OG274" s="25"/>
    </row>
    <row r="275" spans="68:397" ht="15.75" customHeight="1" x14ac:dyDescent="0.2">
      <c r="OG275" s="25"/>
    </row>
    <row r="276" spans="68:397" ht="15.75" customHeight="1" x14ac:dyDescent="0.2">
      <c r="OG276" s="25"/>
    </row>
    <row r="277" spans="68:397" ht="15.75" customHeight="1" x14ac:dyDescent="0.2">
      <c r="OG277" s="25"/>
    </row>
  </sheetData>
  <sortState ref="EM3:EN36">
    <sortCondition descending="1" ref="EN3:EN80"/>
  </sortState>
  <pageMargins left="0.511811024" right="0.511811024" top="0.78740157499999996" bottom="0.78740157499999996" header="0.31496062000000002" footer="0.31496062000000002"/>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sheetPr>
  <dimension ref="A1:LB20"/>
  <sheetViews>
    <sheetView showGridLines="0" zoomScale="90" zoomScaleNormal="90" workbookViewId="0">
      <selection activeCell="B3" sqref="B3"/>
    </sheetView>
  </sheetViews>
  <sheetFormatPr defaultRowHeight="12.75" x14ac:dyDescent="0.2"/>
  <cols>
    <col min="3" max="3" width="38.42578125" bestFit="1" customWidth="1"/>
    <col min="75" max="75" width="32.85546875" style="126" customWidth="1"/>
    <col min="315" max="16384" width="9.140625" style="48"/>
  </cols>
  <sheetData>
    <row r="1" spans="3:75" s="126" customFormat="1" ht="139.5" customHeight="1" x14ac:dyDescent="0.2"/>
    <row r="4" spans="3:75" s="131" customFormat="1" ht="22.5" x14ac:dyDescent="0.2">
      <c r="BW4" s="134" t="s">
        <v>1107</v>
      </c>
    </row>
    <row r="9" spans="3:75" x14ac:dyDescent="0.2">
      <c r="C9" t="s">
        <v>123</v>
      </c>
    </row>
    <row r="10" spans="3:75" x14ac:dyDescent="0.2">
      <c r="C10" t="s">
        <v>120</v>
      </c>
    </row>
    <row r="11" spans="3:75" x14ac:dyDescent="0.2">
      <c r="C11" t="s">
        <v>126</v>
      </c>
    </row>
    <row r="12" spans="3:75" x14ac:dyDescent="0.2">
      <c r="C12" t="s">
        <v>127</v>
      </c>
    </row>
    <row r="13" spans="3:75" x14ac:dyDescent="0.2">
      <c r="C13" t="s">
        <v>130</v>
      </c>
    </row>
    <row r="14" spans="3:75" x14ac:dyDescent="0.2">
      <c r="C14" t="s">
        <v>124</v>
      </c>
    </row>
    <row r="15" spans="3:75" x14ac:dyDescent="0.2">
      <c r="C15" t="s">
        <v>119</v>
      </c>
    </row>
    <row r="16" spans="3:75" x14ac:dyDescent="0.2">
      <c r="C16" t="s">
        <v>121</v>
      </c>
    </row>
    <row r="17" spans="3:3" x14ac:dyDescent="0.2">
      <c r="C17" t="s">
        <v>122</v>
      </c>
    </row>
    <row r="18" spans="3:3" x14ac:dyDescent="0.2">
      <c r="C18" t="s">
        <v>128</v>
      </c>
    </row>
    <row r="19" spans="3:3" x14ac:dyDescent="0.2">
      <c r="C19" t="s">
        <v>125</v>
      </c>
    </row>
    <row r="20" spans="3:3" x14ac:dyDescent="0.2">
      <c r="C20" t="s">
        <v>129</v>
      </c>
    </row>
  </sheetData>
  <sortState ref="CD6:CE93">
    <sortCondition descending="1" ref="CE6:CE93"/>
  </sortState>
  <pageMargins left="0.511811024" right="0.511811024" top="0.78740157499999996" bottom="0.78740157499999996" header="0.31496062000000002" footer="0.31496062000000002"/>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A50021"/>
  </sheetPr>
  <dimension ref="A1:T39"/>
  <sheetViews>
    <sheetView showGridLines="0" tabSelected="1" zoomScaleNormal="100" workbookViewId="0"/>
  </sheetViews>
  <sheetFormatPr defaultColWidth="0" defaultRowHeight="12.75" zeroHeight="1" x14ac:dyDescent="0.2"/>
  <cols>
    <col min="1" max="1" width="20.7109375" style="244" customWidth="1"/>
    <col min="2" max="2" width="85.7109375" style="244" customWidth="1"/>
    <col min="3" max="20" width="9.140625" style="244" customWidth="1"/>
    <col min="21" max="16384" width="9.140625" style="244" hidden="1"/>
  </cols>
  <sheetData>
    <row r="1" spans="1:19" ht="140.1" customHeight="1" x14ac:dyDescent="0.2">
      <c r="A1" s="243"/>
      <c r="C1" s="222" t="s">
        <v>1212</v>
      </c>
    </row>
    <row r="2" spans="1:19" x14ac:dyDescent="0.2">
      <c r="B2" s="245"/>
      <c r="C2" s="245"/>
      <c r="D2" s="245"/>
      <c r="E2" s="245"/>
      <c r="F2" s="245"/>
      <c r="G2" s="245"/>
      <c r="H2" s="245"/>
      <c r="I2" s="245"/>
      <c r="J2" s="245"/>
      <c r="K2" s="245"/>
      <c r="L2" s="245"/>
      <c r="M2" s="245"/>
      <c r="N2" s="245"/>
      <c r="O2" s="245"/>
      <c r="P2" s="245"/>
      <c r="Q2" s="245"/>
      <c r="R2" s="245"/>
      <c r="S2" s="245"/>
    </row>
    <row r="3" spans="1:19" x14ac:dyDescent="0.2">
      <c r="A3" s="246"/>
      <c r="B3" s="245"/>
      <c r="C3" s="245"/>
      <c r="D3" s="245"/>
      <c r="E3" s="245"/>
      <c r="F3" s="245"/>
      <c r="G3" s="245"/>
      <c r="H3" s="245"/>
      <c r="I3" s="245"/>
      <c r="J3" s="245"/>
      <c r="K3" s="245"/>
      <c r="L3" s="245"/>
      <c r="M3" s="245"/>
      <c r="N3" s="245"/>
      <c r="O3" s="245"/>
      <c r="P3" s="245"/>
      <c r="Q3" s="245"/>
      <c r="R3" s="245"/>
      <c r="S3" s="245"/>
    </row>
    <row r="4" spans="1:19" ht="27.75" customHeight="1" x14ac:dyDescent="0.2">
      <c r="A4" s="247"/>
      <c r="B4" s="248" t="s">
        <v>1244</v>
      </c>
      <c r="C4" s="245"/>
      <c r="D4" s="245"/>
      <c r="E4" s="245"/>
      <c r="F4" s="245"/>
      <c r="G4" s="245"/>
      <c r="H4" s="245"/>
      <c r="I4" s="245"/>
      <c r="J4" s="245"/>
      <c r="K4" s="245"/>
      <c r="L4" s="245"/>
      <c r="M4" s="245"/>
      <c r="N4" s="245"/>
      <c r="O4" s="245"/>
      <c r="P4" s="245"/>
      <c r="Q4" s="245"/>
      <c r="R4" s="245"/>
      <c r="S4" s="245"/>
    </row>
    <row r="5" spans="1:19" x14ac:dyDescent="0.2">
      <c r="B5" s="245"/>
      <c r="C5" s="245"/>
      <c r="D5" s="245"/>
      <c r="E5" s="245"/>
      <c r="F5" s="245"/>
      <c r="G5" s="245"/>
      <c r="H5" s="245"/>
      <c r="I5" s="245"/>
      <c r="J5" s="245"/>
      <c r="K5" s="245"/>
      <c r="L5" s="245"/>
      <c r="M5" s="245"/>
      <c r="N5" s="245"/>
      <c r="O5" s="245"/>
      <c r="P5" s="245"/>
      <c r="Q5" s="245"/>
      <c r="R5" s="245"/>
      <c r="S5" s="245"/>
    </row>
    <row r="6" spans="1:19" x14ac:dyDescent="0.2">
      <c r="A6" s="249"/>
      <c r="B6" s="251" t="s">
        <v>1164</v>
      </c>
      <c r="C6" s="245"/>
      <c r="D6" s="245"/>
      <c r="E6" s="245"/>
      <c r="F6" s="245"/>
      <c r="G6" s="245"/>
      <c r="H6" s="245"/>
      <c r="I6" s="245"/>
      <c r="J6" s="245"/>
      <c r="K6" s="245"/>
      <c r="L6" s="245"/>
      <c r="M6" s="245"/>
      <c r="N6" s="245"/>
      <c r="O6" s="245"/>
      <c r="P6" s="245"/>
      <c r="Q6" s="245"/>
      <c r="R6" s="245"/>
      <c r="S6" s="245"/>
    </row>
    <row r="7" spans="1:19" x14ac:dyDescent="0.2">
      <c r="B7" s="251" t="s">
        <v>1165</v>
      </c>
      <c r="C7" s="245"/>
      <c r="D7" s="245"/>
      <c r="E7" s="245"/>
      <c r="F7" s="245"/>
      <c r="G7" s="245"/>
      <c r="H7" s="245"/>
      <c r="I7" s="245"/>
      <c r="J7" s="245"/>
      <c r="K7" s="245"/>
      <c r="L7" s="245"/>
      <c r="M7" s="245"/>
      <c r="N7" s="245"/>
      <c r="O7" s="245"/>
      <c r="P7" s="245"/>
      <c r="Q7" s="245"/>
      <c r="R7" s="245"/>
      <c r="S7" s="245"/>
    </row>
    <row r="8" spans="1:19" x14ac:dyDescent="0.2">
      <c r="B8" s="251" t="s">
        <v>1174</v>
      </c>
      <c r="C8" s="245"/>
      <c r="D8" s="245"/>
      <c r="E8" s="245"/>
      <c r="F8" s="245"/>
      <c r="G8" s="245"/>
      <c r="H8" s="245"/>
      <c r="I8" s="245"/>
      <c r="J8" s="245"/>
      <c r="K8" s="245"/>
      <c r="L8" s="245"/>
      <c r="M8" s="245"/>
      <c r="N8" s="245"/>
      <c r="O8" s="245"/>
      <c r="P8" s="245"/>
      <c r="Q8" s="245"/>
      <c r="R8" s="245"/>
      <c r="S8" s="245"/>
    </row>
    <row r="9" spans="1:19" x14ac:dyDescent="0.2">
      <c r="B9" s="251" t="s">
        <v>1176</v>
      </c>
      <c r="C9" s="245"/>
      <c r="D9" s="245"/>
      <c r="E9" s="245"/>
      <c r="F9" s="245"/>
      <c r="G9" s="245"/>
      <c r="H9" s="245"/>
      <c r="I9" s="245"/>
      <c r="J9" s="245"/>
      <c r="K9" s="245"/>
      <c r="L9" s="245"/>
      <c r="M9" s="245"/>
      <c r="N9" s="245"/>
      <c r="O9" s="245"/>
      <c r="P9" s="245"/>
      <c r="Q9" s="245"/>
      <c r="R9" s="245"/>
      <c r="S9" s="245"/>
    </row>
    <row r="10" spans="1:19" x14ac:dyDescent="0.2">
      <c r="B10" s="251" t="s">
        <v>993</v>
      </c>
      <c r="C10" s="245"/>
      <c r="D10" s="245"/>
      <c r="E10" s="245"/>
      <c r="F10" s="245"/>
      <c r="G10" s="245"/>
      <c r="H10" s="245"/>
      <c r="I10" s="245"/>
      <c r="J10" s="245"/>
      <c r="K10" s="245"/>
      <c r="L10" s="245"/>
      <c r="M10" s="245"/>
      <c r="N10" s="245"/>
      <c r="O10" s="245"/>
      <c r="P10" s="245"/>
      <c r="Q10" s="245"/>
      <c r="R10" s="245"/>
      <c r="S10" s="245"/>
    </row>
    <row r="11" spans="1:19" x14ac:dyDescent="0.2">
      <c r="B11" s="251" t="s">
        <v>1193</v>
      </c>
      <c r="C11" s="245"/>
      <c r="D11" s="245"/>
      <c r="E11" s="245"/>
      <c r="F11" s="245"/>
      <c r="G11" s="245"/>
      <c r="H11" s="245"/>
      <c r="I11" s="245"/>
      <c r="J11" s="245"/>
      <c r="K11" s="245"/>
      <c r="L11" s="245"/>
      <c r="M11" s="245"/>
      <c r="N11" s="245"/>
      <c r="O11" s="245"/>
      <c r="P11" s="245"/>
      <c r="Q11" s="245"/>
      <c r="R11" s="245"/>
      <c r="S11" s="245"/>
    </row>
    <row r="12" spans="1:19" x14ac:dyDescent="0.2">
      <c r="B12" s="251" t="s">
        <v>1245</v>
      </c>
      <c r="C12" s="245"/>
      <c r="D12" s="245"/>
      <c r="E12" s="245"/>
      <c r="F12" s="245"/>
      <c r="G12" s="245"/>
      <c r="H12" s="245"/>
      <c r="I12" s="245"/>
      <c r="J12" s="245"/>
      <c r="K12" s="245"/>
      <c r="L12" s="245"/>
      <c r="M12" s="245"/>
      <c r="N12" s="245"/>
      <c r="O12" s="245"/>
      <c r="P12" s="245"/>
      <c r="Q12" s="245"/>
      <c r="R12" s="245"/>
      <c r="S12" s="245"/>
    </row>
    <row r="13" spans="1:19" x14ac:dyDescent="0.2">
      <c r="B13" s="250"/>
      <c r="C13" s="245"/>
      <c r="D13" s="245"/>
      <c r="E13" s="245"/>
      <c r="F13" s="245"/>
      <c r="G13" s="245"/>
      <c r="H13" s="245"/>
      <c r="I13" s="245"/>
      <c r="J13" s="245"/>
      <c r="K13" s="245"/>
      <c r="L13" s="245"/>
      <c r="M13" s="245"/>
      <c r="N13" s="245"/>
      <c r="O13" s="245"/>
      <c r="P13" s="245"/>
      <c r="Q13" s="245"/>
      <c r="R13" s="245"/>
      <c r="S13" s="245"/>
    </row>
    <row r="14" spans="1:19" x14ac:dyDescent="0.2">
      <c r="B14" s="250"/>
      <c r="C14" s="245"/>
      <c r="D14" s="245"/>
      <c r="E14" s="245"/>
      <c r="F14" s="245"/>
      <c r="G14" s="245"/>
      <c r="H14" s="245"/>
      <c r="I14" s="245"/>
      <c r="J14" s="245"/>
      <c r="K14" s="245"/>
      <c r="L14" s="245"/>
      <c r="M14" s="245"/>
      <c r="N14" s="245"/>
      <c r="O14" s="245"/>
      <c r="P14" s="245"/>
      <c r="Q14" s="245"/>
      <c r="R14" s="245"/>
      <c r="S14" s="245"/>
    </row>
    <row r="15" spans="1:19" ht="13.5" thickBot="1" x14ac:dyDescent="0.25">
      <c r="B15" s="345"/>
      <c r="C15" s="245"/>
      <c r="D15" s="245"/>
      <c r="E15" s="245"/>
      <c r="F15" s="245"/>
      <c r="G15" s="245"/>
      <c r="H15" s="245"/>
      <c r="I15" s="245"/>
      <c r="J15" s="245"/>
      <c r="K15" s="245"/>
      <c r="L15" s="245"/>
      <c r="M15" s="245"/>
      <c r="N15" s="245"/>
      <c r="O15" s="245"/>
      <c r="P15" s="245"/>
      <c r="Q15" s="245"/>
      <c r="R15" s="245"/>
      <c r="S15" s="245"/>
    </row>
    <row r="16" spans="1:19" ht="12.75" customHeight="1" thickTop="1" x14ac:dyDescent="0.2">
      <c r="B16" s="344" t="s">
        <v>1365</v>
      </c>
      <c r="C16" s="245"/>
      <c r="D16" s="245"/>
      <c r="E16" s="245"/>
      <c r="F16" s="245"/>
      <c r="G16" s="245"/>
      <c r="H16" s="245"/>
      <c r="I16" s="245"/>
      <c r="J16" s="245"/>
      <c r="K16" s="245"/>
      <c r="L16" s="245"/>
      <c r="M16" s="245"/>
      <c r="N16" s="245"/>
      <c r="O16" s="245"/>
      <c r="P16" s="245"/>
      <c r="Q16" s="245"/>
      <c r="R16" s="245"/>
      <c r="S16" s="245"/>
    </row>
    <row r="17" spans="2:19" x14ac:dyDescent="0.2">
      <c r="B17" s="342"/>
      <c r="C17" s="245"/>
      <c r="D17" s="245"/>
      <c r="E17" s="245"/>
      <c r="F17" s="245"/>
      <c r="G17" s="245"/>
      <c r="H17" s="245"/>
      <c r="I17" s="245"/>
      <c r="J17" s="245"/>
      <c r="K17" s="245"/>
      <c r="L17" s="245"/>
      <c r="M17" s="245"/>
      <c r="N17" s="245"/>
      <c r="O17" s="245"/>
      <c r="P17" s="245"/>
      <c r="Q17" s="245"/>
      <c r="R17" s="245"/>
      <c r="S17" s="245"/>
    </row>
    <row r="18" spans="2:19" x14ac:dyDescent="0.2">
      <c r="B18" s="342"/>
      <c r="C18" s="245"/>
      <c r="D18" s="245"/>
      <c r="E18" s="245"/>
      <c r="F18" s="245"/>
      <c r="G18" s="245"/>
      <c r="H18" s="245"/>
      <c r="I18" s="245"/>
      <c r="J18" s="245"/>
      <c r="K18" s="245"/>
      <c r="L18" s="245"/>
      <c r="M18" s="245"/>
      <c r="N18" s="245"/>
      <c r="O18" s="245"/>
      <c r="P18" s="245"/>
      <c r="Q18" s="245"/>
      <c r="R18" s="245"/>
      <c r="S18" s="245"/>
    </row>
    <row r="19" spans="2:19" x14ac:dyDescent="0.2">
      <c r="B19" s="342"/>
      <c r="C19" s="245"/>
      <c r="D19" s="245"/>
      <c r="E19" s="245"/>
      <c r="F19" s="245"/>
      <c r="G19" s="245"/>
      <c r="H19" s="245"/>
      <c r="I19" s="245"/>
      <c r="J19" s="245"/>
      <c r="K19" s="245"/>
      <c r="L19" s="245"/>
      <c r="M19" s="245"/>
      <c r="N19" s="245"/>
      <c r="O19" s="245"/>
      <c r="P19" s="245"/>
      <c r="Q19" s="245"/>
      <c r="R19" s="245"/>
      <c r="S19" s="245"/>
    </row>
    <row r="20" spans="2:19" x14ac:dyDescent="0.2">
      <c r="B20" s="342"/>
      <c r="C20" s="245"/>
      <c r="D20" s="245"/>
      <c r="E20" s="245"/>
      <c r="F20" s="245"/>
      <c r="G20" s="245"/>
      <c r="H20" s="245"/>
      <c r="I20" s="245"/>
      <c r="J20" s="245"/>
      <c r="K20" s="245"/>
      <c r="L20" s="245"/>
      <c r="M20" s="245"/>
      <c r="N20" s="245"/>
      <c r="O20" s="245"/>
      <c r="P20" s="245"/>
      <c r="Q20" s="245"/>
      <c r="R20" s="245"/>
      <c r="S20" s="245"/>
    </row>
    <row r="21" spans="2:19" x14ac:dyDescent="0.2">
      <c r="B21" s="342"/>
      <c r="C21" s="245"/>
      <c r="D21" s="245"/>
      <c r="E21" s="245"/>
      <c r="F21" s="245"/>
      <c r="G21" s="245"/>
      <c r="H21" s="245"/>
      <c r="I21" s="245"/>
      <c r="J21" s="245"/>
      <c r="K21" s="245"/>
      <c r="L21" s="245"/>
      <c r="M21" s="245"/>
      <c r="N21" s="245"/>
      <c r="O21" s="245"/>
      <c r="P21" s="245"/>
      <c r="Q21" s="245"/>
      <c r="R21" s="245"/>
      <c r="S21" s="245"/>
    </row>
    <row r="22" spans="2:19" x14ac:dyDescent="0.2">
      <c r="B22" s="342"/>
      <c r="C22" s="245"/>
      <c r="D22" s="245"/>
      <c r="E22" s="245"/>
      <c r="F22" s="245"/>
      <c r="G22" s="245"/>
      <c r="H22" s="245"/>
      <c r="I22" s="245"/>
      <c r="J22" s="245"/>
      <c r="K22" s="245"/>
      <c r="L22" s="245"/>
      <c r="M22" s="245"/>
      <c r="N22" s="245"/>
      <c r="O22" s="245"/>
      <c r="P22" s="245"/>
      <c r="Q22" s="245"/>
      <c r="R22" s="245"/>
      <c r="S22" s="245"/>
    </row>
    <row r="23" spans="2:19" x14ac:dyDescent="0.2">
      <c r="B23" s="342"/>
      <c r="C23" s="245"/>
      <c r="D23" s="245"/>
      <c r="E23" s="245"/>
      <c r="F23" s="245"/>
      <c r="G23" s="245"/>
      <c r="H23" s="245"/>
      <c r="I23" s="245"/>
      <c r="J23" s="245"/>
      <c r="K23" s="245"/>
      <c r="L23" s="245"/>
      <c r="M23" s="245"/>
      <c r="N23" s="245"/>
      <c r="O23" s="245"/>
      <c r="P23" s="245"/>
      <c r="Q23" s="245"/>
      <c r="R23" s="245"/>
      <c r="S23" s="245"/>
    </row>
    <row r="24" spans="2:19" ht="12.75" customHeight="1" thickBot="1" x14ac:dyDescent="0.25">
      <c r="B24" s="346"/>
      <c r="C24" s="245"/>
      <c r="D24" s="245"/>
      <c r="E24" s="245"/>
      <c r="F24" s="245"/>
      <c r="G24" s="245"/>
      <c r="H24" s="245"/>
      <c r="I24" s="245"/>
      <c r="J24" s="245"/>
      <c r="K24" s="245"/>
      <c r="L24" s="245"/>
      <c r="M24" s="245"/>
      <c r="N24" s="245"/>
      <c r="O24" s="245"/>
      <c r="P24" s="245"/>
      <c r="Q24" s="245"/>
      <c r="R24" s="245"/>
      <c r="S24" s="245"/>
    </row>
    <row r="25" spans="2:19" ht="13.5" thickTop="1" x14ac:dyDescent="0.2">
      <c r="B25" s="343"/>
      <c r="C25" s="245"/>
      <c r="D25" s="245"/>
      <c r="E25" s="245"/>
      <c r="F25" s="245"/>
      <c r="G25" s="245"/>
      <c r="H25" s="245"/>
      <c r="I25" s="245"/>
      <c r="J25" s="245"/>
      <c r="K25" s="245"/>
      <c r="L25" s="245"/>
      <c r="M25" s="245"/>
      <c r="N25" s="245"/>
      <c r="O25" s="245"/>
      <c r="P25" s="245"/>
      <c r="Q25" s="245"/>
      <c r="R25" s="245"/>
      <c r="S25" s="245"/>
    </row>
    <row r="26" spans="2:19" x14ac:dyDescent="0.2">
      <c r="B26" s="245"/>
      <c r="C26" s="245"/>
      <c r="D26" s="245"/>
      <c r="E26" s="245"/>
      <c r="F26" s="245"/>
      <c r="G26" s="245"/>
      <c r="H26" s="245"/>
      <c r="I26" s="245"/>
      <c r="J26" s="245"/>
      <c r="K26" s="245"/>
      <c r="L26" s="245"/>
      <c r="M26" s="245"/>
      <c r="N26" s="245"/>
      <c r="O26" s="245"/>
      <c r="P26" s="245"/>
      <c r="Q26" s="245"/>
      <c r="R26" s="245"/>
      <c r="S26" s="245"/>
    </row>
    <row r="27" spans="2:19" ht="25.5" customHeight="1" x14ac:dyDescent="0.2">
      <c r="B27" s="245"/>
      <c r="C27" s="245"/>
      <c r="D27" s="245"/>
      <c r="E27" s="245"/>
      <c r="F27" s="245"/>
      <c r="G27" s="245"/>
      <c r="H27" s="245"/>
      <c r="I27" s="245"/>
      <c r="J27" s="245"/>
      <c r="K27" s="245"/>
      <c r="L27" s="245"/>
      <c r="M27" s="245"/>
      <c r="N27" s="245"/>
      <c r="O27" s="245"/>
      <c r="P27" s="245"/>
      <c r="Q27" s="245"/>
      <c r="R27" s="245"/>
      <c r="S27" s="245"/>
    </row>
    <row r="28" spans="2:19" x14ac:dyDescent="0.2">
      <c r="B28" s="245"/>
      <c r="C28" s="245"/>
      <c r="D28" s="245"/>
      <c r="E28" s="245"/>
      <c r="F28" s="245"/>
      <c r="G28" s="245"/>
      <c r="H28" s="245"/>
      <c r="I28" s="245"/>
      <c r="J28" s="245"/>
      <c r="K28" s="245"/>
      <c r="L28" s="245"/>
      <c r="M28" s="245"/>
      <c r="N28" s="245"/>
      <c r="O28" s="245"/>
      <c r="P28" s="245"/>
      <c r="Q28" s="245"/>
      <c r="R28" s="245"/>
      <c r="S28" s="245"/>
    </row>
    <row r="29" spans="2:19" x14ac:dyDescent="0.2">
      <c r="B29" s="245"/>
      <c r="C29" s="245"/>
      <c r="D29" s="245"/>
      <c r="E29" s="245"/>
      <c r="F29" s="245"/>
      <c r="G29" s="245"/>
      <c r="H29" s="245"/>
      <c r="I29" s="245"/>
      <c r="J29" s="245"/>
      <c r="K29" s="245"/>
      <c r="L29" s="245"/>
      <c r="M29" s="245"/>
      <c r="N29" s="245"/>
      <c r="O29" s="245"/>
      <c r="P29" s="245"/>
      <c r="Q29" s="245"/>
      <c r="R29" s="245"/>
      <c r="S29" s="245"/>
    </row>
    <row r="30" spans="2:19" x14ac:dyDescent="0.2">
      <c r="B30" s="245"/>
      <c r="C30" s="245"/>
      <c r="D30" s="245"/>
      <c r="E30" s="245"/>
      <c r="F30" s="245"/>
      <c r="G30" s="245"/>
      <c r="H30" s="245"/>
      <c r="I30" s="245"/>
      <c r="J30" s="245"/>
      <c r="K30" s="245"/>
      <c r="L30" s="245"/>
      <c r="M30" s="245"/>
      <c r="N30" s="245"/>
      <c r="O30" s="245"/>
      <c r="P30" s="245"/>
      <c r="Q30" s="245"/>
      <c r="R30" s="245"/>
      <c r="S30" s="245"/>
    </row>
    <row r="31" spans="2:19" x14ac:dyDescent="0.2"/>
    <row r="32" spans="2:19" x14ac:dyDescent="0.2"/>
    <row r="33" x14ac:dyDescent="0.2"/>
    <row r="34" x14ac:dyDescent="0.2"/>
    <row r="35" hidden="1" x14ac:dyDescent="0.2"/>
    <row r="36" hidden="1" x14ac:dyDescent="0.2"/>
    <row r="37" hidden="1" x14ac:dyDescent="0.2"/>
    <row r="38" hidden="1" x14ac:dyDescent="0.2"/>
    <row r="39" ht="38.25" hidden="1" customHeight="1" x14ac:dyDescent="0.2"/>
  </sheetData>
  <sheetProtection algorithmName="SHA-512" hashValue="L6rOW/4nFELohCTWR8vW1CADPX3MqBhk5lCRNEaWCkQym5xwCMnNibnrLPiyS5kc2w0riH5CcpJr5XNCzZO/WA==" saltValue="vYSV0gpSwCsD+kMT8u5t9g==" spinCount="100000" sheet="1" objects="1" scenarios="1"/>
  <mergeCells count="1">
    <mergeCell ref="B16:B24"/>
  </mergeCells>
  <hyperlinks>
    <hyperlink ref="B6" location="CaractAmostra!A1" display="Caracterização da Amostra"/>
    <hyperlink ref="B7" location="ContEstudos!A1" display="Continuidade dos Estudos"/>
    <hyperlink ref="B8" location="TransEstTrab!A1" display="Transição de Estudo para Trabalho"/>
    <hyperlink ref="B9" location="'1Emp'!A1" display="Primeiro Emprego"/>
    <hyperlink ref="B10" location="EmpAtual!A1" display="Emprego Atual"/>
    <hyperlink ref="B11" location="AvalInst!A1" display="Avaliação da Instituição"/>
    <hyperlink ref="B12" location="Coments!A1" display="Comentários Livres e Sugestões"/>
  </hyperlinks>
  <pageMargins left="0.511811024" right="0.511811024" top="0.78740157499999996" bottom="0.78740157499999996" header="0.31496062000000002" footer="0.31496062000000002"/>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N179"/>
  <sheetViews>
    <sheetView showGridLines="0" zoomScaleNormal="100" workbookViewId="0"/>
  </sheetViews>
  <sheetFormatPr defaultColWidth="0" defaultRowHeight="12.75" zeroHeight="1" x14ac:dyDescent="0.2"/>
  <cols>
    <col min="1" max="1" width="24.7109375" style="126" customWidth="1"/>
    <col min="2" max="2" width="9.28515625" style="126" customWidth="1"/>
    <col min="3" max="3" width="75.5703125" style="126" bestFit="1" customWidth="1"/>
    <col min="4" max="4" width="10.140625" style="126" customWidth="1"/>
    <col min="5" max="5" width="43.140625" style="126" bestFit="1" customWidth="1"/>
    <col min="6" max="6" width="13.7109375" style="126" customWidth="1"/>
    <col min="7" max="7" width="9.7109375" style="126" customWidth="1"/>
    <col min="8" max="8" width="9.140625" style="126" customWidth="1"/>
    <col min="9" max="9" width="10.5703125" style="126" customWidth="1"/>
    <col min="10" max="10" width="9.140625" style="126" customWidth="1"/>
    <col min="11" max="11" width="92.5703125" style="126" customWidth="1"/>
    <col min="12" max="12" width="9.140625" style="126" customWidth="1"/>
    <col min="13" max="13" width="47.140625" style="126" customWidth="1"/>
    <col min="14" max="16" width="9.140625" style="126" customWidth="1"/>
    <col min="17" max="17" width="38.85546875" style="126" customWidth="1"/>
    <col min="18" max="20" width="9.140625" style="126" customWidth="1"/>
    <col min="21" max="21" width="6.42578125" style="126" bestFit="1" customWidth="1"/>
    <col min="22" max="22" width="38.85546875" style="126" customWidth="1"/>
    <col min="23" max="25" width="9.140625" style="126" customWidth="1"/>
    <col min="26" max="26" width="38.85546875" style="126" customWidth="1"/>
    <col min="27" max="29" width="9.140625" style="126" customWidth="1"/>
    <col min="30" max="30" width="6.42578125" style="126" bestFit="1" customWidth="1"/>
    <col min="31" max="31" width="38.85546875" style="126" customWidth="1"/>
    <col min="32" max="34" width="9.140625" style="126" customWidth="1"/>
    <col min="35" max="35" width="38.85546875" style="126" customWidth="1"/>
    <col min="36" max="38" width="9.140625" style="126" customWidth="1"/>
    <col min="39" max="39" width="6.42578125" style="126" bestFit="1" customWidth="1"/>
    <col min="40" max="40" width="38.85546875" style="126" customWidth="1"/>
    <col min="41" max="43" width="9.140625" style="126" customWidth="1"/>
    <col min="44" max="44" width="48" style="126" customWidth="1"/>
    <col min="45" max="45" width="12.28515625" style="126" customWidth="1"/>
    <col min="46" max="48" width="12.28515625" style="126" bestFit="1" customWidth="1"/>
    <col min="49" max="49" width="9.140625" style="126" customWidth="1"/>
    <col min="50" max="50" width="48" style="126" customWidth="1"/>
    <col min="51" max="51" width="12.28515625" style="126" customWidth="1"/>
    <col min="52" max="54" width="12.28515625" style="126" bestFit="1" customWidth="1"/>
    <col min="55" max="55" width="9.140625" style="126" customWidth="1"/>
    <col min="56" max="56" width="40.28515625" style="126" customWidth="1"/>
    <col min="57" max="59" width="9.140625" style="126" customWidth="1"/>
    <col min="60" max="60" width="40.28515625" style="126" customWidth="1"/>
    <col min="61" max="63" width="9.140625" style="126" customWidth="1"/>
    <col min="64" max="64" width="40.28515625" style="126" customWidth="1"/>
    <col min="65" max="68" width="9.140625" style="126" customWidth="1"/>
    <col min="69" max="69" width="38.28515625" style="126" bestFit="1" customWidth="1"/>
    <col min="70" max="71" width="9.140625" style="126" customWidth="1"/>
    <col min="72" max="72" width="78" style="126" customWidth="1"/>
    <col min="73" max="73" width="7.5703125" style="126" customWidth="1"/>
    <col min="74" max="74" width="36.7109375" style="126" customWidth="1"/>
    <col min="75" max="75" width="9.140625" style="126" customWidth="1"/>
    <col min="76" max="76" width="10.140625" style="126" bestFit="1" customWidth="1"/>
    <col min="77" max="77" width="76.140625" style="126" customWidth="1"/>
    <col min="78" max="79" width="9.140625" style="126" customWidth="1"/>
    <col min="80" max="300" width="0" style="126" hidden="1" customWidth="1"/>
    <col min="301" max="16384" width="9.140625" style="126" hidden="1"/>
  </cols>
  <sheetData>
    <row r="1" spans="1:300" ht="139.5" customHeight="1" x14ac:dyDescent="0.2">
      <c r="A1" s="151" t="s">
        <v>1164</v>
      </c>
      <c r="E1" s="222" t="s">
        <v>1212</v>
      </c>
      <c r="GM1" s="135"/>
      <c r="HR1" s="135"/>
      <c r="ID1" s="135"/>
      <c r="KB1" s="135"/>
      <c r="KN1" s="135"/>
    </row>
    <row r="2" spans="1:300" x14ac:dyDescent="0.2">
      <c r="B2" s="144"/>
      <c r="C2" s="144"/>
      <c r="D2" s="144"/>
      <c r="E2" s="48"/>
      <c r="F2" s="48"/>
      <c r="G2" s="48"/>
      <c r="H2" s="48"/>
      <c r="I2" s="48"/>
      <c r="J2" s="48"/>
      <c r="K2" s="48"/>
      <c r="L2" s="48"/>
      <c r="M2" s="48"/>
      <c r="N2" s="48"/>
      <c r="O2" s="48"/>
      <c r="P2" s="48"/>
      <c r="Q2" s="48"/>
      <c r="R2" s="48"/>
      <c r="S2" s="48"/>
      <c r="T2" s="48"/>
      <c r="U2" s="48"/>
      <c r="V2" s="48"/>
      <c r="W2" s="48"/>
      <c r="X2" s="48"/>
      <c r="Y2" s="48"/>
      <c r="Z2" s="48"/>
      <c r="AA2" s="48"/>
      <c r="AB2" s="48"/>
      <c r="AC2" s="48"/>
      <c r="AD2" s="48"/>
      <c r="AE2" s="48"/>
      <c r="AF2" s="48"/>
      <c r="AG2" s="48"/>
      <c r="AH2" s="48"/>
      <c r="AI2" s="48"/>
      <c r="AJ2" s="48"/>
      <c r="AK2" s="48"/>
      <c r="AL2" s="48"/>
      <c r="AM2" s="48"/>
      <c r="AN2" s="48"/>
      <c r="AO2" s="48"/>
      <c r="AP2" s="48"/>
      <c r="AQ2" s="48"/>
      <c r="AR2" s="48"/>
      <c r="AS2" s="48"/>
      <c r="AT2" s="48"/>
      <c r="AU2" s="48"/>
      <c r="AV2" s="48"/>
      <c r="AW2" s="48"/>
      <c r="AX2" s="48"/>
      <c r="AY2" s="48"/>
      <c r="AZ2" s="48"/>
      <c r="BA2" s="48"/>
      <c r="BB2" s="48"/>
      <c r="BC2" s="48"/>
      <c r="BD2" s="48"/>
      <c r="BE2" s="48"/>
      <c r="BF2" s="48"/>
      <c r="BG2" s="48"/>
      <c r="BH2" s="48"/>
      <c r="BI2" s="48"/>
      <c r="BJ2" s="48"/>
      <c r="BK2" s="48"/>
      <c r="BL2" s="48"/>
      <c r="BM2" s="48"/>
      <c r="BN2" s="48"/>
      <c r="BO2" s="48"/>
      <c r="BP2" s="48"/>
      <c r="BQ2" s="48"/>
      <c r="BR2" s="48"/>
      <c r="BS2" s="48"/>
      <c r="BT2" s="48"/>
      <c r="BU2" s="48"/>
      <c r="BV2" s="48"/>
      <c r="BW2" s="48"/>
      <c r="BX2" s="48"/>
      <c r="BY2" s="48"/>
      <c r="BZ2" s="48"/>
    </row>
    <row r="3" spans="1:300" x14ac:dyDescent="0.2">
      <c r="B3" s="144"/>
      <c r="C3" s="144"/>
      <c r="D3" s="144"/>
      <c r="E3" s="48"/>
      <c r="F3" s="48"/>
      <c r="G3" s="48"/>
      <c r="H3" s="48"/>
      <c r="I3" s="48"/>
      <c r="J3" s="48"/>
      <c r="K3" s="48"/>
      <c r="L3" s="48"/>
      <c r="M3" s="48"/>
      <c r="N3" s="48"/>
      <c r="O3" s="48"/>
      <c r="P3" s="48"/>
      <c r="Q3" s="48"/>
      <c r="R3" s="48"/>
      <c r="S3" s="48"/>
      <c r="T3" s="48"/>
      <c r="U3" s="48"/>
      <c r="V3" s="48"/>
      <c r="W3" s="48"/>
      <c r="X3" s="48"/>
      <c r="Y3" s="48"/>
      <c r="Z3" s="48"/>
      <c r="AA3" s="48"/>
      <c r="AB3" s="48"/>
      <c r="AC3" s="48"/>
      <c r="AD3" s="48"/>
      <c r="AE3" s="48"/>
      <c r="AF3" s="48"/>
      <c r="AG3" s="48"/>
      <c r="AH3" s="48"/>
      <c r="AI3" s="48"/>
      <c r="AJ3" s="48"/>
      <c r="AK3" s="48"/>
      <c r="AL3" s="48"/>
      <c r="AM3" s="48"/>
      <c r="AN3" s="48"/>
      <c r="AO3" s="48"/>
      <c r="AP3" s="48"/>
      <c r="AQ3" s="48"/>
      <c r="AR3" s="48"/>
      <c r="AS3" s="48"/>
      <c r="AT3" s="48"/>
      <c r="AU3" s="48"/>
      <c r="AV3" s="48"/>
      <c r="AW3" s="48"/>
      <c r="AX3" s="48"/>
      <c r="AY3" s="48"/>
      <c r="AZ3" s="48"/>
      <c r="BA3" s="48"/>
      <c r="BB3" s="48"/>
      <c r="BC3" s="48"/>
      <c r="BD3" s="48"/>
      <c r="BE3" s="48"/>
      <c r="BF3" s="48"/>
      <c r="BG3" s="48"/>
      <c r="BH3" s="48"/>
      <c r="BI3" s="48"/>
      <c r="BJ3" s="48"/>
      <c r="BK3" s="48"/>
      <c r="BL3" s="48"/>
      <c r="BM3" s="48"/>
      <c r="BN3" s="48"/>
      <c r="BO3" s="48"/>
      <c r="BP3" s="48"/>
      <c r="BQ3" s="48"/>
      <c r="BR3" s="48"/>
      <c r="BS3" s="48"/>
      <c r="BT3" s="48"/>
      <c r="BU3" s="48"/>
      <c r="BV3" s="48"/>
      <c r="BW3" s="48"/>
      <c r="BX3" s="48"/>
      <c r="BY3" s="48"/>
      <c r="BZ3" s="48"/>
    </row>
    <row r="4" spans="1:300" x14ac:dyDescent="0.2">
      <c r="A4" s="136"/>
      <c r="B4" s="131"/>
      <c r="C4" s="131"/>
      <c r="D4" s="131"/>
      <c r="E4" s="133">
        <v>2</v>
      </c>
      <c r="F4" s="131"/>
      <c r="G4" s="131"/>
      <c r="H4" s="131"/>
      <c r="I4" s="131"/>
      <c r="J4" s="131"/>
      <c r="K4" s="131"/>
      <c r="L4" s="48"/>
      <c r="M4" s="133" t="s">
        <v>1345</v>
      </c>
      <c r="N4" s="131"/>
      <c r="O4" s="131"/>
      <c r="P4" s="131"/>
      <c r="Q4" s="133">
        <v>110</v>
      </c>
      <c r="R4" s="131"/>
      <c r="S4" s="131"/>
      <c r="T4" s="131"/>
      <c r="U4" s="131"/>
      <c r="V4" s="133">
        <f>Q4</f>
        <v>110</v>
      </c>
      <c r="W4" s="131"/>
      <c r="X4" s="131"/>
      <c r="Y4" s="131"/>
      <c r="Z4" s="133">
        <v>111</v>
      </c>
      <c r="AA4" s="131"/>
      <c r="AB4" s="131"/>
      <c r="AC4" s="131"/>
      <c r="AD4" s="131"/>
      <c r="AE4" s="133">
        <f>Z4</f>
        <v>111</v>
      </c>
      <c r="AF4" s="131"/>
      <c r="AG4" s="131"/>
      <c r="AH4" s="131"/>
      <c r="AI4" s="133">
        <v>112</v>
      </c>
      <c r="AJ4" s="131"/>
      <c r="AK4" s="131"/>
      <c r="AL4" s="131"/>
      <c r="AM4" s="131"/>
      <c r="AN4" s="133">
        <f>AI4</f>
        <v>112</v>
      </c>
      <c r="AO4" s="131"/>
      <c r="AP4" s="131"/>
      <c r="AQ4" s="131"/>
      <c r="AR4" s="133">
        <v>113</v>
      </c>
      <c r="AS4" s="131"/>
      <c r="AT4" s="131"/>
      <c r="AU4" s="131"/>
      <c r="AV4" s="131"/>
      <c r="AW4" s="131"/>
      <c r="AX4" s="133">
        <v>114</v>
      </c>
      <c r="AY4" s="131"/>
      <c r="AZ4" s="131"/>
      <c r="BA4" s="131"/>
      <c r="BB4" s="131"/>
      <c r="BC4" s="131"/>
      <c r="BD4" s="133">
        <v>115</v>
      </c>
      <c r="BE4" s="131"/>
      <c r="BF4" s="131"/>
      <c r="BG4" s="131"/>
      <c r="BH4" s="133">
        <v>116</v>
      </c>
      <c r="BI4" s="131"/>
      <c r="BJ4" s="131"/>
      <c r="BK4" s="131"/>
      <c r="BL4" s="133">
        <v>117</v>
      </c>
      <c r="BM4" s="131"/>
      <c r="BN4" s="131"/>
      <c r="BO4" s="131"/>
      <c r="BP4" s="131"/>
      <c r="BQ4" s="133">
        <v>118</v>
      </c>
      <c r="BR4" s="131"/>
      <c r="BS4" s="131"/>
      <c r="BT4" s="131"/>
      <c r="BU4" s="131"/>
      <c r="BV4" s="133">
        <v>126</v>
      </c>
      <c r="BW4" s="131"/>
      <c r="BX4" s="131"/>
      <c r="BY4" s="131"/>
      <c r="BZ4" s="48"/>
    </row>
    <row r="5" spans="1:300" x14ac:dyDescent="0.2">
      <c r="B5" s="144"/>
      <c r="C5" s="144"/>
      <c r="D5" s="144"/>
      <c r="E5" s="48"/>
      <c r="F5" s="48"/>
      <c r="G5" s="48"/>
      <c r="H5" s="48"/>
      <c r="I5" s="48"/>
      <c r="J5" s="48"/>
      <c r="K5" s="48"/>
      <c r="L5" s="48"/>
      <c r="M5" s="48"/>
      <c r="N5" s="48"/>
      <c r="O5" s="48"/>
      <c r="P5" s="48"/>
      <c r="Q5" s="48"/>
      <c r="R5" s="48"/>
      <c r="S5" s="48"/>
      <c r="T5" s="48"/>
      <c r="U5" s="48"/>
      <c r="V5" s="48"/>
      <c r="W5" s="48"/>
      <c r="X5" s="48"/>
      <c r="Y5" s="48"/>
      <c r="Z5" s="48"/>
      <c r="AA5" s="48"/>
      <c r="AB5" s="48"/>
      <c r="AC5" s="48"/>
      <c r="AD5" s="48"/>
      <c r="AE5" s="48"/>
      <c r="AF5" s="48"/>
      <c r="AG5" s="48"/>
      <c r="AH5" s="48"/>
      <c r="AI5" s="48"/>
      <c r="AJ5" s="48"/>
      <c r="AK5" s="48"/>
      <c r="AL5" s="48"/>
      <c r="AM5" s="48"/>
      <c r="AN5" s="48"/>
      <c r="AO5" s="48"/>
      <c r="AP5" s="48"/>
      <c r="AQ5" s="48"/>
      <c r="AR5" s="48"/>
      <c r="AS5" s="48"/>
      <c r="AT5" s="48"/>
      <c r="AU5" s="48"/>
      <c r="AV5" s="48"/>
      <c r="AW5" s="48"/>
      <c r="AX5" s="48"/>
      <c r="AY5" s="48"/>
      <c r="AZ5" s="48"/>
      <c r="BA5" s="48"/>
      <c r="BB5" s="48"/>
      <c r="BC5" s="48"/>
      <c r="BD5" s="48"/>
      <c r="BE5" s="48"/>
      <c r="BF5" s="48"/>
      <c r="BG5" s="48"/>
      <c r="BH5" s="48"/>
      <c r="BI5" s="48"/>
      <c r="BJ5" s="48"/>
      <c r="BK5" s="48"/>
      <c r="BL5" s="48"/>
      <c r="BM5" s="48"/>
      <c r="BN5" s="48"/>
      <c r="BO5" s="48"/>
      <c r="BP5" s="48"/>
      <c r="BQ5" s="48"/>
      <c r="BR5" s="48"/>
      <c r="BS5" s="48"/>
      <c r="BT5" s="48"/>
      <c r="BU5" s="48"/>
      <c r="BV5" s="48"/>
      <c r="BW5" s="48"/>
      <c r="BX5" s="48"/>
      <c r="BY5" s="48"/>
      <c r="BZ5" s="48"/>
    </row>
    <row r="6" spans="1:300" ht="25.5" x14ac:dyDescent="0.2">
      <c r="B6" s="144"/>
      <c r="C6" s="144"/>
      <c r="D6" s="144"/>
      <c r="E6" s="146" t="s">
        <v>1155</v>
      </c>
      <c r="F6" s="48"/>
      <c r="G6" s="48"/>
      <c r="H6" s="48"/>
      <c r="I6" s="48"/>
      <c r="J6" s="48"/>
      <c r="K6" s="48"/>
      <c r="L6" s="48"/>
      <c r="M6" s="150" t="s">
        <v>1158</v>
      </c>
      <c r="N6" s="48"/>
      <c r="O6" s="48"/>
      <c r="P6" s="48"/>
      <c r="Q6" s="160" t="s">
        <v>97</v>
      </c>
      <c r="R6" s="48"/>
      <c r="S6" s="48"/>
      <c r="T6" s="48"/>
      <c r="U6" s="48"/>
      <c r="V6" s="156" t="s">
        <v>1322</v>
      </c>
      <c r="W6" s="48"/>
      <c r="X6" s="48"/>
      <c r="Y6" s="48"/>
      <c r="Z6" s="160" t="s">
        <v>98</v>
      </c>
      <c r="AA6" s="48"/>
      <c r="AB6" s="48"/>
      <c r="AC6" s="48"/>
      <c r="AD6" s="48"/>
      <c r="AE6" s="156" t="s">
        <v>1324</v>
      </c>
      <c r="AF6" s="48"/>
      <c r="AG6" s="48"/>
      <c r="AH6" s="48"/>
      <c r="AI6" s="160" t="s">
        <v>99</v>
      </c>
      <c r="AJ6" s="48"/>
      <c r="AK6" s="48"/>
      <c r="AL6" s="48"/>
      <c r="AM6" s="48"/>
      <c r="AN6" s="156" t="s">
        <v>1327</v>
      </c>
      <c r="AO6" s="48"/>
      <c r="AP6" s="48"/>
      <c r="AQ6" s="48"/>
      <c r="AR6" s="160" t="s">
        <v>1328</v>
      </c>
      <c r="AS6" s="48"/>
      <c r="AT6" s="48"/>
      <c r="AU6" s="48"/>
      <c r="AV6" s="48"/>
      <c r="AW6" s="48"/>
      <c r="AX6" s="160" t="s">
        <v>1334</v>
      </c>
      <c r="AY6" s="48"/>
      <c r="AZ6" s="48"/>
      <c r="BA6" s="48"/>
      <c r="BB6" s="48"/>
      <c r="BC6" s="48"/>
      <c r="BD6" s="160" t="s">
        <v>106</v>
      </c>
      <c r="BE6" s="48"/>
      <c r="BF6" s="48"/>
      <c r="BG6" s="48"/>
      <c r="BH6" s="160" t="s">
        <v>107</v>
      </c>
      <c r="BI6" s="48"/>
      <c r="BJ6" s="48"/>
      <c r="BK6" s="48"/>
      <c r="BL6" s="160" t="s">
        <v>108</v>
      </c>
      <c r="BM6" s="48"/>
      <c r="BN6" s="48"/>
      <c r="BO6" s="48"/>
      <c r="BP6" s="48"/>
      <c r="BQ6" s="150" t="str">
        <f>Tabulacao!NP2</f>
        <v>Qual é o grau de instrução dos seus pais? [Pai]</v>
      </c>
      <c r="BR6" s="48"/>
      <c r="BS6" s="48"/>
      <c r="BT6" s="48"/>
      <c r="BU6" s="48"/>
      <c r="BV6" s="150" t="str">
        <f>Respostas_Formatadas!FE2</f>
        <v>Em que ano você concluiu seu curso no IFS?</v>
      </c>
      <c r="BW6" s="48"/>
      <c r="BX6" s="48"/>
      <c r="BY6" s="48"/>
      <c r="BZ6" s="48"/>
    </row>
    <row r="7" spans="1:300" x14ac:dyDescent="0.2">
      <c r="B7" s="144"/>
      <c r="C7" s="144"/>
      <c r="D7" s="144"/>
      <c r="E7" s="48"/>
      <c r="F7" s="48"/>
      <c r="G7" s="48"/>
      <c r="H7" s="48"/>
      <c r="I7" s="48"/>
      <c r="J7" s="48"/>
      <c r="K7" s="48"/>
      <c r="L7" s="48"/>
      <c r="M7" s="48"/>
      <c r="N7" s="48"/>
      <c r="O7" s="48"/>
      <c r="P7" s="48"/>
      <c r="Q7" s="48"/>
      <c r="R7" s="48"/>
      <c r="S7" s="48"/>
      <c r="T7" s="273"/>
      <c r="U7" s="307" t="s">
        <v>1159</v>
      </c>
      <c r="V7" s="261" t="s">
        <v>119</v>
      </c>
      <c r="W7" s="48"/>
      <c r="X7" s="48"/>
      <c r="Y7" s="48"/>
      <c r="Z7" s="48"/>
      <c r="AA7" s="48"/>
      <c r="AB7" s="48"/>
      <c r="AC7" s="273"/>
      <c r="AD7" s="307" t="s">
        <v>1159</v>
      </c>
      <c r="AE7" s="261" t="s">
        <v>119</v>
      </c>
      <c r="AF7" s="48"/>
      <c r="AG7" s="48"/>
      <c r="AH7" s="48"/>
      <c r="AI7" s="48"/>
      <c r="AJ7" s="48"/>
      <c r="AK7" s="48"/>
      <c r="AL7" s="273"/>
      <c r="AM7" s="307" t="s">
        <v>1159</v>
      </c>
      <c r="AN7" s="261" t="s">
        <v>119</v>
      </c>
      <c r="AO7" s="48"/>
      <c r="AP7" s="48"/>
      <c r="AQ7" s="48"/>
      <c r="AR7" s="48"/>
      <c r="AS7" s="48"/>
      <c r="AT7" s="48"/>
      <c r="AU7" s="48"/>
      <c r="AV7" s="48"/>
      <c r="AW7" s="48"/>
      <c r="AX7" s="48"/>
      <c r="AY7" s="48"/>
      <c r="AZ7" s="48"/>
      <c r="BA7" s="48"/>
      <c r="BB7" s="48"/>
      <c r="BC7" s="48"/>
      <c r="BD7" s="48"/>
      <c r="BE7" s="48"/>
      <c r="BF7" s="48"/>
      <c r="BG7" s="48"/>
      <c r="BH7" s="48"/>
      <c r="BI7" s="48"/>
      <c r="BJ7" s="48"/>
      <c r="BK7" s="48"/>
      <c r="BL7" s="48"/>
      <c r="BM7" s="48"/>
      <c r="BN7" s="48"/>
      <c r="BO7" s="48"/>
      <c r="BP7" s="48"/>
      <c r="BQ7" s="48"/>
      <c r="BR7" s="48"/>
      <c r="BS7" s="48"/>
      <c r="BT7" s="48"/>
      <c r="BU7" s="48"/>
      <c r="BV7" s="48"/>
      <c r="BW7" s="48"/>
      <c r="BX7" s="48"/>
      <c r="BY7" s="48"/>
      <c r="BZ7" s="48"/>
    </row>
    <row r="8" spans="1:300" ht="25.5" x14ac:dyDescent="0.2">
      <c r="B8" s="144"/>
      <c r="C8" s="145" t="s">
        <v>1153</v>
      </c>
      <c r="D8" s="144"/>
      <c r="E8" s="137" t="s">
        <v>620</v>
      </c>
      <c r="F8" s="138" t="s">
        <v>949</v>
      </c>
      <c r="G8" s="138" t="s">
        <v>1154</v>
      </c>
      <c r="H8" s="138" t="s">
        <v>132</v>
      </c>
      <c r="I8" s="48"/>
      <c r="J8" s="48"/>
      <c r="K8" s="48"/>
      <c r="L8" s="48"/>
      <c r="M8" s="137" t="s">
        <v>1055</v>
      </c>
      <c r="N8" s="138" t="s">
        <v>131</v>
      </c>
      <c r="O8" s="138" t="s">
        <v>132</v>
      </c>
      <c r="P8" s="48"/>
      <c r="Q8" s="137" t="s">
        <v>1321</v>
      </c>
      <c r="R8" s="138" t="s">
        <v>131</v>
      </c>
      <c r="S8" s="138" t="s">
        <v>132</v>
      </c>
      <c r="T8" s="48"/>
      <c r="U8" s="187" t="s">
        <v>931</v>
      </c>
      <c r="V8" s="194" t="s">
        <v>1321</v>
      </c>
      <c r="W8" s="187" t="s">
        <v>131</v>
      </c>
      <c r="X8" s="187" t="s">
        <v>132</v>
      </c>
      <c r="Y8" s="48"/>
      <c r="Z8" s="137" t="s">
        <v>1323</v>
      </c>
      <c r="AA8" s="138" t="s">
        <v>131</v>
      </c>
      <c r="AB8" s="138" t="s">
        <v>132</v>
      </c>
      <c r="AC8" s="48"/>
      <c r="AD8" s="187" t="s">
        <v>931</v>
      </c>
      <c r="AE8" s="194" t="s">
        <v>1323</v>
      </c>
      <c r="AF8" s="187" t="s">
        <v>131</v>
      </c>
      <c r="AG8" s="187" t="s">
        <v>132</v>
      </c>
      <c r="AH8" s="48"/>
      <c r="AI8" s="137" t="s">
        <v>1326</v>
      </c>
      <c r="AJ8" s="138" t="s">
        <v>131</v>
      </c>
      <c r="AK8" s="138" t="s">
        <v>132</v>
      </c>
      <c r="AL8" s="48"/>
      <c r="AM8" s="187" t="s">
        <v>931</v>
      </c>
      <c r="AN8" s="194" t="s">
        <v>1326</v>
      </c>
      <c r="AO8" s="187" t="s">
        <v>131</v>
      </c>
      <c r="AP8" s="187" t="s">
        <v>132</v>
      </c>
      <c r="AQ8" s="48"/>
      <c r="AR8" s="137" t="s">
        <v>1332</v>
      </c>
      <c r="AS8" s="286" t="s">
        <v>270</v>
      </c>
      <c r="AT8" s="286" t="s">
        <v>271</v>
      </c>
      <c r="AU8" s="286" t="s">
        <v>134</v>
      </c>
      <c r="AV8" s="286" t="s">
        <v>621</v>
      </c>
      <c r="AW8" s="48"/>
      <c r="AX8" s="137" t="s">
        <v>1335</v>
      </c>
      <c r="AY8" s="286" t="s">
        <v>270</v>
      </c>
      <c r="AZ8" s="286" t="s">
        <v>271</v>
      </c>
      <c r="BA8" s="286" t="s">
        <v>134</v>
      </c>
      <c r="BB8" s="286" t="s">
        <v>621</v>
      </c>
      <c r="BC8" s="48"/>
      <c r="BD8" s="137" t="s">
        <v>1337</v>
      </c>
      <c r="BE8" s="138" t="s">
        <v>131</v>
      </c>
      <c r="BF8" s="138" t="s">
        <v>132</v>
      </c>
      <c r="BG8" s="48"/>
      <c r="BH8" s="137" t="s">
        <v>1339</v>
      </c>
      <c r="BI8" s="138" t="s">
        <v>131</v>
      </c>
      <c r="BJ8" s="138" t="s">
        <v>132</v>
      </c>
      <c r="BK8" s="48"/>
      <c r="BL8" s="160" t="s">
        <v>108</v>
      </c>
      <c r="BM8" s="138" t="s">
        <v>131</v>
      </c>
      <c r="BN8" s="138" t="s">
        <v>132</v>
      </c>
      <c r="BO8" s="48"/>
      <c r="BP8" s="48"/>
      <c r="BQ8" s="137" t="s">
        <v>1070</v>
      </c>
      <c r="BR8" s="138" t="s">
        <v>131</v>
      </c>
      <c r="BS8" s="138" t="s">
        <v>132</v>
      </c>
      <c r="BT8" s="48"/>
      <c r="BU8" s="48"/>
      <c r="BV8" s="137" t="s">
        <v>1063</v>
      </c>
      <c r="BW8" s="138" t="s">
        <v>131</v>
      </c>
      <c r="BX8" s="138" t="s">
        <v>132</v>
      </c>
      <c r="BY8" s="48"/>
      <c r="BZ8" s="48"/>
    </row>
    <row r="9" spans="1:300" ht="12.75" customHeight="1" x14ac:dyDescent="0.2">
      <c r="B9" s="144"/>
      <c r="C9" s="310" t="s">
        <v>1252</v>
      </c>
      <c r="D9" s="144"/>
      <c r="E9" s="51" t="str">
        <f>Tabulacao!D8</f>
        <v>Licenciatura em Física</v>
      </c>
      <c r="F9" s="52">
        <f>Tabulacao!E8</f>
        <v>8</v>
      </c>
      <c r="G9" s="52">
        <f>VLOOKUP($E9,Tabulacao!$D$33:$F$46,2,0)</f>
        <v>9</v>
      </c>
      <c r="H9" s="53">
        <f>F9/G9</f>
        <v>0.88888888888888884</v>
      </c>
      <c r="I9" s="48"/>
      <c r="J9" s="48"/>
      <c r="K9" s="48"/>
      <c r="L9" s="48"/>
      <c r="M9" s="93" t="str">
        <f>Tabulacao!LT2</f>
        <v>Sexo de nascimento</v>
      </c>
      <c r="N9" s="94">
        <f>SUM(N10:N11)</f>
        <v>271</v>
      </c>
      <c r="O9" s="95">
        <f>SUM(O10:O11)</f>
        <v>1</v>
      </c>
      <c r="P9" s="48"/>
      <c r="Q9" s="60" t="str">
        <f>Tabulacao!MD3</f>
        <v>Aracaju</v>
      </c>
      <c r="R9" s="52">
        <f>COUNTIF(Tabulacao!$MC:$MC,CaractAmostra!Q9)</f>
        <v>106</v>
      </c>
      <c r="S9" s="53">
        <f>IFERROR(R9/$R$73,"-")</f>
        <v>0.39114391143911437</v>
      </c>
      <c r="T9" s="48"/>
      <c r="U9" s="52">
        <v>1</v>
      </c>
      <c r="V9" s="60" t="str">
        <f t="array" ref="V9">INDEX($Q$80:$Q$143,SMALL(IF($R$80:$R$143=W9,ROW($R$80:$R$143)-79),COUNTIF($W$9:W9,W9)))</f>
        <v>Aracaju</v>
      </c>
      <c r="W9" s="52">
        <f>LARGE($R$80:$R$143,U9)</f>
        <v>25</v>
      </c>
      <c r="X9" s="53">
        <f>IFERROR(W9/$W$73,"-")</f>
        <v>0.52083333333333337</v>
      </c>
      <c r="Y9" s="48"/>
      <c r="Z9" s="60" t="str">
        <f>Tabulacao!MH3</f>
        <v>Aracaju</v>
      </c>
      <c r="AA9" s="52">
        <f>COUNTIF(Tabulacao!$MG:$MG,CaractAmostra!Z9)</f>
        <v>151</v>
      </c>
      <c r="AB9" s="53">
        <f>IFERROR(AA9/$AA$73,"-")</f>
        <v>0.55719557195571956</v>
      </c>
      <c r="AC9" s="48"/>
      <c r="AD9" s="52">
        <v>1</v>
      </c>
      <c r="AE9" s="60" t="str">
        <f t="array" ref="AE9">INDEX($Z$80:$Z$143,SMALL(IF($AA$80:$AA$143=AF9,ROW($AA$80:$AA$143)-79),COUNTIF($AF$9:AF9,AF9)))</f>
        <v>Aracaju</v>
      </c>
      <c r="AF9" s="52">
        <f>LARGE($AA$80:$AA$143,AD9)</f>
        <v>44</v>
      </c>
      <c r="AG9" s="53">
        <f>IFERROR(AF9/$AF$73,"-")</f>
        <v>0.91666666666666663</v>
      </c>
      <c r="AH9" s="48"/>
      <c r="AI9" s="60" t="str">
        <f>Tabulacao!ML3</f>
        <v>Aracaju</v>
      </c>
      <c r="AJ9" s="52">
        <f>COUNTIF(Tabulacao!$MK:$MK,CaractAmostra!AI9)</f>
        <v>128</v>
      </c>
      <c r="AK9" s="53">
        <f>AJ9/$AJ$86</f>
        <v>0.47232472324723246</v>
      </c>
      <c r="AL9" s="48"/>
      <c r="AM9" s="52">
        <v>1</v>
      </c>
      <c r="AN9" s="60" t="str">
        <f t="array" ref="AN9">INDEX($AI$93:$AI$169,SMALL(IF($AJ$93:$AJ$169=AO9,ROW($AJ$93:$AJ$169)-92),COUNTIF($AO$9:AO9,AO9)))</f>
        <v>Aracaju</v>
      </c>
      <c r="AO9" s="52">
        <f>LARGE($AJ$93:$AJ$169,AM9)</f>
        <v>32</v>
      </c>
      <c r="AP9" s="53">
        <f>IFERROR(AO9/$AO$86,"-")</f>
        <v>0.66666666666666663</v>
      </c>
      <c r="AQ9" s="48"/>
      <c r="AR9" s="289" t="s">
        <v>1329</v>
      </c>
      <c r="AS9" s="52">
        <f>COUNTIF(Respostas_Formatadas!$EK:$EK,AS8)</f>
        <v>1</v>
      </c>
      <c r="AT9" s="52">
        <f>COUNTIF(Respostas_Formatadas!$EK:$EK,AT8)</f>
        <v>9</v>
      </c>
      <c r="AU9" s="52">
        <f>COUNTIF(Respostas_Formatadas!$EK:$EK,AU8)</f>
        <v>261</v>
      </c>
      <c r="AV9" s="292">
        <f>SUM(AS9:AU9)</f>
        <v>271</v>
      </c>
      <c r="AW9" s="128"/>
      <c r="AX9" s="289" t="s">
        <v>1329</v>
      </c>
      <c r="AY9" s="52">
        <f>COUNTIF(Respostas_Formatadas!$EN:$EN,CaractAmostra!AY$8)</f>
        <v>5</v>
      </c>
      <c r="AZ9" s="52">
        <f>COUNTIF(Respostas_Formatadas!$EN:$EN,CaractAmostra!AZ$8)</f>
        <v>1</v>
      </c>
      <c r="BA9" s="52">
        <f>COUNTIF(Respostas_Formatadas!$EN:$EN,CaractAmostra!BA$8)</f>
        <v>265</v>
      </c>
      <c r="BB9" s="292">
        <f>SUM(AY9:BA9)</f>
        <v>271</v>
      </c>
      <c r="BC9" s="48"/>
      <c r="BD9" s="289" t="s">
        <v>272</v>
      </c>
      <c r="BE9" s="52">
        <f>COUNTIF(Respostas_Formatadas!$ER:$ER,CaractAmostra!BD9)</f>
        <v>27</v>
      </c>
      <c r="BF9" s="53">
        <f>BE9/$BE$15</f>
        <v>9.9630996309963096E-2</v>
      </c>
      <c r="BG9" s="48"/>
      <c r="BH9" s="289" t="s">
        <v>277</v>
      </c>
      <c r="BI9" s="52">
        <f>COUNTIF(Respostas_Formatadas!$ET:$ET,CaractAmostra!BH9)</f>
        <v>31</v>
      </c>
      <c r="BJ9" s="53">
        <f>BI9/$BI$14</f>
        <v>0.11439114391143912</v>
      </c>
      <c r="BK9" s="48"/>
      <c r="BL9" s="289" t="s">
        <v>279</v>
      </c>
      <c r="BM9" s="52">
        <f>COUNTIF(Respostas_Formatadas!$EU:$EU,CaractAmostra!BL9)</f>
        <v>32</v>
      </c>
      <c r="BN9" s="53">
        <f>BM9/$BM$13</f>
        <v>0.11808118081180811</v>
      </c>
      <c r="BO9" s="48"/>
      <c r="BP9" s="48"/>
      <c r="BQ9" s="60" t="str">
        <f>Tabulacao!NP5</f>
        <v>Ensino fundamental incompleto</v>
      </c>
      <c r="BR9" s="52">
        <f>Tabulacao!NQ5</f>
        <v>90</v>
      </c>
      <c r="BS9" s="53">
        <f t="shared" ref="BS9:BS15" si="0">BR9/SUM($BR$9:$BR$15)</f>
        <v>0.379746835443038</v>
      </c>
      <c r="BT9" s="48"/>
      <c r="BU9" s="48"/>
      <c r="BV9" s="60">
        <v>2005</v>
      </c>
      <c r="BW9" s="52">
        <f>IFERROR(COUNTIF(Respostas_Formatadas!$FE:$FE,CaractAmostra!$BV9),"-")</f>
        <v>2</v>
      </c>
      <c r="BX9" s="53">
        <f t="shared" ref="BX9:BX22" si="1">BW9/SUM($BW$9:$BW$22)</f>
        <v>7.3800738007380072E-3</v>
      </c>
      <c r="BY9" s="48"/>
      <c r="BZ9" s="48"/>
    </row>
    <row r="10" spans="1:300" x14ac:dyDescent="0.2">
      <c r="B10" s="144"/>
      <c r="C10" s="311"/>
      <c r="D10" s="144"/>
      <c r="E10" s="51" t="str">
        <f>Tabulacao!D5</f>
        <v>Bacharelado em Sistemas de Informação</v>
      </c>
      <c r="F10" s="52">
        <f>Tabulacao!E5</f>
        <v>19</v>
      </c>
      <c r="G10" s="52">
        <f>VLOOKUP($E10,Tabulacao!$D$33:$F$46,2,0)</f>
        <v>31</v>
      </c>
      <c r="H10" s="53">
        <f t="shared" ref="H10:H20" si="2">F10/G10</f>
        <v>0.61290322580645162</v>
      </c>
      <c r="I10" s="48"/>
      <c r="J10" s="48"/>
      <c r="K10" s="48"/>
      <c r="L10" s="48"/>
      <c r="M10" s="60" t="str">
        <f>Tabulacao!LT4</f>
        <v>Masculino</v>
      </c>
      <c r="N10" s="52">
        <f>Tabulacao!LU4</f>
        <v>141</v>
      </c>
      <c r="O10" s="53">
        <f>N10/$N$9</f>
        <v>0.52029520295202947</v>
      </c>
      <c r="P10" s="48"/>
      <c r="Q10" s="60" t="str">
        <f>Tabulacao!MD4</f>
        <v>Nossa Senhora do Socorro</v>
      </c>
      <c r="R10" s="52">
        <f>COUNTIF(Tabulacao!$MC:$MC,CaractAmostra!Q10)</f>
        <v>22</v>
      </c>
      <c r="S10" s="53">
        <f t="shared" ref="S10:S72" si="3">IFERROR(R10/$R$73,"-")</f>
        <v>8.1180811808118078E-2</v>
      </c>
      <c r="T10" s="48"/>
      <c r="U10" s="52">
        <v>2</v>
      </c>
      <c r="V10" s="60" t="str">
        <f t="array" ref="V10">INDEX($Q$80:$Q$143,SMALL(IF($R$80:$R$143=W10,ROW($R$80:$R$143)-79),COUNTIF($W$9:W10,W10)))</f>
        <v>Itabaiana</v>
      </c>
      <c r="W10" s="52">
        <f t="shared" ref="W10:W72" si="4">LARGE($R$80:$R$143,U10)</f>
        <v>3</v>
      </c>
      <c r="X10" s="53">
        <f t="shared" ref="X10:X72" si="5">IFERROR(W10/$W$73,"-")</f>
        <v>6.25E-2</v>
      </c>
      <c r="Y10" s="48"/>
      <c r="Z10" s="60" t="str">
        <f>Tabulacao!MH4</f>
        <v>Lagarto</v>
      </c>
      <c r="AA10" s="52">
        <f>COUNTIF(Tabulacao!$MG:$MG,CaractAmostra!Z10)</f>
        <v>27</v>
      </c>
      <c r="AB10" s="53">
        <f t="shared" ref="AB10:AB72" si="6">IFERROR(AA10/$AA$73,"-")</f>
        <v>9.9630996309963096E-2</v>
      </c>
      <c r="AC10" s="48"/>
      <c r="AD10" s="52">
        <v>2</v>
      </c>
      <c r="AE10" s="60" t="str">
        <f t="array" ref="AE10">INDEX($Z$80:$Z$143,SMALL(IF($AA$80:$AA$143=AF10,ROW($AA$80:$AA$143)-79),COUNTIF($AF$9:AF10,AF10)))</f>
        <v>Itabaiana</v>
      </c>
      <c r="AF10" s="52">
        <f t="shared" ref="AF10:AF72" si="7">LARGE($AA$80:$AA$143,AD10)</f>
        <v>2</v>
      </c>
      <c r="AG10" s="53">
        <f t="shared" ref="AG10:AG72" si="8">IFERROR(AF10/$AF$73,"-")</f>
        <v>4.1666666666666664E-2</v>
      </c>
      <c r="AH10" s="48"/>
      <c r="AI10" s="60" t="str">
        <f>Tabulacao!ML4</f>
        <v>Nossa Senhora do Socorro</v>
      </c>
      <c r="AJ10" s="52">
        <f>COUNTIF(Tabulacao!$MK:$MK,CaractAmostra!AI10)</f>
        <v>21</v>
      </c>
      <c r="AK10" s="53">
        <f t="shared" ref="AK10:AK73" si="9">AJ10/$AJ$86</f>
        <v>7.7490774907749083E-2</v>
      </c>
      <c r="AL10" s="48"/>
      <c r="AM10" s="52">
        <v>2</v>
      </c>
      <c r="AN10" s="60" t="str">
        <f t="array" ref="AN10">INDEX($AI$93:$AI$169,SMALL(IF($AJ$93:$AJ$169=AO10,ROW($AJ$93:$AJ$169)-92),COUNTIF($AO$9:AO10,AO10)))</f>
        <v>Salvador - BA</v>
      </c>
      <c r="AO10" s="52">
        <f t="shared" ref="AO10:AO73" si="10">LARGE($AJ$93:$AJ$169,AM10)</f>
        <v>3</v>
      </c>
      <c r="AP10" s="53">
        <f t="shared" ref="AP10:AP73" si="11">IFERROR(AO10/$AO$86,"-")</f>
        <v>6.25E-2</v>
      </c>
      <c r="AQ10" s="48"/>
      <c r="AR10" s="289" t="s">
        <v>1330</v>
      </c>
      <c r="AS10" s="52">
        <f>COUNTIF(Respostas_Formatadas!$EL:$EL,AS8)</f>
        <v>3</v>
      </c>
      <c r="AT10" s="52">
        <f>COUNTIF(Respostas_Formatadas!$EL:$EL,AT8)</f>
        <v>1</v>
      </c>
      <c r="AU10" s="52">
        <f>COUNTIF(Respostas_Formatadas!$EL:$EL,AU8)</f>
        <v>267</v>
      </c>
      <c r="AV10" s="292">
        <f>SUM(AS10:AU10)</f>
        <v>271</v>
      </c>
      <c r="AW10" s="128"/>
      <c r="AX10" s="289" t="s">
        <v>1330</v>
      </c>
      <c r="AY10" s="52">
        <f>COUNTIF(Respostas_Formatadas!$EO:$EO,CaractAmostra!AY$8)</f>
        <v>7</v>
      </c>
      <c r="AZ10" s="52">
        <f>COUNTIF(Respostas_Formatadas!$EO:$EO,CaractAmostra!AZ$8)</f>
        <v>0</v>
      </c>
      <c r="BA10" s="52">
        <f>COUNTIF(Respostas_Formatadas!$EO:$EO,CaractAmostra!BA$8)</f>
        <v>264</v>
      </c>
      <c r="BB10" s="292">
        <f>SUM(AY10:BA10)</f>
        <v>271</v>
      </c>
      <c r="BC10" s="48"/>
      <c r="BD10" s="289" t="s">
        <v>273</v>
      </c>
      <c r="BE10" s="52">
        <f>COUNTIF(Respostas_Formatadas!$ER:$ER,CaractAmostra!BD10)</f>
        <v>52</v>
      </c>
      <c r="BF10" s="53">
        <f t="shared" ref="BF10:BF14" si="12">BE10/$BE$15</f>
        <v>0.1918819188191882</v>
      </c>
      <c r="BG10" s="48"/>
      <c r="BH10" s="289" t="s">
        <v>278</v>
      </c>
      <c r="BI10" s="52">
        <f>COUNTIF(Respostas_Formatadas!$ET:$ET,CaractAmostra!BH10)</f>
        <v>37</v>
      </c>
      <c r="BJ10" s="53">
        <f t="shared" ref="BJ10:BJ13" si="13">BI10/$BI$14</f>
        <v>0.13653136531365315</v>
      </c>
      <c r="BK10" s="48"/>
      <c r="BL10" s="289" t="s">
        <v>280</v>
      </c>
      <c r="BM10" s="52">
        <f>COUNTIF(Respostas_Formatadas!$EU:$EU,CaractAmostra!BL10)</f>
        <v>20</v>
      </c>
      <c r="BN10" s="53">
        <f t="shared" ref="BN10:BN12" si="14">BM10/$BM$13</f>
        <v>7.3800738007380073E-2</v>
      </c>
      <c r="BO10" s="48"/>
      <c r="BP10" s="48"/>
      <c r="BQ10" s="60" t="str">
        <f>Tabulacao!NP6</f>
        <v>Ensino fundamental completo</v>
      </c>
      <c r="BR10" s="52">
        <f>Tabulacao!NQ6</f>
        <v>38</v>
      </c>
      <c r="BS10" s="53">
        <f t="shared" si="0"/>
        <v>0.16033755274261605</v>
      </c>
      <c r="BT10" s="48"/>
      <c r="BU10" s="48"/>
      <c r="BV10" s="60">
        <v>2006</v>
      </c>
      <c r="BW10" s="52">
        <f>IFERROR(COUNTIF(Respostas_Formatadas!$FE:$FE,CaractAmostra!$BV10),"-")</f>
        <v>1</v>
      </c>
      <c r="BX10" s="53">
        <f t="shared" si="1"/>
        <v>3.6900369003690036E-3</v>
      </c>
      <c r="BY10" s="48"/>
      <c r="BZ10" s="48"/>
    </row>
    <row r="11" spans="1:300" x14ac:dyDescent="0.2">
      <c r="B11" s="144"/>
      <c r="C11" s="311"/>
      <c r="D11" s="144"/>
      <c r="E11" s="51" t="str">
        <f>Tabulacao!D11</f>
        <v>Tecnologia em Automação Industrial</v>
      </c>
      <c r="F11" s="52">
        <f>Tabulacao!E11</f>
        <v>17</v>
      </c>
      <c r="G11" s="52">
        <f>VLOOKUP($E11,Tabulacao!$D$33:$F$46,2,0)</f>
        <v>30</v>
      </c>
      <c r="H11" s="53">
        <f t="shared" si="2"/>
        <v>0.56666666666666665</v>
      </c>
      <c r="I11" s="48"/>
      <c r="J11" s="48"/>
      <c r="K11" s="48"/>
      <c r="L11" s="48"/>
      <c r="M11" s="60" t="str">
        <f>Tabulacao!LT5</f>
        <v>Feminino</v>
      </c>
      <c r="N11" s="52">
        <f>Tabulacao!LU5</f>
        <v>130</v>
      </c>
      <c r="O11" s="53">
        <f>N11/$N$9</f>
        <v>0.47970479704797048</v>
      </c>
      <c r="P11" s="48"/>
      <c r="Q11" s="60" t="str">
        <f>Tabulacao!MD5</f>
        <v>Lagarto</v>
      </c>
      <c r="R11" s="52">
        <f>COUNTIF(Tabulacao!$MC:$MC,CaractAmostra!Q11)</f>
        <v>19</v>
      </c>
      <c r="S11" s="53">
        <f t="shared" si="3"/>
        <v>7.0110701107011064E-2</v>
      </c>
      <c r="T11" s="48"/>
      <c r="U11" s="52">
        <v>3</v>
      </c>
      <c r="V11" s="60" t="str">
        <f t="array" ref="V11">INDEX($Q$80:$Q$143,SMALL(IF($R$80:$R$143=W11,ROW($R$80:$R$143)-79),COUNTIF($W$9:W11,W11)))</f>
        <v>Estância</v>
      </c>
      <c r="W11" s="52">
        <f t="shared" si="4"/>
        <v>2</v>
      </c>
      <c r="X11" s="53">
        <f t="shared" si="5"/>
        <v>4.1666666666666664E-2</v>
      </c>
      <c r="Y11" s="48"/>
      <c r="Z11" s="60" t="str">
        <f>Tabulacao!MH5</f>
        <v>Nossa Senhora do Socorro</v>
      </c>
      <c r="AA11" s="52">
        <f>COUNTIF(Tabulacao!$MG:$MG,CaractAmostra!Z11)</f>
        <v>20</v>
      </c>
      <c r="AB11" s="53">
        <f t="shared" si="6"/>
        <v>7.3800738007380073E-2</v>
      </c>
      <c r="AC11" s="48"/>
      <c r="AD11" s="52">
        <v>3</v>
      </c>
      <c r="AE11" s="60" t="str">
        <f t="array" ref="AE11">INDEX($Z$80:$Z$143,SMALL(IF($AA$80:$AA$143=AF11,ROW($AA$80:$AA$143)-79),COUNTIF($AF$9:AF11,AF11)))</f>
        <v>Nossa Senhora do Socorro</v>
      </c>
      <c r="AF11" s="52">
        <f t="shared" si="7"/>
        <v>1</v>
      </c>
      <c r="AG11" s="53">
        <f t="shared" si="8"/>
        <v>2.0833333333333332E-2</v>
      </c>
      <c r="AH11" s="48"/>
      <c r="AI11" s="60" t="str">
        <f>Tabulacao!ML5</f>
        <v>Lagarto</v>
      </c>
      <c r="AJ11" s="52">
        <f>COUNTIF(Tabulacao!$MK:$MK,CaractAmostra!AI11)</f>
        <v>18</v>
      </c>
      <c r="AK11" s="53">
        <f t="shared" si="9"/>
        <v>6.6420664206642069E-2</v>
      </c>
      <c r="AL11" s="48"/>
      <c r="AM11" s="52">
        <v>3</v>
      </c>
      <c r="AN11" s="60" t="str">
        <f t="array" ref="AN11">INDEX($AI$93:$AI$169,SMALL(IF($AJ$93:$AJ$169=AO11,ROW($AJ$93:$AJ$169)-92),COUNTIF($AO$9:AO11,AO11)))</f>
        <v>Estância</v>
      </c>
      <c r="AO11" s="52">
        <f t="shared" si="10"/>
        <v>2</v>
      </c>
      <c r="AP11" s="53">
        <f t="shared" si="11"/>
        <v>4.1666666666666664E-2</v>
      </c>
      <c r="AQ11" s="48"/>
      <c r="AR11" s="289" t="s">
        <v>1331</v>
      </c>
      <c r="AS11" s="52">
        <f>COUNTIF(Respostas_Formatadas!$EM:$EM,AS8)</f>
        <v>1</v>
      </c>
      <c r="AT11" s="52">
        <f>COUNTIF(Respostas_Formatadas!$EM:$EM,AT8)</f>
        <v>2</v>
      </c>
      <c r="AU11" s="52">
        <f>COUNTIF(Respostas_Formatadas!$EM:$EM,AU8)</f>
        <v>268</v>
      </c>
      <c r="AV11" s="292">
        <f>SUM(AS11:AU11)</f>
        <v>271</v>
      </c>
      <c r="AW11" s="128"/>
      <c r="AX11" s="289" t="s">
        <v>1331</v>
      </c>
      <c r="AY11" s="52">
        <f>COUNTIF(Respostas_Formatadas!$EP:$EP,CaractAmostra!AY$8)</f>
        <v>3</v>
      </c>
      <c r="AZ11" s="52">
        <f>COUNTIF(Respostas_Formatadas!$EP:$EP,CaractAmostra!AZ$8)</f>
        <v>0</v>
      </c>
      <c r="BA11" s="52">
        <f>COUNTIF(Respostas_Formatadas!$EP:$EP,CaractAmostra!BA$8)</f>
        <v>268</v>
      </c>
      <c r="BB11" s="292">
        <f>SUM(AY11:BA11)</f>
        <v>271</v>
      </c>
      <c r="BC11" s="48"/>
      <c r="BD11" s="289" t="s">
        <v>274</v>
      </c>
      <c r="BE11" s="52">
        <f>COUNTIF(Respostas_Formatadas!$ER:$ER,CaractAmostra!BD11)</f>
        <v>31</v>
      </c>
      <c r="BF11" s="53">
        <f t="shared" si="12"/>
        <v>0.11439114391143912</v>
      </c>
      <c r="BG11" s="48"/>
      <c r="BH11" s="289" t="s">
        <v>274</v>
      </c>
      <c r="BI11" s="52">
        <f>COUNTIF(Respostas_Formatadas!$ET:$ET,CaractAmostra!BH11)</f>
        <v>76</v>
      </c>
      <c r="BJ11" s="53">
        <f t="shared" si="13"/>
        <v>0.28044280442804426</v>
      </c>
      <c r="BK11" s="48"/>
      <c r="BL11" s="289" t="s">
        <v>281</v>
      </c>
      <c r="BM11" s="52">
        <f>COUNTIF(Respostas_Formatadas!$EU:$EU,CaractAmostra!BL11)</f>
        <v>6</v>
      </c>
      <c r="BN11" s="53">
        <f t="shared" si="14"/>
        <v>2.2140221402214021E-2</v>
      </c>
      <c r="BO11" s="48"/>
      <c r="BP11" s="48"/>
      <c r="BQ11" s="60" t="str">
        <f>Tabulacao!NP7</f>
        <v>Ensino médio incompleto</v>
      </c>
      <c r="BR11" s="52">
        <f>Tabulacao!NQ7</f>
        <v>11</v>
      </c>
      <c r="BS11" s="53">
        <f t="shared" si="0"/>
        <v>4.6413502109704644E-2</v>
      </c>
      <c r="BT11" s="48"/>
      <c r="BU11" s="48"/>
      <c r="BV11" s="60">
        <v>2007</v>
      </c>
      <c r="BW11" s="52">
        <f>IFERROR(COUNTIF(Respostas_Formatadas!$FE:$FE,CaractAmostra!$BV11),"-")</f>
        <v>1</v>
      </c>
      <c r="BX11" s="53">
        <f t="shared" si="1"/>
        <v>3.6900369003690036E-3</v>
      </c>
      <c r="BY11" s="48"/>
      <c r="BZ11" s="48"/>
    </row>
    <row r="12" spans="1:300" x14ac:dyDescent="0.2">
      <c r="B12" s="144"/>
      <c r="C12" s="311"/>
      <c r="D12" s="144"/>
      <c r="E12" s="51" t="str">
        <f>Tabulacao!D12</f>
        <v>Tecnologia em Logística</v>
      </c>
      <c r="F12" s="52">
        <f>Tabulacao!E12</f>
        <v>17</v>
      </c>
      <c r="G12" s="52">
        <f>VLOOKUP($E12,Tabulacao!$D$33:$F$46,2,0)</f>
        <v>36</v>
      </c>
      <c r="H12" s="53">
        <f t="shared" si="2"/>
        <v>0.47222222222222221</v>
      </c>
      <c r="I12" s="48"/>
      <c r="J12" s="48"/>
      <c r="K12" s="48"/>
      <c r="L12" s="48"/>
      <c r="M12" s="93" t="str">
        <f>Tabulacao!LW2</f>
        <v>Cor</v>
      </c>
      <c r="N12" s="94">
        <f>SUM(N13:N18)</f>
        <v>271</v>
      </c>
      <c r="O12" s="95">
        <f>SUM(O13:O18)</f>
        <v>1</v>
      </c>
      <c r="P12" s="48"/>
      <c r="Q12" s="60" t="str">
        <f>Tabulacao!MD6</f>
        <v>São Cristóvão</v>
      </c>
      <c r="R12" s="52">
        <f>COUNTIF(Tabulacao!$MC:$MC,CaractAmostra!Q12)</f>
        <v>12</v>
      </c>
      <c r="S12" s="53">
        <f t="shared" si="3"/>
        <v>4.4280442804428041E-2</v>
      </c>
      <c r="T12" s="48"/>
      <c r="U12" s="52">
        <v>4</v>
      </c>
      <c r="V12" s="60" t="str">
        <f t="array" ref="V12">INDEX($Q$80:$Q$143,SMALL(IF($R$80:$R$143=W12,ROW($R$80:$R$143)-79),COUNTIF($W$9:W12,W12)))</f>
        <v>Salvador - BA</v>
      </c>
      <c r="W12" s="52">
        <f t="shared" si="4"/>
        <v>2</v>
      </c>
      <c r="X12" s="53">
        <f t="shared" si="5"/>
        <v>4.1666666666666664E-2</v>
      </c>
      <c r="Y12" s="48"/>
      <c r="Z12" s="60" t="str">
        <f>Tabulacao!MH6</f>
        <v>São Cristóvão</v>
      </c>
      <c r="AA12" s="52">
        <f>COUNTIF(Tabulacao!$MG:$MG,CaractAmostra!Z12)</f>
        <v>12</v>
      </c>
      <c r="AB12" s="53">
        <f t="shared" si="6"/>
        <v>4.4280442804428041E-2</v>
      </c>
      <c r="AC12" s="48"/>
      <c r="AD12" s="52">
        <v>4</v>
      </c>
      <c r="AE12" s="60" t="str">
        <f t="array" ref="AE12">INDEX($Z$80:$Z$143,SMALL(IF($AA$80:$AA$143=AF12,ROW($AA$80:$AA$143)-79),COUNTIF($AF$9:AF12,AF12)))</f>
        <v>São Cristóvão</v>
      </c>
      <c r="AF12" s="52">
        <f t="shared" si="7"/>
        <v>1</v>
      </c>
      <c r="AG12" s="53">
        <f t="shared" si="8"/>
        <v>2.0833333333333332E-2</v>
      </c>
      <c r="AH12" s="48"/>
      <c r="AI12" s="60" t="str">
        <f>Tabulacao!ML6</f>
        <v>São Cristóvão</v>
      </c>
      <c r="AJ12" s="52">
        <f>COUNTIF(Tabulacao!$MK:$MK,CaractAmostra!AI12)</f>
        <v>17</v>
      </c>
      <c r="AK12" s="53">
        <f t="shared" si="9"/>
        <v>6.273062730627306E-2</v>
      </c>
      <c r="AL12" s="48"/>
      <c r="AM12" s="52">
        <v>4</v>
      </c>
      <c r="AN12" s="60" t="str">
        <f t="array" ref="AN12">INDEX($AI$93:$AI$169,SMALL(IF($AJ$93:$AJ$169=AO12,ROW($AJ$93:$AJ$169)-92),COUNTIF($AO$9:AO12,AO12)))</f>
        <v>Itabaiana</v>
      </c>
      <c r="AO12" s="52">
        <f t="shared" si="10"/>
        <v>2</v>
      </c>
      <c r="AP12" s="53">
        <f t="shared" si="11"/>
        <v>4.1666666666666664E-2</v>
      </c>
      <c r="AQ12" s="48"/>
      <c r="AR12" s="285" t="s">
        <v>621</v>
      </c>
      <c r="AS12" s="142">
        <f>SUM(AS9:AS11)</f>
        <v>5</v>
      </c>
      <c r="AT12" s="142">
        <f t="shared" ref="AT12" si="15">SUM(AT9:AT11)</f>
        <v>12</v>
      </c>
      <c r="AU12" s="142">
        <f>271-AS12-AT12</f>
        <v>254</v>
      </c>
      <c r="AV12" s="142">
        <f>SUM(AS12:AU12)</f>
        <v>271</v>
      </c>
      <c r="AW12" s="48"/>
      <c r="AX12" s="285" t="s">
        <v>621</v>
      </c>
      <c r="AY12" s="142">
        <f>SUM(AY9:AY11)</f>
        <v>15</v>
      </c>
      <c r="AZ12" s="142">
        <f t="shared" ref="AZ12" si="16">SUM(AZ9:AZ11)</f>
        <v>1</v>
      </c>
      <c r="BA12" s="142">
        <f>BB9-AY12-AZ12</f>
        <v>255</v>
      </c>
      <c r="BB12" s="142">
        <f>SUM(AY12:BA12)</f>
        <v>271</v>
      </c>
      <c r="BC12" s="48"/>
      <c r="BD12" s="289" t="s">
        <v>275</v>
      </c>
      <c r="BE12" s="52">
        <f>COUNTIF(Respostas_Formatadas!$ER:$ER,CaractAmostra!BD12)</f>
        <v>137</v>
      </c>
      <c r="BF12" s="53">
        <f t="shared" si="12"/>
        <v>0.50553505535055354</v>
      </c>
      <c r="BG12" s="48"/>
      <c r="BH12" s="289" t="s">
        <v>275</v>
      </c>
      <c r="BI12" s="52">
        <f>COUNTIF(Respostas_Formatadas!$ET:$ET,CaractAmostra!BH12)</f>
        <v>109</v>
      </c>
      <c r="BJ12" s="53">
        <f t="shared" si="13"/>
        <v>0.40221402214022139</v>
      </c>
      <c r="BK12" s="48"/>
      <c r="BL12" s="289" t="s">
        <v>134</v>
      </c>
      <c r="BM12" s="52">
        <f>COUNTIF(Respostas_Formatadas!$EU:$EU,CaractAmostra!BL12)</f>
        <v>213</v>
      </c>
      <c r="BN12" s="53">
        <f t="shared" si="14"/>
        <v>0.7859778597785978</v>
      </c>
      <c r="BO12" s="48"/>
      <c r="BP12" s="48"/>
      <c r="BQ12" s="60" t="str">
        <f>Tabulacao!NP8</f>
        <v>Ensino médio completo</v>
      </c>
      <c r="BR12" s="52">
        <f>Tabulacao!NQ8</f>
        <v>60</v>
      </c>
      <c r="BS12" s="53">
        <f t="shared" si="0"/>
        <v>0.25316455696202533</v>
      </c>
      <c r="BT12" s="48"/>
      <c r="BU12" s="48"/>
      <c r="BV12" s="60">
        <v>2008</v>
      </c>
      <c r="BW12" s="52">
        <f>IFERROR(COUNTIF(Respostas_Formatadas!$FE:$FE,CaractAmostra!$BV12),"-")</f>
        <v>1</v>
      </c>
      <c r="BX12" s="53">
        <f t="shared" si="1"/>
        <v>3.6900369003690036E-3</v>
      </c>
      <c r="BY12" s="48"/>
      <c r="BZ12" s="48"/>
    </row>
    <row r="13" spans="1:300" x14ac:dyDescent="0.2">
      <c r="B13" s="144"/>
      <c r="C13" s="311"/>
      <c r="D13" s="144"/>
      <c r="E13" s="51" t="str">
        <f>Tabulacao!D15</f>
        <v>Tecnologia em Agroecologia</v>
      </c>
      <c r="F13" s="52">
        <f>Tabulacao!E15</f>
        <v>16</v>
      </c>
      <c r="G13" s="52">
        <f>VLOOKUP($E13,Tabulacao!$D$33:$F$46,2,0)</f>
        <v>34</v>
      </c>
      <c r="H13" s="53">
        <f t="shared" si="2"/>
        <v>0.47058823529411764</v>
      </c>
      <c r="I13" s="48"/>
      <c r="J13" s="48"/>
      <c r="K13" s="48"/>
      <c r="L13" s="48"/>
      <c r="M13" s="60" t="str">
        <f>Tabulacao!LW4</f>
        <v>Branca</v>
      </c>
      <c r="N13" s="52">
        <f>Tabulacao!LX4</f>
        <v>52</v>
      </c>
      <c r="O13" s="53">
        <f>Tabulacao!LY4</f>
        <v>0.1918819188191882</v>
      </c>
      <c r="P13" s="48"/>
      <c r="Q13" s="60" t="str">
        <f>Tabulacao!MD7</f>
        <v>Itabaiana</v>
      </c>
      <c r="R13" s="52">
        <f>COUNTIF(Tabulacao!$MC:$MC,CaractAmostra!Q13)</f>
        <v>9</v>
      </c>
      <c r="S13" s="53">
        <f t="shared" si="3"/>
        <v>3.3210332103321034E-2</v>
      </c>
      <c r="T13" s="48"/>
      <c r="U13" s="52">
        <v>5</v>
      </c>
      <c r="V13" s="60" t="str">
        <f t="array" ref="V13">INDEX($Q$80:$Q$143,SMALL(IF($R$80:$R$143=W13,ROW($R$80:$R$143)-79),COUNTIF($W$9:W13,W13)))</f>
        <v>Itaberaba - BA</v>
      </c>
      <c r="W13" s="52">
        <f t="shared" si="4"/>
        <v>2</v>
      </c>
      <c r="X13" s="53">
        <f t="shared" si="5"/>
        <v>4.1666666666666664E-2</v>
      </c>
      <c r="Y13" s="48"/>
      <c r="Z13" s="60" t="str">
        <f>Tabulacao!MH7</f>
        <v>Nossa Senhora da Glória</v>
      </c>
      <c r="AA13" s="52">
        <f>COUNTIF(Tabulacao!$MG:$MG,CaractAmostra!Z13)</f>
        <v>10</v>
      </c>
      <c r="AB13" s="53">
        <f t="shared" si="6"/>
        <v>3.6900369003690037E-2</v>
      </c>
      <c r="AC13" s="48"/>
      <c r="AD13" s="52">
        <v>5</v>
      </c>
      <c r="AE13" s="60" t="str">
        <f t="array" ref="AE13">INDEX($Z$80:$Z$143,SMALL(IF($AA$80:$AA$143=AF13,ROW($AA$80:$AA$143)-79),COUNTIF($AF$9:AF13,AF13)))</f>
        <v>Lagarto</v>
      </c>
      <c r="AF13" s="52">
        <f t="shared" si="7"/>
        <v>0</v>
      </c>
      <c r="AG13" s="53">
        <f t="shared" si="8"/>
        <v>0</v>
      </c>
      <c r="AH13" s="48"/>
      <c r="AI13" s="60" t="str">
        <f>Tabulacao!ML7</f>
        <v>Nossa Senhora da Glória</v>
      </c>
      <c r="AJ13" s="52">
        <f>COUNTIF(Tabulacao!$MK:$MK,CaractAmostra!AI13)</f>
        <v>12</v>
      </c>
      <c r="AK13" s="53">
        <f t="shared" si="9"/>
        <v>4.4280442804428041E-2</v>
      </c>
      <c r="AL13" s="48"/>
      <c r="AM13" s="52">
        <v>5</v>
      </c>
      <c r="AN13" s="60" t="str">
        <f t="array" ref="AN13">INDEX($AI$93:$AI$169,SMALL(IF($AJ$93:$AJ$169=AO13,ROW($AJ$93:$AJ$169)-92),COUNTIF($AO$9:AO13,AO13)))</f>
        <v>Recife - PE</v>
      </c>
      <c r="AO13" s="52">
        <f t="shared" si="10"/>
        <v>2</v>
      </c>
      <c r="AP13" s="53">
        <f t="shared" si="11"/>
        <v>4.1666666666666664E-2</v>
      </c>
      <c r="AQ13" s="48"/>
      <c r="AR13" s="48"/>
      <c r="AS13" s="48"/>
      <c r="AT13" s="48"/>
      <c r="AU13" s="48"/>
      <c r="AV13" s="48"/>
      <c r="AW13" s="48"/>
      <c r="AX13" s="48"/>
      <c r="AY13" s="48"/>
      <c r="AZ13" s="48"/>
      <c r="BA13" s="48"/>
      <c r="BB13" s="48"/>
      <c r="BC13" s="48"/>
      <c r="BD13" s="289" t="s">
        <v>276</v>
      </c>
      <c r="BE13" s="52">
        <f>COUNTIF(Respostas_Formatadas!$ER:$ER,CaractAmostra!BD13)</f>
        <v>0</v>
      </c>
      <c r="BF13" s="53">
        <f t="shared" si="12"/>
        <v>0</v>
      </c>
      <c r="BG13" s="48"/>
      <c r="BH13" s="289" t="s">
        <v>145</v>
      </c>
      <c r="BI13" s="52">
        <f>COUNTIF(Respostas_Formatadas!$ET:$ET,CaractAmostra!BH13)</f>
        <v>18</v>
      </c>
      <c r="BJ13" s="53">
        <f t="shared" si="13"/>
        <v>6.6420664206642069E-2</v>
      </c>
      <c r="BK13" s="48"/>
      <c r="BL13" s="285" t="s">
        <v>621</v>
      </c>
      <c r="BM13" s="94">
        <f>SUM(BM9:BM12)</f>
        <v>271</v>
      </c>
      <c r="BN13" s="95">
        <f>SUM(BN9:BN12)</f>
        <v>1</v>
      </c>
      <c r="BO13" s="48"/>
      <c r="BP13" s="48"/>
      <c r="BQ13" s="60" t="str">
        <f>Tabulacao!NP9</f>
        <v>Ensino superior incompleto</v>
      </c>
      <c r="BR13" s="52">
        <f>Tabulacao!NQ9</f>
        <v>8</v>
      </c>
      <c r="BS13" s="53">
        <f t="shared" si="0"/>
        <v>3.3755274261603373E-2</v>
      </c>
      <c r="BT13" s="48"/>
      <c r="BU13" s="48"/>
      <c r="BV13" s="60">
        <v>2009</v>
      </c>
      <c r="BW13" s="52">
        <f>IFERROR(COUNTIF(Respostas_Formatadas!$FE:$FE,CaractAmostra!$BV13),"-")</f>
        <v>8</v>
      </c>
      <c r="BX13" s="53">
        <f t="shared" si="1"/>
        <v>2.9520295202952029E-2</v>
      </c>
      <c r="BY13" s="48"/>
      <c r="BZ13" s="48"/>
    </row>
    <row r="14" spans="1:300" ht="25.5" x14ac:dyDescent="0.2">
      <c r="B14" s="144"/>
      <c r="C14" s="311"/>
      <c r="D14" s="144"/>
      <c r="E14" s="51" t="str">
        <f>Tabulacao!D9</f>
        <v>Tecnologia em Saneamento Ambiental</v>
      </c>
      <c r="F14" s="52">
        <f>Tabulacao!E9</f>
        <v>45</v>
      </c>
      <c r="G14" s="52">
        <f>VLOOKUP($E14,Tabulacao!$D$33:$F$46,2,0)</f>
        <v>96</v>
      </c>
      <c r="H14" s="53">
        <f t="shared" si="2"/>
        <v>0.46875</v>
      </c>
      <c r="I14" s="48"/>
      <c r="J14" s="48"/>
      <c r="K14" s="48"/>
      <c r="L14" s="48"/>
      <c r="M14" s="60" t="str">
        <f>Tabulacao!LW5</f>
        <v>Preta</v>
      </c>
      <c r="N14" s="52">
        <f>Tabulacao!LX5</f>
        <v>46</v>
      </c>
      <c r="O14" s="53">
        <f>Tabulacao!LY5</f>
        <v>0.16974169741697417</v>
      </c>
      <c r="P14" s="48"/>
      <c r="Q14" s="60" t="str">
        <f>Tabulacao!MD8</f>
        <v>Estância</v>
      </c>
      <c r="R14" s="52">
        <f>COUNTIF(Tabulacao!$MC:$MC,CaractAmostra!Q14)</f>
        <v>8</v>
      </c>
      <c r="S14" s="53">
        <f t="shared" si="3"/>
        <v>2.9520295202952029E-2</v>
      </c>
      <c r="T14" s="48"/>
      <c r="U14" s="52">
        <v>6</v>
      </c>
      <c r="V14" s="60" t="str">
        <f t="array" ref="V14">INDEX($Q$80:$Q$143,SMALL(IF($R$80:$R$143=W14,ROW($R$80:$R$143)-79),COUNTIF($W$9:W14,W14)))</f>
        <v>Nossa Senhora do Socorro</v>
      </c>
      <c r="W14" s="52">
        <f t="shared" si="4"/>
        <v>1</v>
      </c>
      <c r="X14" s="53">
        <f t="shared" si="5"/>
        <v>2.0833333333333332E-2</v>
      </c>
      <c r="Y14" s="48"/>
      <c r="Z14" s="60" t="str">
        <f>Tabulacao!MH8</f>
        <v>Itabaiana</v>
      </c>
      <c r="AA14" s="52">
        <f>COUNTIF(Tabulacao!$MG:$MG,CaractAmostra!Z14)</f>
        <v>9</v>
      </c>
      <c r="AB14" s="53">
        <f t="shared" si="6"/>
        <v>3.3210332103321034E-2</v>
      </c>
      <c r="AC14" s="48"/>
      <c r="AD14" s="52">
        <v>6</v>
      </c>
      <c r="AE14" s="60" t="str">
        <f t="array" ref="AE14">INDEX($Z$80:$Z$143,SMALL(IF($AA$80:$AA$143=AF14,ROW($AA$80:$AA$143)-79),COUNTIF($AF$9:AF14,AF14)))</f>
        <v>Nossa Senhora da Glória</v>
      </c>
      <c r="AF14" s="52">
        <f t="shared" si="7"/>
        <v>0</v>
      </c>
      <c r="AG14" s="53">
        <f t="shared" si="8"/>
        <v>0</v>
      </c>
      <c r="AH14" s="48"/>
      <c r="AI14" s="60" t="str">
        <f>Tabulacao!ML8</f>
        <v>Estância</v>
      </c>
      <c r="AJ14" s="52">
        <f>COUNTIF(Tabulacao!$MK:$MK,CaractAmostra!AI14)</f>
        <v>9</v>
      </c>
      <c r="AK14" s="53">
        <f t="shared" si="9"/>
        <v>3.3210332103321034E-2</v>
      </c>
      <c r="AL14" s="48"/>
      <c r="AM14" s="52">
        <v>6</v>
      </c>
      <c r="AN14" s="60" t="str">
        <f t="array" ref="AN14">INDEX($AI$93:$AI$169,SMALL(IF($AJ$93:$AJ$169=AO14,ROW($AJ$93:$AJ$169)-92),COUNTIF($AO$9:AO14,AO14)))</f>
        <v>Belém - PA</v>
      </c>
      <c r="AO14" s="52">
        <f t="shared" si="10"/>
        <v>1</v>
      </c>
      <c r="AP14" s="53">
        <f t="shared" si="11"/>
        <v>2.0833333333333332E-2</v>
      </c>
      <c r="AQ14" s="48"/>
      <c r="AR14" s="137" t="s">
        <v>1332</v>
      </c>
      <c r="AS14" s="286" t="s">
        <v>270</v>
      </c>
      <c r="AT14" s="286" t="s">
        <v>271</v>
      </c>
      <c r="AU14" s="286" t="s">
        <v>134</v>
      </c>
      <c r="AV14" s="286" t="s">
        <v>621</v>
      </c>
      <c r="AW14" s="48"/>
      <c r="AX14" s="137" t="s">
        <v>1335</v>
      </c>
      <c r="AY14" s="286" t="s">
        <v>270</v>
      </c>
      <c r="AZ14" s="286" t="s">
        <v>271</v>
      </c>
      <c r="BA14" s="286" t="s">
        <v>134</v>
      </c>
      <c r="BB14" s="286" t="s">
        <v>621</v>
      </c>
      <c r="BC14" s="48"/>
      <c r="BD14" s="289" t="s">
        <v>145</v>
      </c>
      <c r="BE14" s="52">
        <f>COUNTIF(Respostas_Formatadas!$ER:$ER,CaractAmostra!BD14)</f>
        <v>24</v>
      </c>
      <c r="BF14" s="53">
        <f t="shared" si="12"/>
        <v>8.8560885608856083E-2</v>
      </c>
      <c r="BG14" s="48"/>
      <c r="BH14" s="285" t="s">
        <v>621</v>
      </c>
      <c r="BI14" s="94">
        <f>SUM(BI9:BI13)</f>
        <v>271</v>
      </c>
      <c r="BJ14" s="95">
        <f>SUM(BJ9:BJ13)</f>
        <v>1</v>
      </c>
      <c r="BK14" s="48"/>
      <c r="BL14" s="48"/>
      <c r="BM14" s="48"/>
      <c r="BN14" s="48"/>
      <c r="BO14" s="48"/>
      <c r="BP14" s="48"/>
      <c r="BQ14" s="60" t="str">
        <f>Tabulacao!NP10</f>
        <v>Ensino superior completo</v>
      </c>
      <c r="BR14" s="52">
        <f>Tabulacao!NQ10</f>
        <v>17</v>
      </c>
      <c r="BS14" s="53">
        <f t="shared" si="0"/>
        <v>7.1729957805907171E-2</v>
      </c>
      <c r="BT14" s="48"/>
      <c r="BU14" s="48"/>
      <c r="BV14" s="60">
        <v>2010</v>
      </c>
      <c r="BW14" s="52">
        <f>IFERROR(COUNTIF(Respostas_Formatadas!$FE:$FE,CaractAmostra!$BV14),"-")</f>
        <v>6</v>
      </c>
      <c r="BX14" s="53">
        <f t="shared" si="1"/>
        <v>2.2140221402214021E-2</v>
      </c>
      <c r="BY14" s="48"/>
      <c r="BZ14" s="48"/>
    </row>
    <row r="15" spans="1:300" x14ac:dyDescent="0.2">
      <c r="B15" s="144"/>
      <c r="C15" s="311"/>
      <c r="D15" s="144"/>
      <c r="E15" s="51" t="str">
        <f>Tabulacao!D4</f>
        <v>Bacharelado em Engenharia Civil</v>
      </c>
      <c r="F15" s="52">
        <f>Tabulacao!E4</f>
        <v>48</v>
      </c>
      <c r="G15" s="52">
        <f>VLOOKUP($E15,Tabulacao!$D$33:$F$46,2,0)</f>
        <v>110</v>
      </c>
      <c r="H15" s="53">
        <f t="shared" si="2"/>
        <v>0.43636363636363634</v>
      </c>
      <c r="I15" s="48"/>
      <c r="J15" s="48"/>
      <c r="K15" s="48"/>
      <c r="L15" s="48"/>
      <c r="M15" s="60" t="str">
        <f>Tabulacao!LW6</f>
        <v>Amarela</v>
      </c>
      <c r="N15" s="52">
        <f>Tabulacao!LX6</f>
        <v>2</v>
      </c>
      <c r="O15" s="53">
        <f>Tabulacao!LY6</f>
        <v>7.3800738007380072E-3</v>
      </c>
      <c r="P15" s="48"/>
      <c r="Q15" s="60" t="str">
        <f>Tabulacao!MD9</f>
        <v>Nossa Senhora da Glória</v>
      </c>
      <c r="R15" s="52">
        <f>COUNTIF(Tabulacao!$MC:$MC,CaractAmostra!Q15)</f>
        <v>8</v>
      </c>
      <c r="S15" s="53">
        <f t="shared" si="3"/>
        <v>2.9520295202952029E-2</v>
      </c>
      <c r="T15" s="48"/>
      <c r="U15" s="52">
        <v>7</v>
      </c>
      <c r="V15" s="60" t="str">
        <f t="array" ref="V15">INDEX($Q$80:$Q$143,SMALL(IF($R$80:$R$143=W15,ROW($R$80:$R$143)-79),COUNTIF($W$9:W15,W15)))</f>
        <v>São Cristóvão</v>
      </c>
      <c r="W15" s="52">
        <f t="shared" si="4"/>
        <v>1</v>
      </c>
      <c r="X15" s="53">
        <f t="shared" si="5"/>
        <v>2.0833333333333332E-2</v>
      </c>
      <c r="Y15" s="48"/>
      <c r="Z15" s="60" t="str">
        <f>Tabulacao!MH9</f>
        <v>Simão Dias</v>
      </c>
      <c r="AA15" s="52">
        <f>COUNTIF(Tabulacao!$MG:$MG,CaractAmostra!Z15)</f>
        <v>5</v>
      </c>
      <c r="AB15" s="53">
        <f t="shared" si="6"/>
        <v>1.8450184501845018E-2</v>
      </c>
      <c r="AC15" s="48"/>
      <c r="AD15" s="52">
        <v>7</v>
      </c>
      <c r="AE15" s="60" t="str">
        <f t="array" ref="AE15">INDEX($Z$80:$Z$143,SMALL(IF($AA$80:$AA$143=AF15,ROW($AA$80:$AA$143)-79),COUNTIF($AF$9:AF15,AF15)))</f>
        <v>Simão Dias</v>
      </c>
      <c r="AF15" s="52">
        <f t="shared" si="7"/>
        <v>0</v>
      </c>
      <c r="AG15" s="53">
        <f t="shared" si="8"/>
        <v>0</v>
      </c>
      <c r="AH15" s="48"/>
      <c r="AI15" s="60" t="str">
        <f>Tabulacao!ML9</f>
        <v>Itabaiana</v>
      </c>
      <c r="AJ15" s="52">
        <f>COUNTIF(Tabulacao!$MK:$MK,CaractAmostra!AI15)</f>
        <v>8</v>
      </c>
      <c r="AK15" s="53">
        <f t="shared" si="9"/>
        <v>2.9520295202952029E-2</v>
      </c>
      <c r="AL15" s="48"/>
      <c r="AM15" s="52">
        <v>7</v>
      </c>
      <c r="AN15" s="60" t="str">
        <f t="array" ref="AN15">INDEX($AI$93:$AI$169,SMALL(IF($AJ$93:$AJ$169=AO15,ROW($AJ$93:$AJ$169)-92),COUNTIF($AO$9:AO15,AO15)))</f>
        <v>Araci - BA</v>
      </c>
      <c r="AO15" s="52">
        <f t="shared" si="10"/>
        <v>1</v>
      </c>
      <c r="AP15" s="53">
        <f t="shared" si="11"/>
        <v>2.0833333333333332E-2</v>
      </c>
      <c r="AQ15" s="48"/>
      <c r="AR15" s="289" t="s">
        <v>1329</v>
      </c>
      <c r="AS15" s="53">
        <f>AS9/$AV$9</f>
        <v>3.6900369003690036E-3</v>
      </c>
      <c r="AT15" s="53">
        <f t="shared" ref="AT15:AU15" si="17">AT9/$AV$9</f>
        <v>3.3210332103321034E-2</v>
      </c>
      <c r="AU15" s="53">
        <f t="shared" si="17"/>
        <v>0.96309963099630991</v>
      </c>
      <c r="AV15" s="293">
        <f>SUM(AS15:AU15)</f>
        <v>1</v>
      </c>
      <c r="AW15" s="48"/>
      <c r="AX15" s="289" t="s">
        <v>1329</v>
      </c>
      <c r="AY15" s="53">
        <f>AY9/$BB9</f>
        <v>1.8450184501845018E-2</v>
      </c>
      <c r="AZ15" s="53">
        <f t="shared" ref="AZ15:BA15" si="18">AZ9/$BB9</f>
        <v>3.6900369003690036E-3</v>
      </c>
      <c r="BA15" s="53">
        <f t="shared" si="18"/>
        <v>0.97785977859778594</v>
      </c>
      <c r="BB15" s="293">
        <f>SUM(AY15:BA15)</f>
        <v>1</v>
      </c>
      <c r="BC15" s="48"/>
      <c r="BD15" s="285" t="s">
        <v>621</v>
      </c>
      <c r="BE15" s="94">
        <f>SUM(BE9:BE14)</f>
        <v>271</v>
      </c>
      <c r="BF15" s="95">
        <f>SUM(BF9:BF14)</f>
        <v>1</v>
      </c>
      <c r="BG15" s="48"/>
      <c r="BH15" s="48"/>
      <c r="BI15" s="48"/>
      <c r="BJ15" s="48"/>
      <c r="BK15" s="48"/>
      <c r="BL15" s="48"/>
      <c r="BM15" s="48"/>
      <c r="BN15" s="48"/>
      <c r="BO15" s="48"/>
      <c r="BP15" s="48"/>
      <c r="BQ15" s="60" t="str">
        <f>Tabulacao!NP11</f>
        <v>Pós-graduação</v>
      </c>
      <c r="BR15" s="52">
        <f>Tabulacao!NQ11</f>
        <v>13</v>
      </c>
      <c r="BS15" s="53">
        <f t="shared" si="0"/>
        <v>5.4852320675105488E-2</v>
      </c>
      <c r="BT15" s="48"/>
      <c r="BU15" s="48"/>
      <c r="BV15" s="60">
        <v>2011</v>
      </c>
      <c r="BW15" s="52">
        <f>IFERROR(COUNTIF(Respostas_Formatadas!$FE:$FE,CaractAmostra!$BV15),"-")</f>
        <v>4</v>
      </c>
      <c r="BX15" s="53">
        <f t="shared" si="1"/>
        <v>1.4760147601476014E-2</v>
      </c>
      <c r="BY15" s="48"/>
      <c r="BZ15" s="48"/>
    </row>
    <row r="16" spans="1:300" x14ac:dyDescent="0.2">
      <c r="B16" s="144"/>
      <c r="C16" s="311"/>
      <c r="D16" s="144"/>
      <c r="E16" s="51" t="str">
        <f>Tabulacao!D6</f>
        <v>Licenciatura em Química</v>
      </c>
      <c r="F16" s="52">
        <f>Tabulacao!E6</f>
        <v>28</v>
      </c>
      <c r="G16" s="52">
        <f>VLOOKUP($E16,Tabulacao!$D$33:$F$46,2,0)</f>
        <v>71</v>
      </c>
      <c r="H16" s="53">
        <f t="shared" si="2"/>
        <v>0.39436619718309857</v>
      </c>
      <c r="I16" s="48"/>
      <c r="J16" s="48"/>
      <c r="K16" s="48"/>
      <c r="L16" s="48"/>
      <c r="M16" s="60" t="str">
        <f>Tabulacao!LW7</f>
        <v>Parda</v>
      </c>
      <c r="N16" s="52">
        <f>Tabulacao!LX7</f>
        <v>171</v>
      </c>
      <c r="O16" s="53">
        <f>Tabulacao!LY7</f>
        <v>0.63099630996309963</v>
      </c>
      <c r="P16" s="48"/>
      <c r="Q16" s="60" t="str">
        <f>Tabulacao!MD10</f>
        <v>Simão Dias</v>
      </c>
      <c r="R16" s="52">
        <f>COUNTIF(Tabulacao!$MC:$MC,CaractAmostra!Q16)</f>
        <v>5</v>
      </c>
      <c r="S16" s="53">
        <f t="shared" si="3"/>
        <v>1.8450184501845018E-2</v>
      </c>
      <c r="T16" s="48"/>
      <c r="U16" s="52">
        <v>8</v>
      </c>
      <c r="V16" s="60" t="str">
        <f t="array" ref="V16">INDEX($Q$80:$Q$143,SMALL(IF($R$80:$R$143=W16,ROW($R$80:$R$143)-79),COUNTIF($W$9:W16,W16)))</f>
        <v>Cristinápolis</v>
      </c>
      <c r="W16" s="52">
        <f t="shared" si="4"/>
        <v>1</v>
      </c>
      <c r="X16" s="53">
        <f t="shared" si="5"/>
        <v>2.0833333333333332E-2</v>
      </c>
      <c r="Y16" s="48"/>
      <c r="Z16" s="60" t="str">
        <f>Tabulacao!MH10</f>
        <v>Estância</v>
      </c>
      <c r="AA16" s="52">
        <f>COUNTIF(Tabulacao!$MG:$MG,CaractAmostra!Z16)</f>
        <v>4</v>
      </c>
      <c r="AB16" s="53">
        <f t="shared" si="6"/>
        <v>1.4760147601476014E-2</v>
      </c>
      <c r="AC16" s="48"/>
      <c r="AD16" s="52">
        <v>8</v>
      </c>
      <c r="AE16" s="60" t="str">
        <f t="array" ref="AE16">INDEX($Z$80:$Z$143,SMALL(IF($AA$80:$AA$143=AF16,ROW($AA$80:$AA$143)-79),COUNTIF($AF$9:AF16,AF16)))</f>
        <v>Estância</v>
      </c>
      <c r="AF16" s="52">
        <f t="shared" si="7"/>
        <v>0</v>
      </c>
      <c r="AG16" s="53">
        <f t="shared" si="8"/>
        <v>0</v>
      </c>
      <c r="AH16" s="48"/>
      <c r="AI16" s="60" t="str">
        <f>Tabulacao!ML10</f>
        <v>Barra dos Coqueiros</v>
      </c>
      <c r="AJ16" s="52">
        <f>COUNTIF(Tabulacao!$MK:$MK,CaractAmostra!AI16)</f>
        <v>4</v>
      </c>
      <c r="AK16" s="53">
        <f t="shared" si="9"/>
        <v>1.4760147601476014E-2</v>
      </c>
      <c r="AL16" s="48"/>
      <c r="AM16" s="52">
        <v>8</v>
      </c>
      <c r="AN16" s="60" t="str">
        <f t="array" ref="AN16">INDEX($AI$93:$AI$169,SMALL(IF($AJ$93:$AJ$169=AO16,ROW($AJ$93:$AJ$169)-92),COUNTIF($AO$9:AO16,AO16)))</f>
        <v>Floriano - PI</v>
      </c>
      <c r="AO16" s="52">
        <f t="shared" si="10"/>
        <v>1</v>
      </c>
      <c r="AP16" s="53">
        <f t="shared" si="11"/>
        <v>2.0833333333333332E-2</v>
      </c>
      <c r="AQ16" s="48"/>
      <c r="AR16" s="289" t="s">
        <v>1330</v>
      </c>
      <c r="AS16" s="53">
        <f>AS10/$AV$10</f>
        <v>1.107011070110701E-2</v>
      </c>
      <c r="AT16" s="53">
        <f t="shared" ref="AT16:AU16" si="19">AT10/$AV$10</f>
        <v>3.6900369003690036E-3</v>
      </c>
      <c r="AU16" s="53">
        <f t="shared" si="19"/>
        <v>0.98523985239852396</v>
      </c>
      <c r="AV16" s="293">
        <f>SUM(AS16:AU16)</f>
        <v>1</v>
      </c>
      <c r="AW16" s="48"/>
      <c r="AX16" s="289" t="s">
        <v>1330</v>
      </c>
      <c r="AY16" s="53">
        <f>AY10/$BB10</f>
        <v>2.5830258302583026E-2</v>
      </c>
      <c r="AZ16" s="53">
        <f t="shared" ref="AZ16:BA16" si="20">AZ10/$BB10</f>
        <v>0</v>
      </c>
      <c r="BA16" s="53">
        <f t="shared" si="20"/>
        <v>0.97416974169741699</v>
      </c>
      <c r="BB16" s="293">
        <f>SUM(AY16:BA16)</f>
        <v>1</v>
      </c>
      <c r="BC16" s="48"/>
      <c r="BD16" s="48"/>
      <c r="BE16" s="48"/>
      <c r="BF16" s="48"/>
      <c r="BG16" s="48"/>
      <c r="BH16" s="48"/>
      <c r="BI16" s="48"/>
      <c r="BJ16" s="48"/>
      <c r="BK16" s="48"/>
      <c r="BL16" s="48"/>
      <c r="BM16" s="48"/>
      <c r="BN16" s="48"/>
      <c r="BO16" s="48"/>
      <c r="BP16" s="48"/>
      <c r="BQ16" s="93" t="s">
        <v>621</v>
      </c>
      <c r="BR16" s="94">
        <f>SUM(BR9:BR15)</f>
        <v>237</v>
      </c>
      <c r="BS16" s="95">
        <f>SUM(BS9:BS15)</f>
        <v>1.0000000000000002</v>
      </c>
      <c r="BT16" s="48"/>
      <c r="BU16" s="48"/>
      <c r="BV16" s="60">
        <v>2012</v>
      </c>
      <c r="BW16" s="52">
        <f>IFERROR(COUNTIF(Respostas_Formatadas!$FE:$FE,CaractAmostra!$BV16),"-")</f>
        <v>3</v>
      </c>
      <c r="BX16" s="53">
        <f t="shared" si="1"/>
        <v>1.107011070110701E-2</v>
      </c>
      <c r="BY16" s="48"/>
      <c r="BZ16" s="48"/>
    </row>
    <row r="17" spans="2:78" x14ac:dyDescent="0.2">
      <c r="B17" s="144"/>
      <c r="C17" s="311"/>
      <c r="D17" s="144"/>
      <c r="E17" s="51" t="str">
        <f>Tabulacao!D7</f>
        <v>Licenciatura em Matemática</v>
      </c>
      <c r="F17" s="52">
        <f>Tabulacao!E7</f>
        <v>22</v>
      </c>
      <c r="G17" s="52">
        <f>VLOOKUP($E17,Tabulacao!$D$33:$F$46,2,0)</f>
        <v>62</v>
      </c>
      <c r="H17" s="53">
        <f t="shared" si="2"/>
        <v>0.35483870967741937</v>
      </c>
      <c r="I17" s="48"/>
      <c r="J17" s="48"/>
      <c r="K17" s="48"/>
      <c r="L17" s="48"/>
      <c r="M17" s="60" t="str">
        <f>Tabulacao!LW8</f>
        <v>Indígena</v>
      </c>
      <c r="N17" s="52">
        <f>Tabulacao!LX8</f>
        <v>0</v>
      </c>
      <c r="O17" s="53">
        <f>Tabulacao!LY8</f>
        <v>0</v>
      </c>
      <c r="P17" s="48"/>
      <c r="Q17" s="60" t="str">
        <f>Tabulacao!MD11</f>
        <v>Alagoinhas - BA</v>
      </c>
      <c r="R17" s="52">
        <f>COUNTIF(Tabulacao!$MC:$MC,CaractAmostra!Q17)</f>
        <v>3</v>
      </c>
      <c r="S17" s="53">
        <f t="shared" si="3"/>
        <v>1.107011070110701E-2</v>
      </c>
      <c r="T17" s="48"/>
      <c r="U17" s="52">
        <v>9</v>
      </c>
      <c r="V17" s="60" t="str">
        <f t="array" ref="V17">INDEX($Q$80:$Q$143,SMALL(IF($R$80:$R$143=W17,ROW($R$80:$R$143)-79),COUNTIF($W$9:W17,W17)))</f>
        <v>Boquim</v>
      </c>
      <c r="W17" s="52">
        <f t="shared" si="4"/>
        <v>1</v>
      </c>
      <c r="X17" s="53">
        <f t="shared" si="5"/>
        <v>2.0833333333333332E-2</v>
      </c>
      <c r="Y17" s="48"/>
      <c r="Z17" s="60" t="str">
        <f>Tabulacao!MH11</f>
        <v>Malhador</v>
      </c>
      <c r="AA17" s="52">
        <f>COUNTIF(Tabulacao!$MG:$MG,CaractAmostra!Z17)</f>
        <v>4</v>
      </c>
      <c r="AB17" s="53">
        <f t="shared" si="6"/>
        <v>1.4760147601476014E-2</v>
      </c>
      <c r="AC17" s="48"/>
      <c r="AD17" s="52">
        <v>9</v>
      </c>
      <c r="AE17" s="60" t="str">
        <f t="array" ref="AE17">INDEX($Z$80:$Z$143,SMALL(IF($AA$80:$AA$143=AF17,ROW($AA$80:$AA$143)-79),COUNTIF($AF$9:AF17,AF17)))</f>
        <v>Malhador</v>
      </c>
      <c r="AF17" s="52">
        <f t="shared" si="7"/>
        <v>0</v>
      </c>
      <c r="AG17" s="53">
        <f t="shared" si="8"/>
        <v>0</v>
      </c>
      <c r="AH17" s="48"/>
      <c r="AI17" s="60" t="str">
        <f>Tabulacao!ML11</f>
        <v>Salvador - BA</v>
      </c>
      <c r="AJ17" s="52">
        <f>COUNTIF(Tabulacao!$MK:$MK,CaractAmostra!AI17)</f>
        <v>4</v>
      </c>
      <c r="AK17" s="53">
        <f t="shared" si="9"/>
        <v>1.4760147601476014E-2</v>
      </c>
      <c r="AL17" s="48"/>
      <c r="AM17" s="52">
        <v>9</v>
      </c>
      <c r="AN17" s="60" t="str">
        <f t="array" ref="AN17">INDEX($AI$93:$AI$169,SMALL(IF($AJ$93:$AJ$169=AO17,ROW($AJ$93:$AJ$169)-92),COUNTIF($AO$9:AO17,AO17)))</f>
        <v>Vitória da Conquista - BA</v>
      </c>
      <c r="AO17" s="52">
        <f t="shared" si="10"/>
        <v>1</v>
      </c>
      <c r="AP17" s="53">
        <f t="shared" si="11"/>
        <v>2.0833333333333332E-2</v>
      </c>
      <c r="AQ17" s="48"/>
      <c r="AR17" s="289" t="s">
        <v>1331</v>
      </c>
      <c r="AS17" s="53">
        <f>AS11/$AV$11</f>
        <v>3.6900369003690036E-3</v>
      </c>
      <c r="AT17" s="53">
        <f t="shared" ref="AT17:AU17" si="21">AT11/$AV$11</f>
        <v>7.3800738007380072E-3</v>
      </c>
      <c r="AU17" s="53">
        <f t="shared" si="21"/>
        <v>0.98892988929889303</v>
      </c>
      <c r="AV17" s="293">
        <f>SUM(AS17:AU17)</f>
        <v>1</v>
      </c>
      <c r="AW17" s="48"/>
      <c r="AX17" s="289" t="s">
        <v>1331</v>
      </c>
      <c r="AY17" s="53">
        <f>AY11/$BB11</f>
        <v>1.107011070110701E-2</v>
      </c>
      <c r="AZ17" s="53">
        <f t="shared" ref="AZ17:BA17" si="22">AZ11/$BB11</f>
        <v>0</v>
      </c>
      <c r="BA17" s="53">
        <f t="shared" si="22"/>
        <v>0.98892988929889303</v>
      </c>
      <c r="BB17" s="293">
        <f>SUM(AY17:BA17)</f>
        <v>1</v>
      </c>
      <c r="BC17" s="48"/>
      <c r="BD17" s="48"/>
      <c r="BE17" s="48"/>
      <c r="BF17" s="48"/>
      <c r="BG17" s="48"/>
      <c r="BH17" s="48"/>
      <c r="BI17" s="48"/>
      <c r="BJ17" s="48"/>
      <c r="BK17" s="48"/>
      <c r="BL17" s="48"/>
      <c r="BM17" s="48"/>
      <c r="BN17" s="48"/>
      <c r="BO17" s="48"/>
      <c r="BP17" s="48"/>
      <c r="BQ17" s="48"/>
      <c r="BR17" s="48"/>
      <c r="BS17" s="48"/>
      <c r="BT17" s="48"/>
      <c r="BU17" s="48"/>
      <c r="BV17" s="60">
        <v>2013</v>
      </c>
      <c r="BW17" s="52">
        <f>IFERROR(COUNTIF(Respostas_Formatadas!$FE:$FE,CaractAmostra!$BV17),"-")</f>
        <v>18</v>
      </c>
      <c r="BX17" s="53">
        <f t="shared" si="1"/>
        <v>6.6420664206642069E-2</v>
      </c>
      <c r="BY17" s="48"/>
      <c r="BZ17" s="48"/>
    </row>
    <row r="18" spans="2:78" x14ac:dyDescent="0.2">
      <c r="B18" s="144"/>
      <c r="C18" s="311"/>
      <c r="D18" s="144"/>
      <c r="E18" s="51" t="str">
        <f>Tabulacao!D13</f>
        <v>Tecnologia em Laticínios</v>
      </c>
      <c r="F18" s="52">
        <f>Tabulacao!E13</f>
        <v>13</v>
      </c>
      <c r="G18" s="52">
        <f>VLOOKUP($E18,Tabulacao!$D$33:$F$46,2,0)</f>
        <v>41</v>
      </c>
      <c r="H18" s="53">
        <f t="shared" si="2"/>
        <v>0.31707317073170732</v>
      </c>
      <c r="I18" s="48"/>
      <c r="J18" s="48"/>
      <c r="K18" s="48"/>
      <c r="L18" s="48"/>
      <c r="M18" s="60" t="str">
        <f>Tabulacao!LW9</f>
        <v>Outras</v>
      </c>
      <c r="N18" s="52">
        <f>Tabulacao!LX9</f>
        <v>0</v>
      </c>
      <c r="O18" s="53">
        <f>Tabulacao!LY9</f>
        <v>0</v>
      </c>
      <c r="P18" s="48"/>
      <c r="Q18" s="60" t="str">
        <f>Tabulacao!MD12</f>
        <v>Barra dos Coqueiros</v>
      </c>
      <c r="R18" s="52">
        <f>COUNTIF(Tabulacao!$MC:$MC,CaractAmostra!Q18)</f>
        <v>3</v>
      </c>
      <c r="S18" s="53">
        <f t="shared" si="3"/>
        <v>1.107011070110701E-2</v>
      </c>
      <c r="T18" s="48"/>
      <c r="U18" s="52">
        <v>10</v>
      </c>
      <c r="V18" s="60" t="str">
        <f t="array" ref="V18">INDEX($Q$80:$Q$143,SMALL(IF($R$80:$R$143=W18,ROW($R$80:$R$143)-79),COUNTIF($W$9:W18,W18)))</f>
        <v>Acajutiba - BA</v>
      </c>
      <c r="W18" s="52">
        <f t="shared" si="4"/>
        <v>1</v>
      </c>
      <c r="X18" s="53">
        <f t="shared" si="5"/>
        <v>2.0833333333333332E-2</v>
      </c>
      <c r="Y18" s="48"/>
      <c r="Z18" s="60" t="str">
        <f>Tabulacao!MH12</f>
        <v>Barra dos Coqueiros</v>
      </c>
      <c r="AA18" s="52">
        <f>COUNTIF(Tabulacao!$MG:$MG,CaractAmostra!Z18)</f>
        <v>3</v>
      </c>
      <c r="AB18" s="53">
        <f t="shared" si="6"/>
        <v>1.107011070110701E-2</v>
      </c>
      <c r="AC18" s="48"/>
      <c r="AD18" s="52">
        <v>10</v>
      </c>
      <c r="AE18" s="60" t="str">
        <f t="array" ref="AE18">INDEX($Z$80:$Z$143,SMALL(IF($AA$80:$AA$143=AF18,ROW($AA$80:$AA$143)-79),COUNTIF($AF$9:AF18,AF18)))</f>
        <v>Barra dos Coqueiros</v>
      </c>
      <c r="AF18" s="52">
        <f t="shared" si="7"/>
        <v>0</v>
      </c>
      <c r="AG18" s="53">
        <f t="shared" si="8"/>
        <v>0</v>
      </c>
      <c r="AH18" s="48"/>
      <c r="AI18" s="60" t="str">
        <f>Tabulacao!ML12</f>
        <v>Areia Branca</v>
      </c>
      <c r="AJ18" s="52">
        <f>COUNTIF(Tabulacao!$MK:$MK,CaractAmostra!AI18)</f>
        <v>3</v>
      </c>
      <c r="AK18" s="53">
        <f t="shared" si="9"/>
        <v>1.107011070110701E-2</v>
      </c>
      <c r="AL18" s="48"/>
      <c r="AM18" s="52">
        <v>10</v>
      </c>
      <c r="AN18" s="60" t="str">
        <f t="array" ref="AN18">INDEX($AI$93:$AI$169,SMALL(IF($AJ$93:$AJ$169=AO18,ROW($AJ$93:$AJ$169)-92),COUNTIF($AO$9:AO18,AO18)))</f>
        <v>Brasília - DF</v>
      </c>
      <c r="AO18" s="52">
        <f t="shared" si="10"/>
        <v>1</v>
      </c>
      <c r="AP18" s="53">
        <f t="shared" si="11"/>
        <v>2.0833333333333332E-2</v>
      </c>
      <c r="AQ18" s="48"/>
      <c r="AR18" s="285" t="s">
        <v>621</v>
      </c>
      <c r="AS18" s="141">
        <f>SUM(AS15:AS17)</f>
        <v>1.8450184501845018E-2</v>
      </c>
      <c r="AT18" s="141">
        <f t="shared" ref="AT18" si="23">SUM(AT15:AT17)</f>
        <v>4.4280442804428041E-2</v>
      </c>
      <c r="AU18" s="141">
        <f>AU12/$AV$12</f>
        <v>0.9372693726937269</v>
      </c>
      <c r="AV18" s="141">
        <f>SUM(AS18:AU18)</f>
        <v>1</v>
      </c>
      <c r="AW18" s="48"/>
      <c r="AX18" s="285" t="s">
        <v>621</v>
      </c>
      <c r="AY18" s="141">
        <f>SUM(AY15:AY17)</f>
        <v>5.5350553505535055E-2</v>
      </c>
      <c r="AZ18" s="141">
        <f t="shared" ref="AZ18" si="24">SUM(AZ15:AZ17)</f>
        <v>3.6900369003690036E-3</v>
      </c>
      <c r="BA18" s="141">
        <f>BA12/$BB$12</f>
        <v>0.94095940959409596</v>
      </c>
      <c r="BB18" s="141">
        <f>SUM(AY18:BA18)</f>
        <v>1</v>
      </c>
      <c r="BC18" s="48"/>
      <c r="BD18" s="48"/>
      <c r="BE18" s="48"/>
      <c r="BF18" s="48"/>
      <c r="BG18" s="48"/>
      <c r="BH18" s="48"/>
      <c r="BI18" s="48"/>
      <c r="BJ18" s="48"/>
      <c r="BK18" s="48"/>
      <c r="BL18" s="48"/>
      <c r="BM18" s="48"/>
      <c r="BN18" s="48"/>
      <c r="BO18" s="48"/>
      <c r="BP18" s="48"/>
      <c r="BQ18" s="150" t="str">
        <f>Tabulacao!NS2</f>
        <v>Qual é o grau de instrução dos seus pais? [Mãe]</v>
      </c>
      <c r="BR18" s="48"/>
      <c r="BS18" s="48"/>
      <c r="BT18" s="48"/>
      <c r="BU18" s="48"/>
      <c r="BV18" s="60">
        <v>2014</v>
      </c>
      <c r="BW18" s="52">
        <f>IFERROR(COUNTIF(Respostas_Formatadas!$FE:$FE,CaractAmostra!$BV18),"-")</f>
        <v>20</v>
      </c>
      <c r="BX18" s="53">
        <f t="shared" si="1"/>
        <v>7.3800738007380073E-2</v>
      </c>
      <c r="BY18" s="48"/>
      <c r="BZ18" s="48"/>
    </row>
    <row r="19" spans="2:78" x14ac:dyDescent="0.2">
      <c r="B19" s="144"/>
      <c r="C19" s="311"/>
      <c r="D19" s="144"/>
      <c r="E19" s="51" t="str">
        <f>Tabulacao!D10</f>
        <v>Tecnologia em Gestão de Turismo</v>
      </c>
      <c r="F19" s="52">
        <f>Tabulacao!E10</f>
        <v>35</v>
      </c>
      <c r="G19" s="52">
        <f>VLOOKUP($E19,Tabulacao!$D$33:$F$46,2,0)</f>
        <v>135</v>
      </c>
      <c r="H19" s="53">
        <f t="shared" si="2"/>
        <v>0.25925925925925924</v>
      </c>
      <c r="I19" s="48"/>
      <c r="J19" s="48"/>
      <c r="K19" s="48"/>
      <c r="L19" s="48"/>
      <c r="M19" s="93" t="s">
        <v>1056</v>
      </c>
      <c r="N19" s="94" t="s">
        <v>933</v>
      </c>
      <c r="O19" s="95" t="s">
        <v>933</v>
      </c>
      <c r="P19" s="48"/>
      <c r="Q19" s="60" t="str">
        <f>Tabulacao!MD13</f>
        <v>Cristinápolis</v>
      </c>
      <c r="R19" s="52">
        <f>COUNTIF(Tabulacao!$MC:$MC,CaractAmostra!Q19)</f>
        <v>3</v>
      </c>
      <c r="S19" s="53">
        <f t="shared" si="3"/>
        <v>1.107011070110701E-2</v>
      </c>
      <c r="T19" s="48"/>
      <c r="U19" s="52">
        <v>11</v>
      </c>
      <c r="V19" s="60" t="str">
        <f t="array" ref="V19">INDEX($Q$80:$Q$143,SMALL(IF($R$80:$R$143=W19,ROW($R$80:$R$143)-79),COUNTIF($W$9:W19,W19)))</f>
        <v>Araci - BA</v>
      </c>
      <c r="W19" s="52">
        <f t="shared" si="4"/>
        <v>1</v>
      </c>
      <c r="X19" s="53">
        <f t="shared" si="5"/>
        <v>2.0833333333333332E-2</v>
      </c>
      <c r="Y19" s="48"/>
      <c r="Z19" s="60" t="str">
        <f>Tabulacao!MH13</f>
        <v>Salgado</v>
      </c>
      <c r="AA19" s="52">
        <f>COUNTIF(Tabulacao!$MG:$MG,CaractAmostra!Z19)</f>
        <v>3</v>
      </c>
      <c r="AB19" s="53">
        <f t="shared" si="6"/>
        <v>1.107011070110701E-2</v>
      </c>
      <c r="AC19" s="48"/>
      <c r="AD19" s="52">
        <v>11</v>
      </c>
      <c r="AE19" s="60" t="str">
        <f t="array" ref="AE19">INDEX($Z$80:$Z$143,SMALL(IF($AA$80:$AA$143=AF19,ROW($AA$80:$AA$143)-79),COUNTIF($AF$9:AF19,AF19)))</f>
        <v>Salgado</v>
      </c>
      <c r="AF19" s="52">
        <f t="shared" si="7"/>
        <v>0</v>
      </c>
      <c r="AG19" s="53">
        <f t="shared" si="8"/>
        <v>0</v>
      </c>
      <c r="AH19" s="48"/>
      <c r="AI19" s="60" t="str">
        <f>Tabulacao!ML13</f>
        <v>Belém - PA</v>
      </c>
      <c r="AJ19" s="52">
        <f>COUNTIF(Tabulacao!$MK:$MK,CaractAmostra!AI19)</f>
        <v>3</v>
      </c>
      <c r="AK19" s="53">
        <f t="shared" si="9"/>
        <v>1.107011070110701E-2</v>
      </c>
      <c r="AL19" s="48"/>
      <c r="AM19" s="52">
        <v>11</v>
      </c>
      <c r="AN19" s="60" t="str">
        <f t="array" ref="AN19">INDEX($AI$93:$AI$169,SMALL(IF($AJ$93:$AJ$169=AO19,ROW($AJ$93:$AJ$169)-92),COUNTIF($AO$9:AO19,AO19)))</f>
        <v>Macapá - AP</v>
      </c>
      <c r="AO19" s="52">
        <f t="shared" si="10"/>
        <v>1</v>
      </c>
      <c r="AP19" s="53">
        <f t="shared" si="11"/>
        <v>2.0833333333333332E-2</v>
      </c>
      <c r="AQ19" s="48"/>
      <c r="AR19" s="48"/>
      <c r="AS19" s="48"/>
      <c r="AT19" s="48"/>
      <c r="AU19" s="48"/>
      <c r="AV19" s="48"/>
      <c r="AW19" s="48"/>
      <c r="AX19" s="48"/>
      <c r="AY19" s="48"/>
      <c r="AZ19" s="48"/>
      <c r="BA19" s="48"/>
      <c r="BB19" s="48"/>
      <c r="BC19" s="48"/>
      <c r="BD19" s="48"/>
      <c r="BE19" s="48"/>
      <c r="BF19" s="48"/>
      <c r="BG19" s="48"/>
      <c r="BH19" s="48"/>
      <c r="BI19" s="48"/>
      <c r="BJ19" s="48"/>
      <c r="BK19" s="48"/>
      <c r="BL19" s="48"/>
      <c r="BM19" s="48"/>
      <c r="BN19" s="48"/>
      <c r="BO19" s="48"/>
      <c r="BP19" s="48"/>
      <c r="BQ19" s="48"/>
      <c r="BR19" s="48"/>
      <c r="BS19" s="48"/>
      <c r="BT19" s="48"/>
      <c r="BU19" s="48"/>
      <c r="BV19" s="60">
        <v>2015</v>
      </c>
      <c r="BW19" s="52">
        <f>IFERROR(COUNTIF(Respostas_Formatadas!$FE:$FE,CaractAmostra!$BV19),"-")</f>
        <v>29</v>
      </c>
      <c r="BX19" s="53">
        <f t="shared" si="1"/>
        <v>0.1070110701107011</v>
      </c>
      <c r="BY19" s="48"/>
      <c r="BZ19" s="48"/>
    </row>
    <row r="20" spans="2:78" x14ac:dyDescent="0.2">
      <c r="B20" s="144"/>
      <c r="C20" s="311"/>
      <c r="D20" s="144"/>
      <c r="E20" s="51" t="str">
        <f>Tabulacao!D14</f>
        <v>Tecnologia em Alimentos</v>
      </c>
      <c r="F20" s="52">
        <f>Tabulacao!E14</f>
        <v>3</v>
      </c>
      <c r="G20" s="52">
        <f>VLOOKUP($E20,Tabulacao!$D$33:$F$46,2,0)</f>
        <v>17</v>
      </c>
      <c r="H20" s="53">
        <f t="shared" si="2"/>
        <v>0.17647058823529413</v>
      </c>
      <c r="I20" s="48"/>
      <c r="J20" s="48"/>
      <c r="K20" s="48"/>
      <c r="L20" s="48"/>
      <c r="M20" s="61" t="str">
        <f>Tabulacao!LZ4</f>
        <v>Média</v>
      </c>
      <c r="N20" s="64">
        <f>Tabulacao!MA4</f>
        <v>30.304832713754646</v>
      </c>
      <c r="O20" s="63" t="s">
        <v>933</v>
      </c>
      <c r="P20" s="48"/>
      <c r="Q20" s="60" t="str">
        <f>Tabulacao!MD14</f>
        <v>Malhador</v>
      </c>
      <c r="R20" s="52">
        <f>COUNTIF(Tabulacao!$MC:$MC,CaractAmostra!Q20)</f>
        <v>3</v>
      </c>
      <c r="S20" s="53">
        <f t="shared" si="3"/>
        <v>1.107011070110701E-2</v>
      </c>
      <c r="T20" s="48"/>
      <c r="U20" s="52">
        <v>12</v>
      </c>
      <c r="V20" s="60" t="str">
        <f t="array" ref="V20">INDEX($Q$80:$Q$143,SMALL(IF($R$80:$R$143=W20,ROW($R$80:$R$143)-79),COUNTIF($W$9:W20,W20)))</f>
        <v>Barbalha - CE</v>
      </c>
      <c r="W20" s="52">
        <f t="shared" si="4"/>
        <v>1</v>
      </c>
      <c r="X20" s="53">
        <f t="shared" si="5"/>
        <v>2.0833333333333332E-2</v>
      </c>
      <c r="Y20" s="48"/>
      <c r="Z20" s="60" t="str">
        <f>Tabulacao!MH14</f>
        <v>Areia Branca</v>
      </c>
      <c r="AA20" s="52">
        <f>COUNTIF(Tabulacao!$MG:$MG,CaractAmostra!Z20)</f>
        <v>2</v>
      </c>
      <c r="AB20" s="53">
        <f t="shared" si="6"/>
        <v>7.3800738007380072E-3</v>
      </c>
      <c r="AC20" s="48"/>
      <c r="AD20" s="52">
        <v>12</v>
      </c>
      <c r="AE20" s="60" t="str">
        <f t="array" ref="AE20">INDEX($Z$80:$Z$143,SMALL(IF($AA$80:$AA$143=AF20,ROW($AA$80:$AA$143)-79),COUNTIF($AF$9:AF20,AF20)))</f>
        <v>Areia Branca</v>
      </c>
      <c r="AF20" s="52">
        <f t="shared" si="7"/>
        <v>0</v>
      </c>
      <c r="AG20" s="53">
        <f t="shared" si="8"/>
        <v>0</v>
      </c>
      <c r="AH20" s="48"/>
      <c r="AI20" s="60" t="str">
        <f>Tabulacao!ML14</f>
        <v>Recife - PE</v>
      </c>
      <c r="AJ20" s="52">
        <f>COUNTIF(Tabulacao!$MK:$MK,CaractAmostra!AI20)</f>
        <v>3</v>
      </c>
      <c r="AK20" s="53">
        <f t="shared" si="9"/>
        <v>1.107011070110701E-2</v>
      </c>
      <c r="AL20" s="48"/>
      <c r="AM20" s="52">
        <v>12</v>
      </c>
      <c r="AN20" s="60" t="str">
        <f t="array" ref="AN20">INDEX($AI$93:$AI$169,SMALL(IF($AJ$93:$AJ$169=AO20,ROW($AJ$93:$AJ$169)-92),COUNTIF($AO$9:AO20,AO20)))</f>
        <v>Umbaúba</v>
      </c>
      <c r="AO20" s="52">
        <f t="shared" si="10"/>
        <v>1</v>
      </c>
      <c r="AP20" s="53">
        <f t="shared" si="11"/>
        <v>2.0833333333333332E-2</v>
      </c>
      <c r="AQ20" s="48"/>
      <c r="AR20" s="48"/>
      <c r="AS20" s="48"/>
      <c r="AT20" s="48"/>
      <c r="AU20" s="48"/>
      <c r="AV20" s="48"/>
      <c r="AW20" s="48"/>
      <c r="AX20" s="48"/>
      <c r="AY20" s="48"/>
      <c r="AZ20" s="48"/>
      <c r="BA20" s="48"/>
      <c r="BB20" s="48"/>
      <c r="BC20" s="48"/>
      <c r="BD20" s="48"/>
      <c r="BE20" s="48"/>
      <c r="BF20" s="48"/>
      <c r="BG20" s="48"/>
      <c r="BH20" s="48"/>
      <c r="BI20" s="48"/>
      <c r="BJ20" s="48"/>
      <c r="BK20" s="48"/>
      <c r="BL20" s="48"/>
      <c r="BM20" s="48"/>
      <c r="BN20" s="48"/>
      <c r="BO20" s="48"/>
      <c r="BP20" s="48"/>
      <c r="BQ20" s="137" t="s">
        <v>1071</v>
      </c>
      <c r="BR20" s="138" t="s">
        <v>131</v>
      </c>
      <c r="BS20" s="138" t="s">
        <v>132</v>
      </c>
      <c r="BT20" s="48"/>
      <c r="BU20" s="48"/>
      <c r="BV20" s="60">
        <v>2016</v>
      </c>
      <c r="BW20" s="52">
        <f>IFERROR(COUNTIF(Respostas_Formatadas!$FE:$FE,CaractAmostra!$BV20),"-")</f>
        <v>48</v>
      </c>
      <c r="BX20" s="53">
        <f t="shared" si="1"/>
        <v>0.17712177121771217</v>
      </c>
      <c r="BY20" s="48"/>
      <c r="BZ20" s="48"/>
    </row>
    <row r="21" spans="2:78" ht="25.5" x14ac:dyDescent="0.2">
      <c r="B21" s="144"/>
      <c r="C21" s="311"/>
      <c r="D21" s="144"/>
      <c r="E21" s="139" t="str">
        <f>Tabulacao!D16</f>
        <v>Total</v>
      </c>
      <c r="F21" s="140">
        <f>Tabulacao!E16</f>
        <v>271</v>
      </c>
      <c r="G21" s="142">
        <f>SUM(G9:G20)</f>
        <v>672</v>
      </c>
      <c r="H21" s="141">
        <f>F21/G21</f>
        <v>0.40327380952380953</v>
      </c>
      <c r="I21" s="48"/>
      <c r="J21" s="48"/>
      <c r="K21" s="48"/>
      <c r="L21" s="48"/>
      <c r="M21" s="61" t="str">
        <f>Tabulacao!LZ5</f>
        <v>Moda</v>
      </c>
      <c r="N21" s="64">
        <f>Tabulacao!MA5</f>
        <v>27</v>
      </c>
      <c r="O21" s="63" t="s">
        <v>933</v>
      </c>
      <c r="P21" s="48"/>
      <c r="Q21" s="60" t="str">
        <f>Tabulacao!MD15</f>
        <v>Rio Real - BA</v>
      </c>
      <c r="R21" s="52">
        <f>COUNTIF(Tabulacao!$MC:$MC,CaractAmostra!Q21)</f>
        <v>3</v>
      </c>
      <c r="S21" s="53">
        <f t="shared" si="3"/>
        <v>1.107011070110701E-2</v>
      </c>
      <c r="T21" s="48"/>
      <c r="U21" s="52">
        <v>13</v>
      </c>
      <c r="V21" s="60" t="str">
        <f t="array" ref="V21">INDEX($Q$80:$Q$143,SMALL(IF($R$80:$R$143=W21,ROW($R$80:$R$143)-79),COUNTIF($W$9:W21,W21)))</f>
        <v>Floriano - PI</v>
      </c>
      <c r="W21" s="52">
        <f t="shared" si="4"/>
        <v>1</v>
      </c>
      <c r="X21" s="53">
        <f t="shared" si="5"/>
        <v>2.0833333333333332E-2</v>
      </c>
      <c r="Y21" s="48"/>
      <c r="Z21" s="60" t="str">
        <f>Tabulacao!MH15</f>
        <v>Pinhão</v>
      </c>
      <c r="AA21" s="52">
        <f>COUNTIF(Tabulacao!$MG:$MG,CaractAmostra!Z21)</f>
        <v>2</v>
      </c>
      <c r="AB21" s="53">
        <f t="shared" si="6"/>
        <v>7.3800738007380072E-3</v>
      </c>
      <c r="AC21" s="48"/>
      <c r="AD21" s="52">
        <v>13</v>
      </c>
      <c r="AE21" s="60" t="str">
        <f t="array" ref="AE21">INDEX($Z$80:$Z$143,SMALL(IF($AA$80:$AA$143=AF21,ROW($AA$80:$AA$143)-79),COUNTIF($AF$9:AF21,AF21)))</f>
        <v>Pinhão</v>
      </c>
      <c r="AF21" s="52">
        <f t="shared" si="7"/>
        <v>0</v>
      </c>
      <c r="AG21" s="53">
        <f t="shared" si="8"/>
        <v>0</v>
      </c>
      <c r="AH21" s="48"/>
      <c r="AI21" s="60" t="str">
        <f>Tabulacao!ML15</f>
        <v>Simão Dias</v>
      </c>
      <c r="AJ21" s="52">
        <f>COUNTIF(Tabulacao!$MK:$MK,CaractAmostra!AI21)</f>
        <v>2</v>
      </c>
      <c r="AK21" s="53">
        <f t="shared" si="9"/>
        <v>7.3800738007380072E-3</v>
      </c>
      <c r="AL21" s="48"/>
      <c r="AM21" s="52">
        <v>13</v>
      </c>
      <c r="AN21" s="60" t="str">
        <f t="array" ref="AN21">INDEX($AI$93:$AI$169,SMALL(IF($AJ$93:$AJ$169=AO21,ROW($AJ$93:$AJ$169)-92),COUNTIF($AO$9:AO21,AO21)))</f>
        <v>Nossa Senhora do Socorro</v>
      </c>
      <c r="AO21" s="52">
        <f t="shared" si="10"/>
        <v>0</v>
      </c>
      <c r="AP21" s="53">
        <f t="shared" si="11"/>
        <v>0</v>
      </c>
      <c r="AQ21" s="48"/>
      <c r="AR21" s="165" t="s">
        <v>1333</v>
      </c>
      <c r="AS21" s="48"/>
      <c r="AT21" s="48"/>
      <c r="AU21" s="48"/>
      <c r="AV21" s="48"/>
      <c r="AW21" s="48"/>
      <c r="AX21" s="165" t="s">
        <v>1336</v>
      </c>
      <c r="AY21" s="48"/>
      <c r="AZ21" s="48"/>
      <c r="BA21" s="48"/>
      <c r="BB21" s="48"/>
      <c r="BC21" s="48"/>
      <c r="BD21" s="165" t="s">
        <v>1338</v>
      </c>
      <c r="BE21" s="48"/>
      <c r="BF21" s="48"/>
      <c r="BG21" s="48"/>
      <c r="BH21" s="165" t="s">
        <v>1340</v>
      </c>
      <c r="BI21" s="48"/>
      <c r="BJ21" s="48"/>
      <c r="BK21" s="48"/>
      <c r="BL21" s="165" t="s">
        <v>1341</v>
      </c>
      <c r="BM21" s="48"/>
      <c r="BN21" s="48"/>
      <c r="BO21" s="48"/>
      <c r="BP21" s="48"/>
      <c r="BQ21" s="60" t="str">
        <f>Tabulacao!NS5</f>
        <v>Ensino fundamental incompleto</v>
      </c>
      <c r="BR21" s="52">
        <f>Tabulacao!NT5</f>
        <v>79</v>
      </c>
      <c r="BS21" s="53">
        <f t="shared" ref="BS21:BS27" si="25">BR21/SUM($BR$21:$BR$27)</f>
        <v>0.31225296442687744</v>
      </c>
      <c r="BT21" s="48"/>
      <c r="BU21" s="48"/>
      <c r="BV21" s="60">
        <v>2017</v>
      </c>
      <c r="BW21" s="52">
        <f>IFERROR(COUNTIF(Respostas_Formatadas!$FE:$FE,CaractAmostra!$BV21),"-")</f>
        <v>79</v>
      </c>
      <c r="BX21" s="53">
        <f t="shared" si="1"/>
        <v>0.29151291512915128</v>
      </c>
      <c r="BY21" s="48"/>
      <c r="BZ21" s="48"/>
    </row>
    <row r="22" spans="2:78" x14ac:dyDescent="0.2">
      <c r="B22" s="144"/>
      <c r="C22" s="311"/>
      <c r="D22" s="144"/>
      <c r="E22" s="48"/>
      <c r="F22" s="48"/>
      <c r="G22" s="48"/>
      <c r="H22" s="48"/>
      <c r="I22" s="48"/>
      <c r="J22" s="48"/>
      <c r="K22" s="48"/>
      <c r="L22" s="48"/>
      <c r="M22" s="61" t="str">
        <f>Tabulacao!LZ9</f>
        <v>CV</v>
      </c>
      <c r="N22" s="92">
        <f>Tabulacao!MA9</f>
        <v>0.23871087489620751</v>
      </c>
      <c r="O22" s="63" t="s">
        <v>933</v>
      </c>
      <c r="P22" s="48"/>
      <c r="Q22" s="60" t="str">
        <f>Tabulacao!MD16</f>
        <v>Salgado</v>
      </c>
      <c r="R22" s="52">
        <f>COUNTIF(Tabulacao!$MC:$MC,CaractAmostra!Q22)</f>
        <v>3</v>
      </c>
      <c r="S22" s="53">
        <f t="shared" si="3"/>
        <v>1.107011070110701E-2</v>
      </c>
      <c r="T22" s="48"/>
      <c r="U22" s="52">
        <v>14</v>
      </c>
      <c r="V22" s="60" t="str">
        <f t="array" ref="V22">INDEX($Q$80:$Q$143,SMALL(IF($R$80:$R$143=W22,ROW($R$80:$R$143)-79),COUNTIF($W$9:W22,W22)))</f>
        <v>Jeremoabo - BA</v>
      </c>
      <c r="W22" s="52">
        <f t="shared" si="4"/>
        <v>1</v>
      </c>
      <c r="X22" s="53">
        <f t="shared" si="5"/>
        <v>2.0833333333333332E-2</v>
      </c>
      <c r="Y22" s="48"/>
      <c r="Z22" s="60" t="str">
        <f>Tabulacao!MH16</f>
        <v>Riachão do Dantas</v>
      </c>
      <c r="AA22" s="52">
        <f>COUNTIF(Tabulacao!$MG:$MG,CaractAmostra!Z22)</f>
        <v>2</v>
      </c>
      <c r="AB22" s="53">
        <f t="shared" si="6"/>
        <v>7.3800738007380072E-3</v>
      </c>
      <c r="AC22" s="48"/>
      <c r="AD22" s="52">
        <v>14</v>
      </c>
      <c r="AE22" s="60" t="str">
        <f t="array" ref="AE22">INDEX($Z$80:$Z$143,SMALL(IF($AA$80:$AA$143=AF22,ROW($AA$80:$AA$143)-79),COUNTIF($AF$9:AF22,AF22)))</f>
        <v>Riachão do Dantas</v>
      </c>
      <c r="AF22" s="52">
        <f t="shared" si="7"/>
        <v>0</v>
      </c>
      <c r="AG22" s="53">
        <f t="shared" si="8"/>
        <v>0</v>
      </c>
      <c r="AH22" s="48"/>
      <c r="AI22" s="60" t="str">
        <f>Tabulacao!ML16</f>
        <v>Malhador</v>
      </c>
      <c r="AJ22" s="52">
        <f>COUNTIF(Tabulacao!$MK:$MK,CaractAmostra!AI22)</f>
        <v>2</v>
      </c>
      <c r="AK22" s="53">
        <f t="shared" si="9"/>
        <v>7.3800738007380072E-3</v>
      </c>
      <c r="AL22" s="48"/>
      <c r="AM22" s="52">
        <v>14</v>
      </c>
      <c r="AN22" s="60" t="str">
        <f t="array" ref="AN22">INDEX($AI$93:$AI$169,SMALL(IF($AJ$93:$AJ$169=AO22,ROW($AJ$93:$AJ$169)-92),COUNTIF($AO$9:AO22,AO22)))</f>
        <v>Lagarto</v>
      </c>
      <c r="AO22" s="52">
        <f t="shared" si="10"/>
        <v>0</v>
      </c>
      <c r="AP22" s="53">
        <f t="shared" si="11"/>
        <v>0</v>
      </c>
      <c r="AQ22" s="48"/>
      <c r="AR22" s="48"/>
      <c r="AS22" s="48"/>
      <c r="AT22" s="48"/>
      <c r="AU22" s="48"/>
      <c r="AV22" s="48"/>
      <c r="AW22" s="48"/>
      <c r="AX22" s="48"/>
      <c r="AY22" s="48"/>
      <c r="AZ22" s="48"/>
      <c r="BA22" s="48"/>
      <c r="BB22" s="48"/>
      <c r="BC22" s="48"/>
      <c r="BD22" s="48"/>
      <c r="BE22" s="48"/>
      <c r="BF22" s="48"/>
      <c r="BG22" s="48"/>
      <c r="BH22" s="48"/>
      <c r="BI22" s="48"/>
      <c r="BJ22" s="48"/>
      <c r="BK22" s="48"/>
      <c r="BL22" s="48"/>
      <c r="BM22" s="48"/>
      <c r="BN22" s="48"/>
      <c r="BO22" s="48"/>
      <c r="BP22" s="48"/>
      <c r="BQ22" s="60" t="str">
        <f>Tabulacao!NS6</f>
        <v>Ensino fundamental completo</v>
      </c>
      <c r="BR22" s="52">
        <f>Tabulacao!NT6</f>
        <v>43</v>
      </c>
      <c r="BS22" s="53">
        <f t="shared" si="25"/>
        <v>0.16996047430830039</v>
      </c>
      <c r="BT22" s="48"/>
      <c r="BU22" s="48"/>
      <c r="BV22" s="60">
        <v>2018</v>
      </c>
      <c r="BW22" s="52">
        <f>IFERROR(COUNTIF(Respostas_Formatadas!$FE:$FE,CaractAmostra!$BV22),"-")</f>
        <v>51</v>
      </c>
      <c r="BX22" s="53">
        <f t="shared" si="1"/>
        <v>0.18819188191881919</v>
      </c>
      <c r="BY22" s="48"/>
      <c r="BZ22" s="48"/>
    </row>
    <row r="23" spans="2:78" x14ac:dyDescent="0.2">
      <c r="B23" s="144"/>
      <c r="C23" s="311"/>
      <c r="D23" s="144"/>
      <c r="E23" s="48"/>
      <c r="F23" s="48"/>
      <c r="G23" s="48"/>
      <c r="H23" s="48"/>
      <c r="I23" s="48"/>
      <c r="J23" s="48"/>
      <c r="K23" s="48"/>
      <c r="L23" s="48"/>
      <c r="M23" s="48"/>
      <c r="N23" s="48"/>
      <c r="O23" s="48"/>
      <c r="P23" s="48"/>
      <c r="Q23" s="60" t="str">
        <f>Tabulacao!MD17</f>
        <v>Salvador - BA</v>
      </c>
      <c r="R23" s="52">
        <f>COUNTIF(Tabulacao!$MC:$MC,CaractAmostra!Q23)</f>
        <v>3</v>
      </c>
      <c r="S23" s="53">
        <f t="shared" si="3"/>
        <v>1.107011070110701E-2</v>
      </c>
      <c r="T23" s="48"/>
      <c r="U23" s="52">
        <v>15</v>
      </c>
      <c r="V23" s="60" t="str">
        <f t="array" ref="V23">INDEX($Q$80:$Q$143,SMALL(IF($R$80:$R$143=W23,ROW($R$80:$R$143)-79),COUNTIF($W$9:W23,W23)))</f>
        <v>Paulo Afonso - BA</v>
      </c>
      <c r="W23" s="52">
        <f t="shared" si="4"/>
        <v>1</v>
      </c>
      <c r="X23" s="53">
        <f t="shared" si="5"/>
        <v>2.0833333333333332E-2</v>
      </c>
      <c r="Y23" s="48"/>
      <c r="Z23" s="60" t="str">
        <f>Tabulacao!MH17</f>
        <v>Tobias Barreto</v>
      </c>
      <c r="AA23" s="52">
        <f>COUNTIF(Tabulacao!$MG:$MG,CaractAmostra!Z23)</f>
        <v>2</v>
      </c>
      <c r="AB23" s="53">
        <f t="shared" si="6"/>
        <v>7.3800738007380072E-3</v>
      </c>
      <c r="AC23" s="48"/>
      <c r="AD23" s="52">
        <v>15</v>
      </c>
      <c r="AE23" s="60" t="str">
        <f t="array" ref="AE23">INDEX($Z$80:$Z$143,SMALL(IF($AA$80:$AA$143=AF23,ROW($AA$80:$AA$143)-79),COUNTIF($AF$9:AF23,AF23)))</f>
        <v>Tobias Barreto</v>
      </c>
      <c r="AF23" s="52">
        <f t="shared" si="7"/>
        <v>0</v>
      </c>
      <c r="AG23" s="53">
        <f t="shared" si="8"/>
        <v>0</v>
      </c>
      <c r="AH23" s="48"/>
      <c r="AI23" s="60" t="str">
        <f>Tabulacao!ML17</f>
        <v>Pinhão</v>
      </c>
      <c r="AJ23" s="52">
        <f>COUNTIF(Tabulacao!$MK:$MK,CaractAmostra!AI23)</f>
        <v>2</v>
      </c>
      <c r="AK23" s="53">
        <f t="shared" si="9"/>
        <v>7.3800738007380072E-3</v>
      </c>
      <c r="AL23" s="48"/>
      <c r="AM23" s="52">
        <v>15</v>
      </c>
      <c r="AN23" s="60" t="str">
        <f t="array" ref="AN23">INDEX($AI$93:$AI$169,SMALL(IF($AJ$93:$AJ$169=AO23,ROW($AJ$93:$AJ$169)-92),COUNTIF($AO$9:AO23,AO23)))</f>
        <v>São Cristóvão</v>
      </c>
      <c r="AO23" s="52">
        <f t="shared" si="10"/>
        <v>0</v>
      </c>
      <c r="AP23" s="53">
        <f t="shared" si="11"/>
        <v>0</v>
      </c>
      <c r="AQ23" s="307" t="s">
        <v>1159</v>
      </c>
      <c r="AR23" s="261" t="s">
        <v>125</v>
      </c>
      <c r="AS23" s="48"/>
      <c r="AT23" s="48"/>
      <c r="AU23" s="48"/>
      <c r="AV23" s="48"/>
      <c r="AW23" s="307" t="s">
        <v>1159</v>
      </c>
      <c r="AX23" s="261" t="s">
        <v>125</v>
      </c>
      <c r="AY23" s="48"/>
      <c r="AZ23" s="48"/>
      <c r="BA23" s="48"/>
      <c r="BB23" s="48"/>
      <c r="BC23" s="307" t="s">
        <v>1159</v>
      </c>
      <c r="BD23" s="261" t="s">
        <v>119</v>
      </c>
      <c r="BE23" s="48"/>
      <c r="BF23" s="48"/>
      <c r="BG23" s="307" t="s">
        <v>1159</v>
      </c>
      <c r="BH23" s="261" t="s">
        <v>126</v>
      </c>
      <c r="BI23" s="48"/>
      <c r="BJ23" s="48"/>
      <c r="BK23" s="307" t="s">
        <v>1159</v>
      </c>
      <c r="BL23" s="261" t="s">
        <v>122</v>
      </c>
      <c r="BM23" s="48"/>
      <c r="BN23" s="48"/>
      <c r="BO23" s="48"/>
      <c r="BP23" s="48"/>
      <c r="BQ23" s="60" t="str">
        <f>Tabulacao!NS7</f>
        <v>Ensino médio incompleto</v>
      </c>
      <c r="BR23" s="52">
        <f>Tabulacao!NT7</f>
        <v>13</v>
      </c>
      <c r="BS23" s="53">
        <f t="shared" si="25"/>
        <v>5.1383399209486168E-2</v>
      </c>
      <c r="BT23" s="48"/>
      <c r="BU23" s="48"/>
      <c r="BV23" s="93" t="s">
        <v>621</v>
      </c>
      <c r="BW23" s="94">
        <f>SUM(BW9:BW22)</f>
        <v>271</v>
      </c>
      <c r="BX23" s="95">
        <f>SUM(BX16:BX22)</f>
        <v>0.91512915129151284</v>
      </c>
      <c r="BY23" s="48"/>
      <c r="BZ23" s="48"/>
    </row>
    <row r="24" spans="2:78" ht="25.5" x14ac:dyDescent="0.2">
      <c r="B24" s="144"/>
      <c r="C24" s="311"/>
      <c r="D24" s="144"/>
      <c r="E24" s="146" t="s">
        <v>1156</v>
      </c>
      <c r="F24" s="48"/>
      <c r="G24" s="48"/>
      <c r="H24" s="48"/>
      <c r="I24" s="48"/>
      <c r="J24" s="48"/>
      <c r="K24" s="48"/>
      <c r="L24" s="48"/>
      <c r="M24" s="48"/>
      <c r="N24" s="48"/>
      <c r="O24" s="48"/>
      <c r="P24" s="48"/>
      <c r="Q24" s="60" t="str">
        <f>Tabulacao!MD18</f>
        <v>Areia Branca</v>
      </c>
      <c r="R24" s="52">
        <f>COUNTIF(Tabulacao!$MC:$MC,CaractAmostra!Q24)</f>
        <v>2</v>
      </c>
      <c r="S24" s="53">
        <f t="shared" si="3"/>
        <v>7.3800738007380072E-3</v>
      </c>
      <c r="T24" s="48"/>
      <c r="U24" s="52">
        <v>16</v>
      </c>
      <c r="V24" s="60" t="str">
        <f t="array" ref="V24">INDEX($Q$80:$Q$143,SMALL(IF($R$80:$R$143=W24,ROW($R$80:$R$143)-79),COUNTIF($W$9:W24,W24)))</f>
        <v>Recife - PE</v>
      </c>
      <c r="W24" s="52">
        <f t="shared" si="4"/>
        <v>1</v>
      </c>
      <c r="X24" s="53">
        <f t="shared" si="5"/>
        <v>2.0833333333333332E-2</v>
      </c>
      <c r="Y24" s="48"/>
      <c r="Z24" s="60" t="str">
        <f>Tabulacao!MH18</f>
        <v>Nossa Senhora das Dores</v>
      </c>
      <c r="AA24" s="52">
        <f>COUNTIF(Tabulacao!$MG:$MG,CaractAmostra!Z24)</f>
        <v>2</v>
      </c>
      <c r="AB24" s="53">
        <f t="shared" si="6"/>
        <v>7.3800738007380072E-3</v>
      </c>
      <c r="AC24" s="48"/>
      <c r="AD24" s="52">
        <v>16</v>
      </c>
      <c r="AE24" s="60" t="str">
        <f t="array" ref="AE24">INDEX($Z$80:$Z$143,SMALL(IF($AA$80:$AA$143=AF24,ROW($AA$80:$AA$143)-79),COUNTIF($AF$9:AF24,AF24)))</f>
        <v>Nossa Senhora das Dores</v>
      </c>
      <c r="AF24" s="52">
        <f t="shared" si="7"/>
        <v>0</v>
      </c>
      <c r="AG24" s="53">
        <f t="shared" si="8"/>
        <v>0</v>
      </c>
      <c r="AH24" s="48"/>
      <c r="AI24" s="60" t="str">
        <f>Tabulacao!ML18</f>
        <v>Nossa Senhora das Dores</v>
      </c>
      <c r="AJ24" s="52">
        <f>COUNTIF(Tabulacao!$MK:$MK,CaractAmostra!AI24)</f>
        <v>2</v>
      </c>
      <c r="AK24" s="53">
        <f t="shared" si="9"/>
        <v>7.3800738007380072E-3</v>
      </c>
      <c r="AL24" s="48"/>
      <c r="AM24" s="52">
        <v>16</v>
      </c>
      <c r="AN24" s="60" t="str">
        <f t="array" ref="AN24">INDEX($AI$93:$AI$169,SMALL(IF($AJ$93:$AJ$169=AO24,ROW($AJ$93:$AJ$169)-92),COUNTIF($AO$9:AO24,AO24)))</f>
        <v>Nossa Senhora da Glória</v>
      </c>
      <c r="AO24" s="52">
        <f t="shared" si="10"/>
        <v>0</v>
      </c>
      <c r="AP24" s="53">
        <f t="shared" si="11"/>
        <v>0</v>
      </c>
      <c r="AQ24" s="48"/>
      <c r="AR24" s="194" t="s">
        <v>1332</v>
      </c>
      <c r="AS24" s="288" t="s">
        <v>270</v>
      </c>
      <c r="AT24" s="288" t="s">
        <v>271</v>
      </c>
      <c r="AU24" s="288" t="s">
        <v>134</v>
      </c>
      <c r="AV24" s="288" t="s">
        <v>621</v>
      </c>
      <c r="AW24" s="48"/>
      <c r="AX24" s="194" t="s">
        <v>1335</v>
      </c>
      <c r="AY24" s="288" t="s">
        <v>270</v>
      </c>
      <c r="AZ24" s="288" t="s">
        <v>271</v>
      </c>
      <c r="BA24" s="288" t="s">
        <v>134</v>
      </c>
      <c r="BB24" s="288" t="s">
        <v>621</v>
      </c>
      <c r="BC24" s="48"/>
      <c r="BD24" s="194" t="s">
        <v>1337</v>
      </c>
      <c r="BE24" s="187" t="s">
        <v>131</v>
      </c>
      <c r="BF24" s="187" t="s">
        <v>132</v>
      </c>
      <c r="BG24" s="48"/>
      <c r="BH24" s="194" t="s">
        <v>1339</v>
      </c>
      <c r="BI24" s="187" t="s">
        <v>131</v>
      </c>
      <c r="BJ24" s="187" t="s">
        <v>132</v>
      </c>
      <c r="BK24" s="48"/>
      <c r="BL24" s="194" t="s">
        <v>108</v>
      </c>
      <c r="BM24" s="187" t="s">
        <v>131</v>
      </c>
      <c r="BN24" s="187" t="s">
        <v>132</v>
      </c>
      <c r="BO24" s="48"/>
      <c r="BP24" s="48"/>
      <c r="BQ24" s="60" t="str">
        <f>Tabulacao!NS8</f>
        <v>Ensino médio completo</v>
      </c>
      <c r="BR24" s="52">
        <f>Tabulacao!NT8</f>
        <v>66</v>
      </c>
      <c r="BS24" s="53">
        <f t="shared" si="25"/>
        <v>0.2608695652173913</v>
      </c>
      <c r="BT24" s="48"/>
      <c r="BU24" s="48"/>
      <c r="BV24" s="48"/>
      <c r="BW24" s="48"/>
      <c r="BX24" s="48"/>
      <c r="BY24" s="48"/>
      <c r="BZ24" s="48"/>
    </row>
    <row r="25" spans="2:78" x14ac:dyDescent="0.2">
      <c r="B25" s="144"/>
      <c r="C25" s="311"/>
      <c r="D25" s="144"/>
      <c r="E25" s="48"/>
      <c r="F25" s="48"/>
      <c r="G25" s="48"/>
      <c r="H25" s="48"/>
      <c r="I25" s="48"/>
      <c r="J25" s="48"/>
      <c r="K25" s="48"/>
      <c r="L25" s="48"/>
      <c r="M25" s="146" t="s">
        <v>1160</v>
      </c>
      <c r="N25" s="48"/>
      <c r="O25" s="48"/>
      <c r="P25" s="48"/>
      <c r="Q25" s="60" t="str">
        <f>Tabulacao!MD19</f>
        <v>Belém - PA</v>
      </c>
      <c r="R25" s="52">
        <f>COUNTIF(Tabulacao!$MC:$MC,CaractAmostra!Q25)</f>
        <v>2</v>
      </c>
      <c r="S25" s="53">
        <f t="shared" si="3"/>
        <v>7.3800738007380072E-3</v>
      </c>
      <c r="T25" s="48"/>
      <c r="U25" s="52">
        <v>17</v>
      </c>
      <c r="V25" s="60" t="str">
        <f t="array" ref="V25">INDEX($Q$80:$Q$143,SMALL(IF($R$80:$R$143=W25,ROW($R$80:$R$143)-79),COUNTIF($W$9:W25,W25)))</f>
        <v>Teixeira de Freitas - BA</v>
      </c>
      <c r="W25" s="52">
        <f t="shared" si="4"/>
        <v>1</v>
      </c>
      <c r="X25" s="53">
        <f t="shared" si="5"/>
        <v>2.0833333333333332E-2</v>
      </c>
      <c r="Y25" s="48"/>
      <c r="Z25" s="60" t="str">
        <f>Tabulacao!MH19</f>
        <v>Campo do Brito</v>
      </c>
      <c r="AA25" s="52">
        <f>COUNTIF(Tabulacao!$MG:$MG,CaractAmostra!Z25)</f>
        <v>2</v>
      </c>
      <c r="AB25" s="53">
        <f t="shared" si="6"/>
        <v>7.3800738007380072E-3</v>
      </c>
      <c r="AC25" s="48"/>
      <c r="AD25" s="52">
        <v>17</v>
      </c>
      <c r="AE25" s="60" t="str">
        <f t="array" ref="AE25">INDEX($Z$80:$Z$143,SMALL(IF($AA$80:$AA$143=AF25,ROW($AA$80:$AA$143)-79),COUNTIF($AF$9:AF25,AF25)))</f>
        <v>Campo do Brito</v>
      </c>
      <c r="AF25" s="52">
        <f t="shared" si="7"/>
        <v>0</v>
      </c>
      <c r="AG25" s="53">
        <f t="shared" si="8"/>
        <v>0</v>
      </c>
      <c r="AH25" s="48"/>
      <c r="AI25" s="60" t="str">
        <f>Tabulacao!ML19</f>
        <v>Pedra Mole</v>
      </c>
      <c r="AJ25" s="52">
        <f>COUNTIF(Tabulacao!$MK:$MK,CaractAmostra!AI25)</f>
        <v>2</v>
      </c>
      <c r="AK25" s="53">
        <f t="shared" si="9"/>
        <v>7.3800738007380072E-3</v>
      </c>
      <c r="AL25" s="48"/>
      <c r="AM25" s="52">
        <v>17</v>
      </c>
      <c r="AN25" s="60" t="str">
        <f t="array" ref="AN25">INDEX($AI$93:$AI$169,SMALL(IF($AJ$93:$AJ$169=AO25,ROW($AJ$93:$AJ$169)-92),COUNTIF($AO$9:AO25,AO25)))</f>
        <v>Barra dos Coqueiros</v>
      </c>
      <c r="AO25" s="52">
        <f t="shared" si="10"/>
        <v>0</v>
      </c>
      <c r="AP25" s="53">
        <f t="shared" si="11"/>
        <v>0</v>
      </c>
      <c r="AQ25" s="48"/>
      <c r="AR25" s="289" t="s">
        <v>1329</v>
      </c>
      <c r="AS25" s="291">
        <f>COUNTIFS(Respostas_Formatadas!$C:$C,CaractAmostra!$AR$23,Respostas_Formatadas!$EK:$EK,CaractAmostra!AS$24)</f>
        <v>0</v>
      </c>
      <c r="AT25" s="291">
        <f>COUNTIFS(Respostas_Formatadas!$C:$C,CaractAmostra!$AR$23,Respostas_Formatadas!$EK:$EK,CaractAmostra!AT$24)</f>
        <v>2</v>
      </c>
      <c r="AU25" s="291">
        <f>COUNTIFS(Respostas_Formatadas!$C:$C,CaractAmostra!$AR$23,Respostas_Formatadas!$EK:$EK,CaractAmostra!AU$24)</f>
        <v>33</v>
      </c>
      <c r="AV25" s="292">
        <f>SUM(AS25:AU25)</f>
        <v>35</v>
      </c>
      <c r="AW25" s="48"/>
      <c r="AX25" s="289" t="s">
        <v>1329</v>
      </c>
      <c r="AY25" s="291">
        <f>COUNTIFS(Respostas_Formatadas!$C:$C,CaractAmostra!$AX$23,Respostas_Formatadas!$EN:$EN,CaractAmostra!AY$24)</f>
        <v>0</v>
      </c>
      <c r="AZ25" s="291">
        <f>COUNTIFS(Respostas_Formatadas!$C:$C,CaractAmostra!$AX$23,Respostas_Formatadas!$EN:$EN,CaractAmostra!AZ$24)</f>
        <v>0</v>
      </c>
      <c r="BA25" s="291">
        <f>COUNTIFS(Respostas_Formatadas!$C:$C,CaractAmostra!$AX$23,Respostas_Formatadas!$EN:$EN,CaractAmostra!BA$24)</f>
        <v>35</v>
      </c>
      <c r="BB25" s="292">
        <f>SUM(AY25:BA25)</f>
        <v>35</v>
      </c>
      <c r="BC25" s="48"/>
      <c r="BD25" s="289" t="s">
        <v>272</v>
      </c>
      <c r="BE25" s="52">
        <f>COUNTIFS(Respostas_Formatadas!$C:$C,CaractAmostra!$BD$23,Respostas_Formatadas!$ER:$ER,CaractAmostra!BD25)</f>
        <v>7</v>
      </c>
      <c r="BF25" s="53">
        <f>BE25/$BE$31</f>
        <v>0.14583333333333334</v>
      </c>
      <c r="BG25" s="48"/>
      <c r="BH25" s="289" t="s">
        <v>277</v>
      </c>
      <c r="BI25" s="52">
        <f>COUNTIFS(Respostas_Formatadas!$C:$C,CaractAmostra!$BH$23,Respostas_Formatadas!$ET:$ET,CaractAmostra!BH25)</f>
        <v>1</v>
      </c>
      <c r="BJ25" s="53">
        <f>BI25/$BI$30</f>
        <v>5.8823529411764705E-2</v>
      </c>
      <c r="BK25" s="48"/>
      <c r="BL25" s="289" t="s">
        <v>279</v>
      </c>
      <c r="BM25" s="52">
        <f>COUNTIFS(Respostas_Formatadas!$C:$C,CaractAmostra!$BL$23,Respostas_Formatadas!$EU:$EU,CaractAmostra!BL25)</f>
        <v>2</v>
      </c>
      <c r="BN25" s="53">
        <f>BM25/$BM$29</f>
        <v>9.0909090909090912E-2</v>
      </c>
      <c r="BO25" s="48"/>
      <c r="BP25" s="48"/>
      <c r="BQ25" s="60" t="str">
        <f>Tabulacao!NS9</f>
        <v>Ensino superior incompleto</v>
      </c>
      <c r="BR25" s="52">
        <f>Tabulacao!NT9</f>
        <v>7</v>
      </c>
      <c r="BS25" s="53">
        <f t="shared" si="25"/>
        <v>2.766798418972332E-2</v>
      </c>
      <c r="BT25" s="48"/>
      <c r="BU25" s="48"/>
      <c r="BV25" s="137" t="s">
        <v>1063</v>
      </c>
      <c r="BW25" s="138" t="s">
        <v>132</v>
      </c>
      <c r="BX25" s="138" t="s">
        <v>1163</v>
      </c>
      <c r="BY25" s="48"/>
      <c r="BZ25" s="48"/>
    </row>
    <row r="26" spans="2:78" ht="25.5" x14ac:dyDescent="0.2">
      <c r="B26" s="144"/>
      <c r="C26" s="311"/>
      <c r="D26" s="144"/>
      <c r="E26" s="137" t="s">
        <v>764</v>
      </c>
      <c r="F26" s="138" t="str">
        <f>F8</f>
        <v>Egressos Participantes</v>
      </c>
      <c r="G26" s="138" t="str">
        <f>G8</f>
        <v>Egressos
SIGAA</v>
      </c>
      <c r="H26" s="138" t="str">
        <f>H8</f>
        <v>%</v>
      </c>
      <c r="I26" s="48"/>
      <c r="J26" s="48"/>
      <c r="K26" s="48"/>
      <c r="L26" s="48"/>
      <c r="M26" s="48"/>
      <c r="N26" s="48"/>
      <c r="O26" s="48"/>
      <c r="P26" s="48"/>
      <c r="Q26" s="60" t="str">
        <f>Tabulacao!MD20</f>
        <v>Boquim</v>
      </c>
      <c r="R26" s="52">
        <f>COUNTIF(Tabulacao!$MC:$MC,CaractAmostra!Q26)</f>
        <v>2</v>
      </c>
      <c r="S26" s="53">
        <f t="shared" si="3"/>
        <v>7.3800738007380072E-3</v>
      </c>
      <c r="T26" s="48"/>
      <c r="U26" s="52">
        <v>18</v>
      </c>
      <c r="V26" s="60" t="str">
        <f t="array" ref="V26">INDEX($Q$80:$Q$143,SMALL(IF($R$80:$R$143=W26,ROW($R$80:$R$143)-79),COUNTIF($W$9:W26,W26)))</f>
        <v>Verdejante - PE</v>
      </c>
      <c r="W26" s="52">
        <f t="shared" si="4"/>
        <v>1</v>
      </c>
      <c r="X26" s="53">
        <f t="shared" si="5"/>
        <v>2.0833333333333332E-2</v>
      </c>
      <c r="Y26" s="48"/>
      <c r="Z26" s="60" t="str">
        <f>Tabulacao!MH20</f>
        <v>Boquim</v>
      </c>
      <c r="AA26" s="52">
        <f>COUNTIF(Tabulacao!$MG:$MG,CaractAmostra!Z26)</f>
        <v>1</v>
      </c>
      <c r="AB26" s="53">
        <f t="shared" si="6"/>
        <v>3.6900369003690036E-3</v>
      </c>
      <c r="AC26" s="48"/>
      <c r="AD26" s="52">
        <v>18</v>
      </c>
      <c r="AE26" s="60" t="str">
        <f t="array" ref="AE26">INDEX($Z$80:$Z$143,SMALL(IF($AA$80:$AA$143=AF26,ROW($AA$80:$AA$143)-79),COUNTIF($AF$9:AF26,AF26)))</f>
        <v>Boquim</v>
      </c>
      <c r="AF26" s="52">
        <f t="shared" si="7"/>
        <v>0</v>
      </c>
      <c r="AG26" s="53">
        <f t="shared" si="8"/>
        <v>0</v>
      </c>
      <c r="AH26" s="48"/>
      <c r="AI26" s="60" t="str">
        <f>Tabulacao!ML20</f>
        <v>São Domingos</v>
      </c>
      <c r="AJ26" s="52">
        <f>COUNTIF(Tabulacao!$MK:$MK,CaractAmostra!AI26)</f>
        <v>2</v>
      </c>
      <c r="AK26" s="53">
        <f t="shared" si="9"/>
        <v>7.3800738007380072E-3</v>
      </c>
      <c r="AL26" s="48"/>
      <c r="AM26" s="52">
        <v>18</v>
      </c>
      <c r="AN26" s="60" t="str">
        <f t="array" ref="AN26">INDEX($AI$93:$AI$169,SMALL(IF($AJ$93:$AJ$169=AO26,ROW($AJ$93:$AJ$169)-92),COUNTIF($AO$9:AO26,AO26)))</f>
        <v>Areia Branca</v>
      </c>
      <c r="AO26" s="52">
        <f t="shared" si="10"/>
        <v>0</v>
      </c>
      <c r="AP26" s="53">
        <f t="shared" si="11"/>
        <v>0</v>
      </c>
      <c r="AQ26" s="48"/>
      <c r="AR26" s="289" t="s">
        <v>1330</v>
      </c>
      <c r="AS26" s="291">
        <f>COUNTIFS(Respostas_Formatadas!$C:$C,CaractAmostra!$AR$23,Respostas_Formatadas!$EL:$EL,CaractAmostra!AS$24)</f>
        <v>2</v>
      </c>
      <c r="AT26" s="291">
        <f>COUNTIFS(Respostas_Formatadas!$C:$C,CaractAmostra!$AR$23,Respostas_Formatadas!$EL:$EL,CaractAmostra!AT$24)</f>
        <v>1</v>
      </c>
      <c r="AU26" s="291">
        <f>COUNTIFS(Respostas_Formatadas!$C:$C,CaractAmostra!$AR$23,Respostas_Formatadas!$EL:$EL,CaractAmostra!AU$24)</f>
        <v>32</v>
      </c>
      <c r="AV26" s="292">
        <f>SUM(AS26:AU26)</f>
        <v>35</v>
      </c>
      <c r="AW26" s="48"/>
      <c r="AX26" s="289" t="s">
        <v>1330</v>
      </c>
      <c r="AY26" s="291">
        <f>COUNTIFS(Respostas_Formatadas!$C:$C,CaractAmostra!$AX$23,Respostas_Formatadas!$EO:$EO,CaractAmostra!AY$24)</f>
        <v>3</v>
      </c>
      <c r="AZ26" s="291">
        <f>COUNTIFS(Respostas_Formatadas!$C:$C,CaractAmostra!$AX$23,Respostas_Formatadas!$EO:$EO,CaractAmostra!AZ$24)</f>
        <v>0</v>
      </c>
      <c r="BA26" s="291">
        <f>COUNTIFS(Respostas_Formatadas!$C:$C,CaractAmostra!$AX$23,Respostas_Formatadas!$EO:$EO,CaractAmostra!BA$24)</f>
        <v>32</v>
      </c>
      <c r="BB26" s="292">
        <f t="shared" ref="BB26:BB27" si="26">SUM(AY26:BA26)</f>
        <v>35</v>
      </c>
      <c r="BC26" s="48"/>
      <c r="BD26" s="289" t="s">
        <v>273</v>
      </c>
      <c r="BE26" s="52">
        <f>COUNTIFS(Respostas_Formatadas!$C:$C,CaractAmostra!$BD$23,Respostas_Formatadas!$ER:$ER,CaractAmostra!BD26)</f>
        <v>9</v>
      </c>
      <c r="BF26" s="53">
        <f t="shared" ref="BF26:BF30" si="27">BE26/$BE$31</f>
        <v>0.1875</v>
      </c>
      <c r="BG26" s="48"/>
      <c r="BH26" s="289" t="s">
        <v>278</v>
      </c>
      <c r="BI26" s="52">
        <f>COUNTIFS(Respostas_Formatadas!$C:$C,CaractAmostra!$BH$23,Respostas_Formatadas!$ET:$ET,CaractAmostra!BH26)</f>
        <v>2</v>
      </c>
      <c r="BJ26" s="53">
        <f t="shared" ref="BJ26:BJ29" si="28">BI26/$BI$30</f>
        <v>0.11764705882352941</v>
      </c>
      <c r="BK26" s="48"/>
      <c r="BL26" s="289" t="s">
        <v>280</v>
      </c>
      <c r="BM26" s="52">
        <f>COUNTIFS(Respostas_Formatadas!$C:$C,CaractAmostra!$BL$23,Respostas_Formatadas!$EU:$EU,CaractAmostra!BL26)</f>
        <v>5</v>
      </c>
      <c r="BN26" s="53">
        <f t="shared" ref="BN26:BN28" si="29">BM26/$BM$29</f>
        <v>0.22727272727272727</v>
      </c>
      <c r="BO26" s="48"/>
      <c r="BP26" s="48"/>
      <c r="BQ26" s="60" t="str">
        <f>Tabulacao!NS10</f>
        <v>Ensino superior completo</v>
      </c>
      <c r="BR26" s="52">
        <f>Tabulacao!NT10</f>
        <v>28</v>
      </c>
      <c r="BS26" s="53">
        <f t="shared" si="25"/>
        <v>0.11067193675889328</v>
      </c>
      <c r="BT26" s="48"/>
      <c r="BU26" s="48"/>
      <c r="BV26" s="60">
        <v>2018</v>
      </c>
      <c r="BW26" s="53">
        <f t="shared" ref="BW26:BW39" si="30">VLOOKUP($BV26,$BV$8:$BX$22,3,FALSE)</f>
        <v>0.18819188191881919</v>
      </c>
      <c r="BX26" s="53">
        <f>BW26</f>
        <v>0.18819188191881919</v>
      </c>
      <c r="BY26" s="48"/>
      <c r="BZ26" s="48"/>
    </row>
    <row r="27" spans="2:78" x14ac:dyDescent="0.2">
      <c r="B27" s="144"/>
      <c r="C27" s="311"/>
      <c r="D27" s="144"/>
      <c r="E27" s="51" t="s">
        <v>292</v>
      </c>
      <c r="F27" s="52">
        <f>F14+F15+F16+F17+F19</f>
        <v>178</v>
      </c>
      <c r="G27" s="52">
        <f>G14+G15+G16+G17+G19</f>
        <v>474</v>
      </c>
      <c r="H27" s="53">
        <f t="shared" ref="H27:H32" si="31">F27/G27</f>
        <v>0.37552742616033757</v>
      </c>
      <c r="I27" s="48"/>
      <c r="J27" s="48"/>
      <c r="K27" s="48"/>
      <c r="L27" s="307" t="s">
        <v>1159</v>
      </c>
      <c r="M27" s="261" t="s">
        <v>130</v>
      </c>
      <c r="N27" s="48"/>
      <c r="O27" s="48"/>
      <c r="P27" s="48"/>
      <c r="Q27" s="60" t="str">
        <f>Tabulacao!MD21</f>
        <v>Irecê - BA</v>
      </c>
      <c r="R27" s="52">
        <f>COUNTIF(Tabulacao!$MC:$MC,CaractAmostra!Q27)</f>
        <v>2</v>
      </c>
      <c r="S27" s="53">
        <f t="shared" si="3"/>
        <v>7.3800738007380072E-3</v>
      </c>
      <c r="T27" s="48"/>
      <c r="U27" s="52">
        <v>19</v>
      </c>
      <c r="V27" s="60" t="str">
        <f t="array" ref="V27">INDEX($Q$80:$Q$143,SMALL(IF($R$80:$R$143=W27,ROW($R$80:$R$143)-79),COUNTIF($W$9:W27,W27)))</f>
        <v>Vitória da Conquista - BA</v>
      </c>
      <c r="W27" s="52">
        <f t="shared" si="4"/>
        <v>1</v>
      </c>
      <c r="X27" s="53">
        <f t="shared" si="5"/>
        <v>2.0833333333333332E-2</v>
      </c>
      <c r="Y27" s="48"/>
      <c r="Z27" s="60" t="str">
        <f>Tabulacao!MH21</f>
        <v>Pedra Mole</v>
      </c>
      <c r="AA27" s="52">
        <f>COUNTIF(Tabulacao!$MG:$MG,CaractAmostra!Z27)</f>
        <v>1</v>
      </c>
      <c r="AB27" s="53">
        <f t="shared" si="6"/>
        <v>3.6900369003690036E-3</v>
      </c>
      <c r="AC27" s="48"/>
      <c r="AD27" s="52">
        <v>19</v>
      </c>
      <c r="AE27" s="60" t="str">
        <f t="array" ref="AE27">INDEX($Z$80:$Z$143,SMALL(IF($AA$80:$AA$143=AF27,ROW($AA$80:$AA$143)-79),COUNTIF($AF$9:AF27,AF27)))</f>
        <v>Pedra Mole</v>
      </c>
      <c r="AF27" s="52">
        <f t="shared" si="7"/>
        <v>0</v>
      </c>
      <c r="AG27" s="53">
        <f t="shared" si="8"/>
        <v>0</v>
      </c>
      <c r="AH27" s="48"/>
      <c r="AI27" s="60" t="str">
        <f>Tabulacao!ML21</f>
        <v>Salgado</v>
      </c>
      <c r="AJ27" s="52">
        <f>COUNTIF(Tabulacao!$MK:$MK,CaractAmostra!AI27)</f>
        <v>1</v>
      </c>
      <c r="AK27" s="53">
        <f t="shared" si="9"/>
        <v>3.6900369003690036E-3</v>
      </c>
      <c r="AL27" s="48"/>
      <c r="AM27" s="52">
        <v>19</v>
      </c>
      <c r="AN27" s="60" t="str">
        <f t="array" ref="AN27">INDEX($AI$93:$AI$169,SMALL(IF($AJ$93:$AJ$169=AO27,ROW($AJ$93:$AJ$169)-92),COUNTIF($AO$9:AO27,AO27)))</f>
        <v>Simão Dias</v>
      </c>
      <c r="AO27" s="52">
        <f t="shared" si="10"/>
        <v>0</v>
      </c>
      <c r="AP27" s="53">
        <f t="shared" si="11"/>
        <v>0</v>
      </c>
      <c r="AQ27" s="48"/>
      <c r="AR27" s="289" t="s">
        <v>1331</v>
      </c>
      <c r="AS27" s="291">
        <f>COUNTIFS(Respostas_Formatadas!$C:$C,CaractAmostra!$AR$23,Respostas_Formatadas!$EM:$EM,CaractAmostra!AS$24)</f>
        <v>1</v>
      </c>
      <c r="AT27" s="291">
        <f>COUNTIFS(Respostas_Formatadas!$C:$C,CaractAmostra!$AR$23,Respostas_Formatadas!$EM:$EM,CaractAmostra!AT$24)</f>
        <v>1</v>
      </c>
      <c r="AU27" s="291">
        <f>COUNTIFS(Respostas_Formatadas!$C:$C,CaractAmostra!$AR$23,Respostas_Formatadas!$EM:$EM,CaractAmostra!AU$24)</f>
        <v>33</v>
      </c>
      <c r="AV27" s="292">
        <f>SUM(AS27:AU27)</f>
        <v>35</v>
      </c>
      <c r="AW27" s="48"/>
      <c r="AX27" s="289" t="s">
        <v>1331</v>
      </c>
      <c r="AY27" s="291">
        <f>COUNTIFS(Respostas_Formatadas!$C:$C,CaractAmostra!$AX$23,Respostas_Formatadas!$EP:$EP,CaractAmostra!AY$24)</f>
        <v>0</v>
      </c>
      <c r="AZ27" s="291">
        <f>COUNTIFS(Respostas_Formatadas!$C:$C,CaractAmostra!$AX$23,Respostas_Formatadas!$EP:$EP,CaractAmostra!AZ$24)</f>
        <v>0</v>
      </c>
      <c r="BA27" s="291">
        <f>COUNTIFS(Respostas_Formatadas!$C:$C,CaractAmostra!$AX$23,Respostas_Formatadas!$EP:$EP,CaractAmostra!BA$24)</f>
        <v>35</v>
      </c>
      <c r="BB27" s="292">
        <f t="shared" si="26"/>
        <v>35</v>
      </c>
      <c r="BC27" s="48"/>
      <c r="BD27" s="289" t="s">
        <v>274</v>
      </c>
      <c r="BE27" s="52">
        <f>COUNTIFS(Respostas_Formatadas!$C:$C,CaractAmostra!$BD$23,Respostas_Formatadas!$ER:$ER,CaractAmostra!BD27)</f>
        <v>3</v>
      </c>
      <c r="BF27" s="53">
        <f t="shared" si="27"/>
        <v>6.25E-2</v>
      </c>
      <c r="BG27" s="48"/>
      <c r="BH27" s="289" t="s">
        <v>274</v>
      </c>
      <c r="BI27" s="52">
        <f>COUNTIFS(Respostas_Formatadas!$C:$C,CaractAmostra!$BH$23,Respostas_Formatadas!$ET:$ET,CaractAmostra!BH27)</f>
        <v>4</v>
      </c>
      <c r="BJ27" s="53">
        <f t="shared" si="28"/>
        <v>0.23529411764705882</v>
      </c>
      <c r="BK27" s="48"/>
      <c r="BL27" s="289" t="s">
        <v>281</v>
      </c>
      <c r="BM27" s="52">
        <f>COUNTIFS(Respostas_Formatadas!$C:$C,CaractAmostra!$BL$23,Respostas_Formatadas!$EU:$EU,CaractAmostra!BL27)</f>
        <v>0</v>
      </c>
      <c r="BN27" s="53">
        <f t="shared" si="29"/>
        <v>0</v>
      </c>
      <c r="BO27" s="48"/>
      <c r="BP27" s="48"/>
      <c r="BQ27" s="60" t="str">
        <f>Tabulacao!NS11</f>
        <v>Pós-graduação</v>
      </c>
      <c r="BR27" s="52">
        <f>Tabulacao!NT11</f>
        <v>17</v>
      </c>
      <c r="BS27" s="53">
        <f t="shared" si="25"/>
        <v>6.7193675889328064E-2</v>
      </c>
      <c r="BT27" s="48"/>
      <c r="BU27" s="48"/>
      <c r="BV27" s="60">
        <v>2017</v>
      </c>
      <c r="BW27" s="53">
        <f t="shared" si="30"/>
        <v>0.29151291512915128</v>
      </c>
      <c r="BX27" s="53">
        <f t="shared" ref="BX27:BX39" si="32">BX26+BW27</f>
        <v>0.47970479704797048</v>
      </c>
      <c r="BY27" s="48"/>
      <c r="BZ27" s="48"/>
    </row>
    <row r="28" spans="2:78" x14ac:dyDescent="0.2">
      <c r="B28" s="144"/>
      <c r="C28" s="311"/>
      <c r="D28" s="144"/>
      <c r="E28" s="51" t="s">
        <v>322</v>
      </c>
      <c r="F28" s="52">
        <f>F12</f>
        <v>17</v>
      </c>
      <c r="G28" s="52">
        <f>G12</f>
        <v>36</v>
      </c>
      <c r="H28" s="53">
        <f t="shared" si="31"/>
        <v>0.47222222222222221</v>
      </c>
      <c r="I28" s="48"/>
      <c r="J28" s="48"/>
      <c r="K28" s="48"/>
      <c r="L28" s="48"/>
      <c r="M28" s="194" t="str">
        <f>M8</f>
        <v>Características da amostra</v>
      </c>
      <c r="N28" s="187" t="str">
        <f>N8</f>
        <v>f</v>
      </c>
      <c r="O28" s="187" t="str">
        <f>O8</f>
        <v>%</v>
      </c>
      <c r="P28" s="48"/>
      <c r="Q28" s="60" t="str">
        <f>Tabulacao!MD22</f>
        <v>Itaberaba - BA</v>
      </c>
      <c r="R28" s="52">
        <f>COUNTIF(Tabulacao!$MC:$MC,CaractAmostra!Q28)</f>
        <v>2</v>
      </c>
      <c r="S28" s="53">
        <f t="shared" si="3"/>
        <v>7.3800738007380072E-3</v>
      </c>
      <c r="T28" s="48"/>
      <c r="U28" s="52">
        <v>20</v>
      </c>
      <c r="V28" s="60" t="str">
        <f t="array" ref="V28">INDEX($Q$80:$Q$143,SMALL(IF($R$80:$R$143=W28,ROW($R$80:$R$143)-79),COUNTIF($W$9:W28,W28)))</f>
        <v>Lagarto</v>
      </c>
      <c r="W28" s="52">
        <f t="shared" si="4"/>
        <v>0</v>
      </c>
      <c r="X28" s="53">
        <f t="shared" si="5"/>
        <v>0</v>
      </c>
      <c r="Y28" s="48"/>
      <c r="Z28" s="60" t="str">
        <f>Tabulacao!MH22</f>
        <v>São Domingos</v>
      </c>
      <c r="AA28" s="52">
        <f>COUNTIF(Tabulacao!$MG:$MG,CaractAmostra!Z28)</f>
        <v>1</v>
      </c>
      <c r="AB28" s="53">
        <f t="shared" si="6"/>
        <v>3.6900369003690036E-3</v>
      </c>
      <c r="AC28" s="48"/>
      <c r="AD28" s="52">
        <v>20</v>
      </c>
      <c r="AE28" s="60" t="str">
        <f t="array" ref="AE28">INDEX($Z$80:$Z$143,SMALL(IF($AA$80:$AA$143=AF28,ROW($AA$80:$AA$143)-79),COUNTIF($AF$9:AF28,AF28)))</f>
        <v>São Domingos</v>
      </c>
      <c r="AF28" s="52">
        <f t="shared" si="7"/>
        <v>0</v>
      </c>
      <c r="AG28" s="53">
        <f t="shared" si="8"/>
        <v>0</v>
      </c>
      <c r="AH28" s="48"/>
      <c r="AI28" s="60" t="str">
        <f>Tabulacao!ML22</f>
        <v>Riachão do Dantas</v>
      </c>
      <c r="AJ28" s="52">
        <f>COUNTIF(Tabulacao!$MK:$MK,CaractAmostra!AI28)</f>
        <v>1</v>
      </c>
      <c r="AK28" s="53">
        <f t="shared" si="9"/>
        <v>3.6900369003690036E-3</v>
      </c>
      <c r="AL28" s="48"/>
      <c r="AM28" s="52">
        <v>20</v>
      </c>
      <c r="AN28" s="60" t="str">
        <f t="array" ref="AN28">INDEX($AI$93:$AI$169,SMALL(IF($AJ$93:$AJ$169=AO28,ROW($AJ$93:$AJ$169)-92),COUNTIF($AO$9:AO28,AO28)))</f>
        <v>Malhador</v>
      </c>
      <c r="AO28" s="52">
        <f t="shared" si="10"/>
        <v>0</v>
      </c>
      <c r="AP28" s="53">
        <f t="shared" si="11"/>
        <v>0</v>
      </c>
      <c r="AQ28" s="48"/>
      <c r="AR28" s="287" t="s">
        <v>621</v>
      </c>
      <c r="AS28" s="290">
        <f>SUM(AS25:AS27)</f>
        <v>3</v>
      </c>
      <c r="AT28" s="290">
        <f t="shared" ref="AT28" si="33">SUM(AT25:AT27)</f>
        <v>4</v>
      </c>
      <c r="AU28" s="290">
        <f>AV25-AS28-AT28</f>
        <v>28</v>
      </c>
      <c r="AV28" s="290">
        <f>SUM(AS28:AU28)</f>
        <v>35</v>
      </c>
      <c r="AW28" s="48"/>
      <c r="AX28" s="287" t="s">
        <v>621</v>
      </c>
      <c r="AY28" s="290">
        <f>SUM(AY25:AY27)</f>
        <v>3</v>
      </c>
      <c r="AZ28" s="290">
        <f>SUM(AZ25:AZ27)</f>
        <v>0</v>
      </c>
      <c r="BA28" s="290">
        <f>BB25-AY28-AZ28</f>
        <v>32</v>
      </c>
      <c r="BB28" s="290">
        <f>SUM(AY28:BA28)</f>
        <v>35</v>
      </c>
      <c r="BC28" s="48"/>
      <c r="BD28" s="289" t="s">
        <v>275</v>
      </c>
      <c r="BE28" s="52">
        <f>COUNTIFS(Respostas_Formatadas!$C:$C,CaractAmostra!$BD$23,Respostas_Formatadas!$ER:$ER,CaractAmostra!BD28)</f>
        <v>23</v>
      </c>
      <c r="BF28" s="53">
        <f t="shared" si="27"/>
        <v>0.47916666666666669</v>
      </c>
      <c r="BG28" s="48"/>
      <c r="BH28" s="289" t="s">
        <v>275</v>
      </c>
      <c r="BI28" s="52">
        <f>COUNTIFS(Respostas_Formatadas!$C:$C,CaractAmostra!$BH$23,Respostas_Formatadas!$ET:$ET,CaractAmostra!BH28)</f>
        <v>9</v>
      </c>
      <c r="BJ28" s="53">
        <f t="shared" si="28"/>
        <v>0.52941176470588236</v>
      </c>
      <c r="BK28" s="48"/>
      <c r="BL28" s="289" t="s">
        <v>134</v>
      </c>
      <c r="BM28" s="52">
        <f>COUNTIFS(Respostas_Formatadas!$C:$C,CaractAmostra!$BL$23,Respostas_Formatadas!$EU:$EU,CaractAmostra!BL28)</f>
        <v>15</v>
      </c>
      <c r="BN28" s="53">
        <f t="shared" si="29"/>
        <v>0.68181818181818177</v>
      </c>
      <c r="BO28" s="48"/>
      <c r="BP28" s="48"/>
      <c r="BQ28" s="93" t="s">
        <v>621</v>
      </c>
      <c r="BR28" s="94">
        <f>SUM(BR21:BR27)</f>
        <v>253</v>
      </c>
      <c r="BS28" s="95">
        <f>SUM(BS21:BS27)</f>
        <v>1</v>
      </c>
      <c r="BT28" s="48"/>
      <c r="BU28" s="48"/>
      <c r="BV28" s="60">
        <v>2016</v>
      </c>
      <c r="BW28" s="53">
        <f t="shared" si="30"/>
        <v>0.17712177121771217</v>
      </c>
      <c r="BX28" s="53">
        <f t="shared" si="32"/>
        <v>0.65682656826568264</v>
      </c>
      <c r="BY28" s="48"/>
      <c r="BZ28" s="48"/>
    </row>
    <row r="29" spans="2:78" x14ac:dyDescent="0.2">
      <c r="B29" s="144"/>
      <c r="C29" s="311"/>
      <c r="D29" s="144"/>
      <c r="E29" s="51" t="s">
        <v>291</v>
      </c>
      <c r="F29" s="52">
        <f>F9+F10+F11</f>
        <v>44</v>
      </c>
      <c r="G29" s="52">
        <f>G9+G10+G11</f>
        <v>70</v>
      </c>
      <c r="H29" s="53">
        <f t="shared" si="31"/>
        <v>0.62857142857142856</v>
      </c>
      <c r="I29" s="48"/>
      <c r="J29" s="48"/>
      <c r="K29" s="48"/>
      <c r="L29" s="48"/>
      <c r="M29" s="191" t="str">
        <f>M9</f>
        <v>Sexo de nascimento</v>
      </c>
      <c r="N29" s="192">
        <f>SUM(N30:N31)</f>
        <v>16</v>
      </c>
      <c r="O29" s="193">
        <f>SUM(O30:O31)</f>
        <v>1</v>
      </c>
      <c r="P29" s="48"/>
      <c r="Q29" s="60" t="str">
        <f>Tabulacao!MD23</f>
        <v>Pedra Mole</v>
      </c>
      <c r="R29" s="52">
        <f>COUNTIF(Tabulacao!$MC:$MC,CaractAmostra!Q29)</f>
        <v>2</v>
      </c>
      <c r="S29" s="53">
        <f t="shared" si="3"/>
        <v>7.3800738007380072E-3</v>
      </c>
      <c r="T29" s="48"/>
      <c r="U29" s="52">
        <v>21</v>
      </c>
      <c r="V29" s="60" t="str">
        <f t="array" ref="V29">INDEX($Q$80:$Q$143,SMALL(IF($R$80:$R$143=W29,ROW($R$80:$R$143)-79),COUNTIF($W$9:W29,W29)))</f>
        <v>Nossa Senhora da Glória</v>
      </c>
      <c r="W29" s="52">
        <f t="shared" si="4"/>
        <v>0</v>
      </c>
      <c r="X29" s="53">
        <f t="shared" si="5"/>
        <v>0</v>
      </c>
      <c r="Y29" s="48"/>
      <c r="Z29" s="60" t="str">
        <f>Tabulacao!MH23</f>
        <v>Aquidabã</v>
      </c>
      <c r="AA29" s="52">
        <f>COUNTIF(Tabulacao!$MG:$MG,CaractAmostra!Z29)</f>
        <v>1</v>
      </c>
      <c r="AB29" s="53">
        <f t="shared" si="6"/>
        <v>3.6900369003690036E-3</v>
      </c>
      <c r="AC29" s="48"/>
      <c r="AD29" s="52">
        <v>21</v>
      </c>
      <c r="AE29" s="60" t="str">
        <f t="array" ref="AE29">INDEX($Z$80:$Z$143,SMALL(IF($AA$80:$AA$143=AF29,ROW($AA$80:$AA$143)-79),COUNTIF($AF$9:AF29,AF29)))</f>
        <v>Aquidabã</v>
      </c>
      <c r="AF29" s="52">
        <f t="shared" si="7"/>
        <v>0</v>
      </c>
      <c r="AG29" s="53">
        <f t="shared" si="8"/>
        <v>0</v>
      </c>
      <c r="AH29" s="48"/>
      <c r="AI29" s="60" t="str">
        <f>Tabulacao!ML23</f>
        <v>Campo do Brito</v>
      </c>
      <c r="AJ29" s="52">
        <f>COUNTIF(Tabulacao!$MK:$MK,CaractAmostra!AI29)</f>
        <v>1</v>
      </c>
      <c r="AK29" s="53">
        <f t="shared" si="9"/>
        <v>3.6900369003690036E-3</v>
      </c>
      <c r="AL29" s="48"/>
      <c r="AM29" s="52">
        <v>21</v>
      </c>
      <c r="AN29" s="60" t="str">
        <f t="array" ref="AN29">INDEX($AI$93:$AI$169,SMALL(IF($AJ$93:$AJ$169=AO29,ROW($AJ$93:$AJ$169)-92),COUNTIF($AO$9:AO29,AO29)))</f>
        <v>Pinhão</v>
      </c>
      <c r="AO29" s="52">
        <f t="shared" si="10"/>
        <v>0</v>
      </c>
      <c r="AP29" s="53">
        <f t="shared" si="11"/>
        <v>0</v>
      </c>
      <c r="AQ29" s="48"/>
      <c r="AR29" s="48"/>
      <c r="AS29" s="48"/>
      <c r="AT29" s="48"/>
      <c r="AU29" s="48"/>
      <c r="AV29" s="48"/>
      <c r="AW29" s="48"/>
      <c r="AX29" s="48"/>
      <c r="AY29" s="48"/>
      <c r="AZ29" s="48"/>
      <c r="BA29" s="48"/>
      <c r="BB29" s="48"/>
      <c r="BC29" s="48"/>
      <c r="BD29" s="289" t="s">
        <v>276</v>
      </c>
      <c r="BE29" s="52">
        <f>COUNTIFS(Respostas_Formatadas!$C:$C,CaractAmostra!$BD$23,Respostas_Formatadas!$ER:$ER,CaractAmostra!BD29)</f>
        <v>0</v>
      </c>
      <c r="BF29" s="53">
        <f t="shared" si="27"/>
        <v>0</v>
      </c>
      <c r="BG29" s="48"/>
      <c r="BH29" s="289" t="s">
        <v>145</v>
      </c>
      <c r="BI29" s="52">
        <f>COUNTIFS(Respostas_Formatadas!$C:$C,CaractAmostra!$BH$23,Respostas_Formatadas!$ET:$ET,CaractAmostra!BH29)</f>
        <v>1</v>
      </c>
      <c r="BJ29" s="53">
        <f t="shared" si="28"/>
        <v>5.8823529411764705E-2</v>
      </c>
      <c r="BK29" s="48"/>
      <c r="BL29" s="287" t="s">
        <v>621</v>
      </c>
      <c r="BM29" s="192">
        <f>SUM(BM25:BM28)</f>
        <v>22</v>
      </c>
      <c r="BN29" s="193">
        <f>SUM(BN25:BN28)</f>
        <v>1</v>
      </c>
      <c r="BO29" s="48"/>
      <c r="BP29" s="48"/>
      <c r="BQ29" s="48"/>
      <c r="BR29" s="48"/>
      <c r="BS29" s="48"/>
      <c r="BT29" s="48"/>
      <c r="BU29" s="48"/>
      <c r="BV29" s="60">
        <v>2015</v>
      </c>
      <c r="BW29" s="53">
        <f t="shared" si="30"/>
        <v>0.1070110701107011</v>
      </c>
      <c r="BX29" s="53">
        <f t="shared" si="32"/>
        <v>0.76383763837638374</v>
      </c>
      <c r="BY29" s="48"/>
      <c r="BZ29" s="48"/>
    </row>
    <row r="30" spans="2:78" ht="25.5" x14ac:dyDescent="0.2">
      <c r="B30" s="144"/>
      <c r="C30" s="311"/>
      <c r="D30" s="144"/>
      <c r="E30" s="51" t="s">
        <v>399</v>
      </c>
      <c r="F30" s="52">
        <f>F13+F20</f>
        <v>19</v>
      </c>
      <c r="G30" s="52">
        <f>G13+G20</f>
        <v>51</v>
      </c>
      <c r="H30" s="53">
        <f t="shared" si="31"/>
        <v>0.37254901960784315</v>
      </c>
      <c r="I30" s="48"/>
      <c r="J30" s="48"/>
      <c r="K30" s="48"/>
      <c r="L30" s="48"/>
      <c r="M30" s="60" t="str">
        <f t="shared" ref="M30:M40" si="34">M10</f>
        <v>Masculino</v>
      </c>
      <c r="N30" s="52">
        <f>COUNTIFS(Respostas_Formatadas!$C:$C,CaractAmostra!$M$27,Respostas_Formatadas!$EB:$EB,CaractAmostra!$M30)</f>
        <v>6</v>
      </c>
      <c r="O30" s="53">
        <f>N30/$N$29</f>
        <v>0.375</v>
      </c>
      <c r="P30" s="48"/>
      <c r="Q30" s="60" t="str">
        <f>Tabulacao!MD24</f>
        <v>Pinhão</v>
      </c>
      <c r="R30" s="52">
        <f>COUNTIF(Tabulacao!$MC:$MC,CaractAmostra!Q30)</f>
        <v>2</v>
      </c>
      <c r="S30" s="53">
        <f t="shared" si="3"/>
        <v>7.3800738007380072E-3</v>
      </c>
      <c r="T30" s="48"/>
      <c r="U30" s="52">
        <v>22</v>
      </c>
      <c r="V30" s="60" t="str">
        <f t="array" ref="V30">INDEX($Q$80:$Q$143,SMALL(IF($R$80:$R$143=W30,ROW($R$80:$R$143)-79),COUNTIF($W$9:W30,W30)))</f>
        <v>Simão Dias</v>
      </c>
      <c r="W30" s="52">
        <f t="shared" si="4"/>
        <v>0</v>
      </c>
      <c r="X30" s="53">
        <f t="shared" si="5"/>
        <v>0</v>
      </c>
      <c r="Y30" s="48"/>
      <c r="Z30" s="60" t="str">
        <f>Tabulacao!MH24</f>
        <v>Graccho Cardoso</v>
      </c>
      <c r="AA30" s="52">
        <f>COUNTIF(Tabulacao!$MG:$MG,CaractAmostra!Z30)</f>
        <v>1</v>
      </c>
      <c r="AB30" s="53">
        <f t="shared" si="6"/>
        <v>3.6900369003690036E-3</v>
      </c>
      <c r="AC30" s="48"/>
      <c r="AD30" s="52">
        <v>22</v>
      </c>
      <c r="AE30" s="60" t="str">
        <f t="array" ref="AE30">INDEX($Z$80:$Z$143,SMALL(IF($AA$80:$AA$143=AF30,ROW($AA$80:$AA$143)-79),COUNTIF($AF$9:AF30,AF30)))</f>
        <v>Graccho Cardoso</v>
      </c>
      <c r="AF30" s="52">
        <f t="shared" si="7"/>
        <v>0</v>
      </c>
      <c r="AG30" s="53">
        <f t="shared" si="8"/>
        <v>0</v>
      </c>
      <c r="AH30" s="48"/>
      <c r="AI30" s="60" t="str">
        <f>Tabulacao!ML24</f>
        <v>Boquim</v>
      </c>
      <c r="AJ30" s="52">
        <f>COUNTIF(Tabulacao!$MK:$MK,CaractAmostra!AI30)</f>
        <v>1</v>
      </c>
      <c r="AK30" s="53">
        <f t="shared" si="9"/>
        <v>3.6900369003690036E-3</v>
      </c>
      <c r="AL30" s="48"/>
      <c r="AM30" s="52">
        <v>22</v>
      </c>
      <c r="AN30" s="60" t="str">
        <f t="array" ref="AN30">INDEX($AI$93:$AI$169,SMALL(IF($AJ$93:$AJ$169=AO30,ROW($AJ$93:$AJ$169)-92),COUNTIF($AO$9:AO30,AO30)))</f>
        <v>Nossa Senhora das Dores</v>
      </c>
      <c r="AO30" s="52">
        <f t="shared" si="10"/>
        <v>0</v>
      </c>
      <c r="AP30" s="53">
        <f t="shared" si="11"/>
        <v>0</v>
      </c>
      <c r="AQ30" s="48"/>
      <c r="AR30" s="194" t="s">
        <v>1332</v>
      </c>
      <c r="AS30" s="288" t="s">
        <v>270</v>
      </c>
      <c r="AT30" s="288" t="s">
        <v>271</v>
      </c>
      <c r="AU30" s="288" t="s">
        <v>134</v>
      </c>
      <c r="AV30" s="288" t="s">
        <v>621</v>
      </c>
      <c r="AW30" s="48"/>
      <c r="AX30" s="194" t="s">
        <v>1335</v>
      </c>
      <c r="AY30" s="288" t="s">
        <v>270</v>
      </c>
      <c r="AZ30" s="288" t="s">
        <v>271</v>
      </c>
      <c r="BA30" s="288" t="s">
        <v>134</v>
      </c>
      <c r="BB30" s="288" t="s">
        <v>621</v>
      </c>
      <c r="BC30" s="48"/>
      <c r="BD30" s="289" t="s">
        <v>145</v>
      </c>
      <c r="BE30" s="52">
        <f>COUNTIFS(Respostas_Formatadas!$C:$C,CaractAmostra!$BD$23,Respostas_Formatadas!$ER:$ER,CaractAmostra!BD30)</f>
        <v>6</v>
      </c>
      <c r="BF30" s="53">
        <f t="shared" si="27"/>
        <v>0.125</v>
      </c>
      <c r="BG30" s="48"/>
      <c r="BH30" s="287" t="s">
        <v>621</v>
      </c>
      <c r="BI30" s="192">
        <f>SUM(BI25:BI29)</f>
        <v>17</v>
      </c>
      <c r="BJ30" s="193">
        <f>SUM(BJ25:BJ29)</f>
        <v>1</v>
      </c>
      <c r="BK30" s="48"/>
      <c r="BL30" s="48"/>
      <c r="BM30" s="48"/>
      <c r="BN30" s="48"/>
      <c r="BO30" s="48"/>
      <c r="BP30" s="48"/>
      <c r="BQ30" s="137" t="s">
        <v>1074</v>
      </c>
      <c r="BR30" s="138" t="s">
        <v>1072</v>
      </c>
      <c r="BS30" s="138" t="s">
        <v>1073</v>
      </c>
      <c r="BT30" s="48"/>
      <c r="BU30" s="48"/>
      <c r="BV30" s="60">
        <v>2014</v>
      </c>
      <c r="BW30" s="53">
        <f t="shared" si="30"/>
        <v>7.3800738007380073E-2</v>
      </c>
      <c r="BX30" s="53">
        <f t="shared" si="32"/>
        <v>0.83763837638376382</v>
      </c>
      <c r="BY30" s="48"/>
      <c r="BZ30" s="48"/>
    </row>
    <row r="31" spans="2:78" x14ac:dyDescent="0.2">
      <c r="B31" s="144"/>
      <c r="C31" s="311"/>
      <c r="D31" s="144"/>
      <c r="E31" s="51" t="s">
        <v>328</v>
      </c>
      <c r="F31" s="52">
        <f>F18</f>
        <v>13</v>
      </c>
      <c r="G31" s="52">
        <f>G18</f>
        <v>41</v>
      </c>
      <c r="H31" s="53">
        <f t="shared" si="31"/>
        <v>0.31707317073170732</v>
      </c>
      <c r="I31" s="48"/>
      <c r="J31" s="48"/>
      <c r="K31" s="48"/>
      <c r="L31" s="48"/>
      <c r="M31" s="60" t="str">
        <f t="shared" si="34"/>
        <v>Feminino</v>
      </c>
      <c r="N31" s="52">
        <f>COUNTIFS(Respostas_Formatadas!$C:$C,CaractAmostra!$M$27,Respostas_Formatadas!$EB:$EB,CaractAmostra!$M31)</f>
        <v>10</v>
      </c>
      <c r="O31" s="53">
        <f>N31/$N$29</f>
        <v>0.625</v>
      </c>
      <c r="P31" s="48"/>
      <c r="Q31" s="60" t="str">
        <f>Tabulacao!MD25</f>
        <v>Poço Redondo</v>
      </c>
      <c r="R31" s="52">
        <f>COUNTIF(Tabulacao!$MC:$MC,CaractAmostra!Q31)</f>
        <v>2</v>
      </c>
      <c r="S31" s="53">
        <f t="shared" si="3"/>
        <v>7.3800738007380072E-3</v>
      </c>
      <c r="T31" s="48"/>
      <c r="U31" s="52">
        <v>23</v>
      </c>
      <c r="V31" s="60" t="str">
        <f t="array" ref="V31">INDEX($Q$80:$Q$143,SMALL(IF($R$80:$R$143=W31,ROW($R$80:$R$143)-79),COUNTIF($W$9:W31,W31)))</f>
        <v>Alagoinhas - BA</v>
      </c>
      <c r="W31" s="52">
        <f t="shared" si="4"/>
        <v>0</v>
      </c>
      <c r="X31" s="53">
        <f t="shared" si="5"/>
        <v>0</v>
      </c>
      <c r="Y31" s="48"/>
      <c r="Z31" s="60" t="str">
        <f>Tabulacao!MH25</f>
        <v>Itaporanga D'Ajuda</v>
      </c>
      <c r="AA31" s="52">
        <f>COUNTIF(Tabulacao!$MG:$MG,CaractAmostra!Z31)</f>
        <v>1</v>
      </c>
      <c r="AB31" s="53">
        <f t="shared" si="6"/>
        <v>3.6900369003690036E-3</v>
      </c>
      <c r="AC31" s="48"/>
      <c r="AD31" s="52">
        <v>23</v>
      </c>
      <c r="AE31" s="60" t="str">
        <f t="array" ref="AE31">INDEX($Z$80:$Z$143,SMALL(IF($AA$80:$AA$143=AF31,ROW($AA$80:$AA$143)-79),COUNTIF($AF$9:AF31,AF31)))</f>
        <v>Itaporanga D'Ajuda</v>
      </c>
      <c r="AF31" s="52">
        <f t="shared" si="7"/>
        <v>0</v>
      </c>
      <c r="AG31" s="53">
        <f t="shared" si="8"/>
        <v>0</v>
      </c>
      <c r="AH31" s="48"/>
      <c r="AI31" s="60" t="str">
        <f>Tabulacao!ML25</f>
        <v>Aquidabã</v>
      </c>
      <c r="AJ31" s="52">
        <f>COUNTIF(Tabulacao!$MK:$MK,CaractAmostra!AI31)</f>
        <v>1</v>
      </c>
      <c r="AK31" s="53">
        <f t="shared" si="9"/>
        <v>3.6900369003690036E-3</v>
      </c>
      <c r="AL31" s="48"/>
      <c r="AM31" s="52">
        <v>23</v>
      </c>
      <c r="AN31" s="60" t="str">
        <f t="array" ref="AN31">INDEX($AI$93:$AI$169,SMALL(IF($AJ$93:$AJ$169=AO31,ROW($AJ$93:$AJ$169)-92),COUNTIF($AO$9:AO31,AO31)))</f>
        <v>Pedra Mole</v>
      </c>
      <c r="AO31" s="52">
        <f t="shared" si="10"/>
        <v>0</v>
      </c>
      <c r="AP31" s="53">
        <f t="shared" si="11"/>
        <v>0</v>
      </c>
      <c r="AQ31" s="48"/>
      <c r="AR31" s="289" t="s">
        <v>1329</v>
      </c>
      <c r="AS31" s="53">
        <f>IFERROR(AS25/$AV$25,"-")</f>
        <v>0</v>
      </c>
      <c r="AT31" s="53">
        <f t="shared" ref="AT31:AU31" si="35">IFERROR(AT25/$AV$25,"-")</f>
        <v>5.7142857142857141E-2</v>
      </c>
      <c r="AU31" s="53">
        <f t="shared" si="35"/>
        <v>0.94285714285714284</v>
      </c>
      <c r="AV31" s="293">
        <f>SUM(AS31:AU31)</f>
        <v>1</v>
      </c>
      <c r="AW31" s="48"/>
      <c r="AX31" s="289" t="s">
        <v>1329</v>
      </c>
      <c r="AY31" s="53">
        <f>IFERROR(AY25/$BB25,"-")</f>
        <v>0</v>
      </c>
      <c r="AZ31" s="53">
        <f t="shared" ref="AZ31:BA33" si="36">IFERROR(AZ25/$BB25,"-")</f>
        <v>0</v>
      </c>
      <c r="BA31" s="53">
        <f t="shared" si="36"/>
        <v>1</v>
      </c>
      <c r="BB31" s="293">
        <f>SUM(AY31:BA31)</f>
        <v>1</v>
      </c>
      <c r="BC31" s="48"/>
      <c r="BD31" s="287" t="s">
        <v>621</v>
      </c>
      <c r="BE31" s="192">
        <f>SUM(BE25:BE30)</f>
        <v>48</v>
      </c>
      <c r="BF31" s="193">
        <f>SUM(BF25:BF30)</f>
        <v>1</v>
      </c>
      <c r="BG31" s="48"/>
      <c r="BH31" s="48"/>
      <c r="BI31" s="48"/>
      <c r="BJ31" s="48"/>
      <c r="BK31" s="48"/>
      <c r="BL31" s="48"/>
      <c r="BM31" s="48"/>
      <c r="BN31" s="48"/>
      <c r="BO31" s="48"/>
      <c r="BP31" s="48"/>
      <c r="BQ31" s="60" t="s">
        <v>1079</v>
      </c>
      <c r="BR31" s="53">
        <f t="shared" ref="BR31:BR37" si="37">BS9</f>
        <v>0.379746835443038</v>
      </c>
      <c r="BS31" s="53">
        <f t="shared" ref="BS31:BS37" si="38">BS21</f>
        <v>0.31225296442687744</v>
      </c>
      <c r="BT31" s="223">
        <f>BR9+BR21</f>
        <v>169</v>
      </c>
      <c r="BU31" s="224"/>
      <c r="BV31" s="60">
        <v>2013</v>
      </c>
      <c r="BW31" s="53">
        <f t="shared" si="30"/>
        <v>6.6420664206642069E-2</v>
      </c>
      <c r="BX31" s="53">
        <f t="shared" si="32"/>
        <v>0.90405904059040587</v>
      </c>
      <c r="BY31" s="48"/>
      <c r="BZ31" s="48"/>
    </row>
    <row r="32" spans="2:78" x14ac:dyDescent="0.2">
      <c r="B32" s="144"/>
      <c r="C32" s="311"/>
      <c r="D32" s="144"/>
      <c r="E32" s="139" t="s">
        <v>621</v>
      </c>
      <c r="F32" s="140">
        <f>SUM(F27:F31)</f>
        <v>271</v>
      </c>
      <c r="G32" s="142">
        <f>SUM(G27:G31)</f>
        <v>672</v>
      </c>
      <c r="H32" s="141">
        <f t="shared" si="31"/>
        <v>0.40327380952380953</v>
      </c>
      <c r="I32" s="48"/>
      <c r="J32" s="48"/>
      <c r="K32" s="48"/>
      <c r="L32" s="48"/>
      <c r="M32" s="191" t="str">
        <f t="shared" si="34"/>
        <v>Cor</v>
      </c>
      <c r="N32" s="192">
        <f>SUM(N33:N38)</f>
        <v>16</v>
      </c>
      <c r="O32" s="193">
        <f>SUM(O33:O38)</f>
        <v>1</v>
      </c>
      <c r="P32" s="48"/>
      <c r="Q32" s="60" t="str">
        <f>Tabulacao!MD26</f>
        <v>Riachão do Dantas</v>
      </c>
      <c r="R32" s="52">
        <f>COUNTIF(Tabulacao!$MC:$MC,CaractAmostra!Q32)</f>
        <v>2</v>
      </c>
      <c r="S32" s="53">
        <f t="shared" si="3"/>
        <v>7.3800738007380072E-3</v>
      </c>
      <c r="T32" s="48"/>
      <c r="U32" s="52">
        <v>24</v>
      </c>
      <c r="V32" s="60" t="str">
        <f t="array" ref="V32">INDEX($Q$80:$Q$143,SMALL(IF($R$80:$R$143=W32,ROW($R$80:$R$143)-79),COUNTIF($W$9:W32,W32)))</f>
        <v>Barra dos Coqueiros</v>
      </c>
      <c r="W32" s="52">
        <f t="shared" si="4"/>
        <v>0</v>
      </c>
      <c r="X32" s="53">
        <f t="shared" si="5"/>
        <v>0</v>
      </c>
      <c r="Y32" s="48"/>
      <c r="Z32" s="60" t="str">
        <f>Tabulacao!MH26</f>
        <v>Laranjeiras</v>
      </c>
      <c r="AA32" s="52">
        <f>COUNTIF(Tabulacao!$MG:$MG,CaractAmostra!Z32)</f>
        <v>1</v>
      </c>
      <c r="AB32" s="53">
        <f t="shared" si="6"/>
        <v>3.6900369003690036E-3</v>
      </c>
      <c r="AC32" s="48"/>
      <c r="AD32" s="52">
        <v>24</v>
      </c>
      <c r="AE32" s="60" t="str">
        <f t="array" ref="AE32">INDEX($Z$80:$Z$143,SMALL(IF($AA$80:$AA$143=AF32,ROW($AA$80:$AA$143)-79),COUNTIF($AF$9:AF32,AF32)))</f>
        <v>Laranjeiras</v>
      </c>
      <c r="AF32" s="52">
        <f t="shared" si="7"/>
        <v>0</v>
      </c>
      <c r="AG32" s="53">
        <f t="shared" si="8"/>
        <v>0</v>
      </c>
      <c r="AH32" s="48"/>
      <c r="AI32" s="60" t="str">
        <f>Tabulacao!ML26</f>
        <v>Itaporanga D'Ajuda</v>
      </c>
      <c r="AJ32" s="52">
        <f>COUNTIF(Tabulacao!$MK:$MK,CaractAmostra!AI32)</f>
        <v>1</v>
      </c>
      <c r="AK32" s="53">
        <f t="shared" si="9"/>
        <v>3.6900369003690036E-3</v>
      </c>
      <c r="AL32" s="48"/>
      <c r="AM32" s="52">
        <v>24</v>
      </c>
      <c r="AN32" s="60" t="str">
        <f t="array" ref="AN32">INDEX($AI$93:$AI$169,SMALL(IF($AJ$93:$AJ$169=AO32,ROW($AJ$93:$AJ$169)-92),COUNTIF($AO$9:AO32,AO32)))</f>
        <v>São Domingos</v>
      </c>
      <c r="AO32" s="52">
        <f t="shared" si="10"/>
        <v>0</v>
      </c>
      <c r="AP32" s="53">
        <f t="shared" si="11"/>
        <v>0</v>
      </c>
      <c r="AQ32" s="48"/>
      <c r="AR32" s="289" t="s">
        <v>1330</v>
      </c>
      <c r="AS32" s="53">
        <f>IFERROR(AS26/$AV$26,"-")</f>
        <v>5.7142857142857141E-2</v>
      </c>
      <c r="AT32" s="53">
        <f t="shared" ref="AT32:AU32" si="39">IFERROR(AT26/$AV$26,"-")</f>
        <v>2.8571428571428571E-2</v>
      </c>
      <c r="AU32" s="53">
        <f t="shared" si="39"/>
        <v>0.91428571428571426</v>
      </c>
      <c r="AV32" s="293">
        <f>SUM(AS32:AU32)</f>
        <v>1</v>
      </c>
      <c r="AW32" s="48"/>
      <c r="AX32" s="289" t="s">
        <v>1330</v>
      </c>
      <c r="AY32" s="53">
        <f>IFERROR(AY26/$BB26,"-")</f>
        <v>8.5714285714285715E-2</v>
      </c>
      <c r="AZ32" s="53">
        <f t="shared" si="36"/>
        <v>0</v>
      </c>
      <c r="BA32" s="53">
        <f t="shared" si="36"/>
        <v>0.91428571428571426</v>
      </c>
      <c r="BB32" s="293">
        <f t="shared" ref="BB32:BB33" si="40">SUM(AY32:BA32)</f>
        <v>1</v>
      </c>
      <c r="BC32" s="48"/>
      <c r="BD32" s="48"/>
      <c r="BE32" s="48"/>
      <c r="BF32" s="48"/>
      <c r="BG32" s="48"/>
      <c r="BH32" s="48"/>
      <c r="BI32" s="48"/>
      <c r="BJ32" s="48"/>
      <c r="BK32" s="48"/>
      <c r="BL32" s="48"/>
      <c r="BM32" s="48"/>
      <c r="BN32" s="48"/>
      <c r="BO32" s="48"/>
      <c r="BP32" s="48"/>
      <c r="BQ32" s="60" t="s">
        <v>1080</v>
      </c>
      <c r="BR32" s="53">
        <f t="shared" si="37"/>
        <v>0.16033755274261605</v>
      </c>
      <c r="BS32" s="53">
        <f t="shared" si="38"/>
        <v>0.16996047430830039</v>
      </c>
      <c r="BT32" s="223">
        <f t="shared" ref="BT32:BT37" si="41">BR10+BR22</f>
        <v>81</v>
      </c>
      <c r="BU32" s="224"/>
      <c r="BV32" s="60">
        <v>2012</v>
      </c>
      <c r="BW32" s="53">
        <f t="shared" si="30"/>
        <v>1.107011070110701E-2</v>
      </c>
      <c r="BX32" s="53">
        <f t="shared" si="32"/>
        <v>0.91512915129151284</v>
      </c>
      <c r="BY32" s="48"/>
      <c r="BZ32" s="48"/>
    </row>
    <row r="33" spans="2:78" x14ac:dyDescent="0.2">
      <c r="B33" s="144"/>
      <c r="C33" s="311"/>
      <c r="D33" s="144"/>
      <c r="E33" s="48"/>
      <c r="F33" s="48"/>
      <c r="G33" s="48"/>
      <c r="H33" s="48"/>
      <c r="I33" s="48"/>
      <c r="J33" s="48"/>
      <c r="K33" s="48"/>
      <c r="L33" s="48"/>
      <c r="M33" s="60" t="str">
        <f t="shared" si="34"/>
        <v>Branca</v>
      </c>
      <c r="N33" s="52">
        <f>COUNTIFS(Respostas_Formatadas!$C:$C,CaractAmostra!$M$27,Respostas_Formatadas!$EC:$EC,CaractAmostra!$M33)</f>
        <v>3</v>
      </c>
      <c r="O33" s="53">
        <f>N33/$N$32</f>
        <v>0.1875</v>
      </c>
      <c r="P33" s="48"/>
      <c r="Q33" s="60" t="str">
        <f>Tabulacao!MD27</f>
        <v>São Domingos</v>
      </c>
      <c r="R33" s="52">
        <f>COUNTIF(Tabulacao!$MC:$MC,CaractAmostra!Q33)</f>
        <v>2</v>
      </c>
      <c r="S33" s="53">
        <f t="shared" si="3"/>
        <v>7.3800738007380072E-3</v>
      </c>
      <c r="T33" s="48"/>
      <c r="U33" s="52">
        <v>25</v>
      </c>
      <c r="V33" s="60" t="str">
        <f t="array" ref="V33">INDEX($Q$80:$Q$143,SMALL(IF($R$80:$R$143=W33,ROW($R$80:$R$143)-79),COUNTIF($W$9:W33,W33)))</f>
        <v>Malhador</v>
      </c>
      <c r="W33" s="52">
        <f t="shared" si="4"/>
        <v>0</v>
      </c>
      <c r="X33" s="53">
        <f t="shared" si="5"/>
        <v>0</v>
      </c>
      <c r="Y33" s="48"/>
      <c r="Z33" s="60" t="str">
        <f>Tabulacao!MH27</f>
        <v>Moita Bonita</v>
      </c>
      <c r="AA33" s="52">
        <f>COUNTIF(Tabulacao!$MG:$MG,CaractAmostra!Z33)</f>
        <v>1</v>
      </c>
      <c r="AB33" s="53">
        <f t="shared" si="6"/>
        <v>3.6900369003690036E-3</v>
      </c>
      <c r="AC33" s="48"/>
      <c r="AD33" s="52">
        <v>25</v>
      </c>
      <c r="AE33" s="60" t="str">
        <f t="array" ref="AE33">INDEX($Z$80:$Z$143,SMALL(IF($AA$80:$AA$143=AF33,ROW($AA$80:$AA$143)-79),COUNTIF($AF$9:AF33,AF33)))</f>
        <v>Moita Bonita</v>
      </c>
      <c r="AF33" s="52">
        <f t="shared" si="7"/>
        <v>0</v>
      </c>
      <c r="AG33" s="53">
        <f t="shared" si="8"/>
        <v>0</v>
      </c>
      <c r="AH33" s="48"/>
      <c r="AI33" s="60" t="str">
        <f>Tabulacao!ML27</f>
        <v>Monte Alegre de Sergipe</v>
      </c>
      <c r="AJ33" s="52">
        <f>COUNTIF(Tabulacao!$MK:$MK,CaractAmostra!AI33)</f>
        <v>1</v>
      </c>
      <c r="AK33" s="53">
        <f t="shared" si="9"/>
        <v>3.6900369003690036E-3</v>
      </c>
      <c r="AL33" s="48"/>
      <c r="AM33" s="52">
        <v>25</v>
      </c>
      <c r="AN33" s="60" t="str">
        <f t="array" ref="AN33">INDEX($AI$93:$AI$169,SMALL(IF($AJ$93:$AJ$169=AO33,ROW($AJ$93:$AJ$169)-92),COUNTIF($AO$9:AO33,AO33)))</f>
        <v>Salgado</v>
      </c>
      <c r="AO33" s="52">
        <f t="shared" si="10"/>
        <v>0</v>
      </c>
      <c r="AP33" s="53">
        <f t="shared" si="11"/>
        <v>0</v>
      </c>
      <c r="AQ33" s="48"/>
      <c r="AR33" s="289" t="s">
        <v>1331</v>
      </c>
      <c r="AS33" s="53">
        <f>IFERROR(AS27/$AV$27,"-")</f>
        <v>2.8571428571428571E-2</v>
      </c>
      <c r="AT33" s="53">
        <f t="shared" ref="AT33:AU33" si="42">IFERROR(AT27/$AV$27,"-")</f>
        <v>2.8571428571428571E-2</v>
      </c>
      <c r="AU33" s="53">
        <f t="shared" si="42"/>
        <v>0.94285714285714284</v>
      </c>
      <c r="AV33" s="293">
        <f>SUM(AS33:AU33)</f>
        <v>1</v>
      </c>
      <c r="AW33" s="48"/>
      <c r="AX33" s="289" t="s">
        <v>1331</v>
      </c>
      <c r="AY33" s="53">
        <f>IFERROR(AY27/$BB27,"-")</f>
        <v>0</v>
      </c>
      <c r="AZ33" s="53">
        <f t="shared" si="36"/>
        <v>0</v>
      </c>
      <c r="BA33" s="53">
        <f t="shared" si="36"/>
        <v>1</v>
      </c>
      <c r="BB33" s="293">
        <f t="shared" si="40"/>
        <v>1</v>
      </c>
      <c r="BC33" s="48"/>
      <c r="BD33" s="48"/>
      <c r="BE33" s="48"/>
      <c r="BF33" s="48"/>
      <c r="BG33" s="48"/>
      <c r="BH33" s="48"/>
      <c r="BI33" s="48"/>
      <c r="BJ33" s="48"/>
      <c r="BK33" s="48"/>
      <c r="BL33" s="48"/>
      <c r="BM33" s="48"/>
      <c r="BN33" s="48"/>
      <c r="BO33" s="48"/>
      <c r="BP33" s="48"/>
      <c r="BQ33" s="60" t="s">
        <v>1075</v>
      </c>
      <c r="BR33" s="53">
        <f t="shared" si="37"/>
        <v>4.6413502109704644E-2</v>
      </c>
      <c r="BS33" s="53">
        <f t="shared" si="38"/>
        <v>5.1383399209486168E-2</v>
      </c>
      <c r="BT33" s="223">
        <f t="shared" si="41"/>
        <v>24</v>
      </c>
      <c r="BU33" s="224"/>
      <c r="BV33" s="60">
        <v>2011</v>
      </c>
      <c r="BW33" s="53">
        <f t="shared" si="30"/>
        <v>1.4760147601476014E-2</v>
      </c>
      <c r="BX33" s="53">
        <f t="shared" si="32"/>
        <v>0.92988929889298888</v>
      </c>
      <c r="BY33" s="48"/>
      <c r="BZ33" s="48"/>
    </row>
    <row r="34" spans="2:78" x14ac:dyDescent="0.2">
      <c r="B34" s="144"/>
      <c r="C34" s="312"/>
      <c r="D34" s="144"/>
      <c r="E34" s="48"/>
      <c r="F34" s="48"/>
      <c r="G34" s="48"/>
      <c r="H34" s="48"/>
      <c r="I34" s="48"/>
      <c r="J34" s="48"/>
      <c r="K34" s="48"/>
      <c r="L34" s="48"/>
      <c r="M34" s="60" t="str">
        <f t="shared" si="34"/>
        <v>Preta</v>
      </c>
      <c r="N34" s="52">
        <f>COUNTIFS(Respostas_Formatadas!$C:$C,CaractAmostra!$M$27,Respostas_Formatadas!$EC:$EC,CaractAmostra!$M34)</f>
        <v>2</v>
      </c>
      <c r="O34" s="53">
        <f t="shared" ref="O34:O38" si="43">N34/$N$32</f>
        <v>0.125</v>
      </c>
      <c r="P34" s="48"/>
      <c r="Q34" s="60" t="str">
        <f>Tabulacao!MD28</f>
        <v>Tobias Barreto</v>
      </c>
      <c r="R34" s="52">
        <f>COUNTIF(Tabulacao!$MC:$MC,CaractAmostra!Q34)</f>
        <v>2</v>
      </c>
      <c r="S34" s="53">
        <f t="shared" si="3"/>
        <v>7.3800738007380072E-3</v>
      </c>
      <c r="T34" s="48"/>
      <c r="U34" s="52">
        <v>26</v>
      </c>
      <c r="V34" s="60" t="str">
        <f t="array" ref="V34">INDEX($Q$80:$Q$143,SMALL(IF($R$80:$R$143=W34,ROW($R$80:$R$143)-79),COUNTIF($W$9:W34,W34)))</f>
        <v>Rio Real - BA</v>
      </c>
      <c r="W34" s="52">
        <f t="shared" si="4"/>
        <v>0</v>
      </c>
      <c r="X34" s="53">
        <f t="shared" si="5"/>
        <v>0</v>
      </c>
      <c r="Y34" s="48"/>
      <c r="Z34" s="60" t="str">
        <f>Tabulacao!MH28</f>
        <v>Rosário do Catete</v>
      </c>
      <c r="AA34" s="52">
        <f>COUNTIF(Tabulacao!$MG:$MG,CaractAmostra!Z34)</f>
        <v>1</v>
      </c>
      <c r="AB34" s="53">
        <f t="shared" si="6"/>
        <v>3.6900369003690036E-3</v>
      </c>
      <c r="AC34" s="48"/>
      <c r="AD34" s="52">
        <v>26</v>
      </c>
      <c r="AE34" s="60" t="str">
        <f t="array" ref="AE34">INDEX($Z$80:$Z$143,SMALL(IF($AA$80:$AA$143=AF34,ROW($AA$80:$AA$143)-79),COUNTIF($AF$9:AF34,AF34)))</f>
        <v>Rosário do Catete</v>
      </c>
      <c r="AF34" s="52">
        <f t="shared" si="7"/>
        <v>0</v>
      </c>
      <c r="AG34" s="53">
        <f t="shared" si="8"/>
        <v>0</v>
      </c>
      <c r="AH34" s="48"/>
      <c r="AI34" s="60" t="str">
        <f>Tabulacao!ML28</f>
        <v>Alagoinhas - BA</v>
      </c>
      <c r="AJ34" s="52">
        <f>COUNTIF(Tabulacao!$MK:$MK,CaractAmostra!AI34)</f>
        <v>1</v>
      </c>
      <c r="AK34" s="53">
        <f t="shared" si="9"/>
        <v>3.6900369003690036E-3</v>
      </c>
      <c r="AL34" s="48"/>
      <c r="AM34" s="52">
        <v>26</v>
      </c>
      <c r="AN34" s="60" t="str">
        <f t="array" ref="AN34">INDEX($AI$93:$AI$169,SMALL(IF($AJ$93:$AJ$169=AO34,ROW($AJ$93:$AJ$169)-92),COUNTIF($AO$9:AO34,AO34)))</f>
        <v>Riachão do Dantas</v>
      </c>
      <c r="AO34" s="52">
        <f t="shared" si="10"/>
        <v>0</v>
      </c>
      <c r="AP34" s="53">
        <f t="shared" si="11"/>
        <v>0</v>
      </c>
      <c r="AQ34" s="48"/>
      <c r="AR34" s="287" t="s">
        <v>621</v>
      </c>
      <c r="AS34" s="294">
        <f>SUM(AS31:AS33)</f>
        <v>8.5714285714285715E-2</v>
      </c>
      <c r="AT34" s="294">
        <f t="shared" ref="AT34" si="44">SUM(AT31:AT33)</f>
        <v>0.11428571428571428</v>
      </c>
      <c r="AU34" s="294">
        <f>AU28/$AV$28</f>
        <v>0.8</v>
      </c>
      <c r="AV34" s="294">
        <f>SUM(AS34:AU34)</f>
        <v>1</v>
      </c>
      <c r="AW34" s="48"/>
      <c r="AX34" s="287" t="s">
        <v>621</v>
      </c>
      <c r="AY34" s="294">
        <f>SUM(AY31:AY33)</f>
        <v>8.5714285714285715E-2</v>
      </c>
      <c r="AZ34" s="294">
        <f>SUM(AZ31:AZ33)</f>
        <v>0</v>
      </c>
      <c r="BA34" s="294">
        <f>BA28/$BB$28</f>
        <v>0.91428571428571426</v>
      </c>
      <c r="BB34" s="294">
        <f>SUM(AY34:BA34)</f>
        <v>1</v>
      </c>
      <c r="BC34" s="48"/>
      <c r="BD34" s="48"/>
      <c r="BE34" s="48"/>
      <c r="BF34" s="48"/>
      <c r="BG34" s="48"/>
      <c r="BH34" s="48"/>
      <c r="BI34" s="48"/>
      <c r="BJ34" s="48"/>
      <c r="BK34" s="48"/>
      <c r="BL34" s="48"/>
      <c r="BM34" s="48"/>
      <c r="BN34" s="48"/>
      <c r="BO34" s="48"/>
      <c r="BP34" s="48"/>
      <c r="BQ34" s="60" t="s">
        <v>1076</v>
      </c>
      <c r="BR34" s="53">
        <f t="shared" si="37"/>
        <v>0.25316455696202533</v>
      </c>
      <c r="BS34" s="53">
        <f t="shared" si="38"/>
        <v>0.2608695652173913</v>
      </c>
      <c r="BT34" s="223">
        <f t="shared" si="41"/>
        <v>126</v>
      </c>
      <c r="BU34" s="224"/>
      <c r="BV34" s="60">
        <v>2010</v>
      </c>
      <c r="BW34" s="53">
        <f t="shared" si="30"/>
        <v>2.2140221402214021E-2</v>
      </c>
      <c r="BX34" s="53">
        <f t="shared" si="32"/>
        <v>0.95202952029520294</v>
      </c>
      <c r="BY34" s="48"/>
      <c r="BZ34" s="48"/>
    </row>
    <row r="35" spans="2:78" x14ac:dyDescent="0.2">
      <c r="B35" s="144"/>
      <c r="C35" s="144"/>
      <c r="D35" s="144"/>
      <c r="E35" s="146" t="s">
        <v>1157</v>
      </c>
      <c r="F35" s="48"/>
      <c r="G35" s="48"/>
      <c r="H35" s="48"/>
      <c r="I35" s="48"/>
      <c r="J35" s="48"/>
      <c r="K35" s="48"/>
      <c r="L35" s="48"/>
      <c r="M35" s="60" t="str">
        <f t="shared" si="34"/>
        <v>Amarela</v>
      </c>
      <c r="N35" s="52">
        <f>COUNTIFS(Respostas_Formatadas!$C:$C,CaractAmostra!$M$27,Respostas_Formatadas!$EC:$EC,CaractAmostra!$M35)</f>
        <v>0</v>
      </c>
      <c r="O35" s="53">
        <f t="shared" si="43"/>
        <v>0</v>
      </c>
      <c r="P35" s="48"/>
      <c r="Q35" s="60" t="str">
        <f>Tabulacao!MD29</f>
        <v>Nossa Senhora das Dores</v>
      </c>
      <c r="R35" s="52">
        <f>COUNTIF(Tabulacao!$MC:$MC,CaractAmostra!Q35)</f>
        <v>2</v>
      </c>
      <c r="S35" s="53">
        <f t="shared" si="3"/>
        <v>7.3800738007380072E-3</v>
      </c>
      <c r="T35" s="48"/>
      <c r="U35" s="52">
        <v>27</v>
      </c>
      <c r="V35" s="60" t="str">
        <f t="array" ref="V35">INDEX($Q$80:$Q$143,SMALL(IF($R$80:$R$143=W35,ROW($R$80:$R$143)-79),COUNTIF($W$9:W35,W35)))</f>
        <v>Salgado</v>
      </c>
      <c r="W35" s="52">
        <f t="shared" si="4"/>
        <v>0</v>
      </c>
      <c r="X35" s="53">
        <f t="shared" si="5"/>
        <v>0</v>
      </c>
      <c r="Y35" s="48"/>
      <c r="Z35" s="60" t="str">
        <f>Tabulacao!MH29</f>
        <v>Santo Amaro das Brotas</v>
      </c>
      <c r="AA35" s="52">
        <f>COUNTIF(Tabulacao!$MG:$MG,CaractAmostra!Z35)</f>
        <v>1</v>
      </c>
      <c r="AB35" s="53">
        <f t="shared" si="6"/>
        <v>3.6900369003690036E-3</v>
      </c>
      <c r="AC35" s="48"/>
      <c r="AD35" s="52">
        <v>27</v>
      </c>
      <c r="AE35" s="60" t="str">
        <f t="array" ref="AE35">INDEX($Z$80:$Z$143,SMALL(IF($AA$80:$AA$143=AF35,ROW($AA$80:$AA$143)-79),COUNTIF($AF$9:AF35,AF35)))</f>
        <v>Santo Amaro das Brotas</v>
      </c>
      <c r="AF35" s="52">
        <f t="shared" si="7"/>
        <v>0</v>
      </c>
      <c r="AG35" s="53">
        <f t="shared" si="8"/>
        <v>0</v>
      </c>
      <c r="AH35" s="48"/>
      <c r="AI35" s="60" t="str">
        <f>Tabulacao!ML29</f>
        <v>Irecê - BA</v>
      </c>
      <c r="AJ35" s="52">
        <f>COUNTIF(Tabulacao!$MK:$MK,CaractAmostra!AI35)</f>
        <v>1</v>
      </c>
      <c r="AK35" s="53">
        <f t="shared" si="9"/>
        <v>3.6900369003690036E-3</v>
      </c>
      <c r="AL35" s="48"/>
      <c r="AM35" s="52">
        <v>27</v>
      </c>
      <c r="AN35" s="60" t="str">
        <f t="array" ref="AN35">INDEX($AI$93:$AI$169,SMALL(IF($AJ$93:$AJ$169=AO35,ROW($AJ$93:$AJ$169)-92),COUNTIF($AO$9:AO35,AO35)))</f>
        <v>Campo do Brito</v>
      </c>
      <c r="AO35" s="52">
        <f t="shared" si="10"/>
        <v>0</v>
      </c>
      <c r="AP35" s="53">
        <f t="shared" si="11"/>
        <v>0</v>
      </c>
      <c r="AQ35" s="48"/>
      <c r="AR35" s="48"/>
      <c r="AS35" s="48"/>
      <c r="AT35" s="48"/>
      <c r="AU35" s="48"/>
      <c r="AV35" s="48"/>
      <c r="AW35" s="48"/>
      <c r="AX35" s="48"/>
      <c r="AY35" s="48"/>
      <c r="AZ35" s="48"/>
      <c r="BA35" s="48"/>
      <c r="BB35" s="48"/>
      <c r="BC35" s="48"/>
      <c r="BD35" s="48"/>
      <c r="BE35" s="48"/>
      <c r="BF35" s="48"/>
      <c r="BG35" s="48"/>
      <c r="BH35" s="48"/>
      <c r="BI35" s="48"/>
      <c r="BJ35" s="48"/>
      <c r="BK35" s="48"/>
      <c r="BL35" s="48"/>
      <c r="BM35" s="48"/>
      <c r="BN35" s="48"/>
      <c r="BO35" s="48"/>
      <c r="BP35" s="48"/>
      <c r="BQ35" s="60" t="s">
        <v>1077</v>
      </c>
      <c r="BR35" s="53">
        <f t="shared" si="37"/>
        <v>3.3755274261603373E-2</v>
      </c>
      <c r="BS35" s="53">
        <f t="shared" si="38"/>
        <v>2.766798418972332E-2</v>
      </c>
      <c r="BT35" s="223">
        <f t="shared" si="41"/>
        <v>15</v>
      </c>
      <c r="BU35" s="224"/>
      <c r="BV35" s="60">
        <v>2009</v>
      </c>
      <c r="BW35" s="53">
        <f t="shared" si="30"/>
        <v>2.9520295202952029E-2</v>
      </c>
      <c r="BX35" s="53">
        <f t="shared" si="32"/>
        <v>0.98154981549815501</v>
      </c>
      <c r="BY35" s="48"/>
      <c r="BZ35" s="48"/>
    </row>
    <row r="36" spans="2:78" x14ac:dyDescent="0.2">
      <c r="B36" s="144"/>
      <c r="C36" s="144"/>
      <c r="D36" s="144"/>
      <c r="E36" s="48"/>
      <c r="F36" s="48"/>
      <c r="G36" s="48"/>
      <c r="H36" s="48"/>
      <c r="I36" s="48"/>
      <c r="J36" s="48"/>
      <c r="K36" s="48"/>
      <c r="L36" s="48"/>
      <c r="M36" s="60" t="str">
        <f t="shared" si="34"/>
        <v>Parda</v>
      </c>
      <c r="N36" s="52">
        <f>COUNTIFS(Respostas_Formatadas!$C:$C,CaractAmostra!$M$27,Respostas_Formatadas!$EC:$EC,CaractAmostra!$M36)</f>
        <v>11</v>
      </c>
      <c r="O36" s="53">
        <f t="shared" si="43"/>
        <v>0.6875</v>
      </c>
      <c r="P36" s="48"/>
      <c r="Q36" s="60" t="str">
        <f>Tabulacao!MD30</f>
        <v>Acajutiba - BA</v>
      </c>
      <c r="R36" s="52">
        <f>COUNTIF(Tabulacao!$MC:$MC,CaractAmostra!Q36)</f>
        <v>1</v>
      </c>
      <c r="S36" s="53">
        <f t="shared" si="3"/>
        <v>3.6900369003690036E-3</v>
      </c>
      <c r="T36" s="48"/>
      <c r="U36" s="52">
        <v>28</v>
      </c>
      <c r="V36" s="60" t="str">
        <f t="array" ref="V36">INDEX($Q$80:$Q$143,SMALL(IF($R$80:$R$143=W36,ROW($R$80:$R$143)-79),COUNTIF($W$9:W36,W36)))</f>
        <v>Areia Branca</v>
      </c>
      <c r="W36" s="52">
        <f t="shared" si="4"/>
        <v>0</v>
      </c>
      <c r="X36" s="53">
        <f t="shared" si="5"/>
        <v>0</v>
      </c>
      <c r="Y36" s="48"/>
      <c r="Z36" s="60" t="str">
        <f>Tabulacao!MH30</f>
        <v>Monte Alegre de Sergipe</v>
      </c>
      <c r="AA36" s="52">
        <f>COUNTIF(Tabulacao!$MG:$MG,CaractAmostra!Z36)</f>
        <v>1</v>
      </c>
      <c r="AB36" s="53">
        <f t="shared" si="6"/>
        <v>3.6900369003690036E-3</v>
      </c>
      <c r="AC36" s="48"/>
      <c r="AD36" s="52">
        <v>28</v>
      </c>
      <c r="AE36" s="60" t="str">
        <f t="array" ref="AE36">INDEX($Z$80:$Z$143,SMALL(IF($AA$80:$AA$143=AF36,ROW($AA$80:$AA$143)-79),COUNTIF($AF$9:AF36,AF36)))</f>
        <v>Monte Alegre de Sergipe</v>
      </c>
      <c r="AF36" s="52">
        <f t="shared" si="7"/>
        <v>0</v>
      </c>
      <c r="AG36" s="53">
        <f t="shared" si="8"/>
        <v>0</v>
      </c>
      <c r="AH36" s="48"/>
      <c r="AI36" s="60" t="str">
        <f>Tabulacao!ML30</f>
        <v>Poço Redondo</v>
      </c>
      <c r="AJ36" s="52">
        <f>COUNTIF(Tabulacao!$MK:$MK,CaractAmostra!AI36)</f>
        <v>1</v>
      </c>
      <c r="AK36" s="53">
        <f t="shared" si="9"/>
        <v>3.6900369003690036E-3</v>
      </c>
      <c r="AL36" s="48"/>
      <c r="AM36" s="52">
        <v>28</v>
      </c>
      <c r="AN36" s="60" t="str">
        <f t="array" ref="AN36">INDEX($AI$93:$AI$169,SMALL(IF($AJ$93:$AJ$169=AO36,ROW($AJ$93:$AJ$169)-92),COUNTIF($AO$9:AO36,AO36)))</f>
        <v>Boquim</v>
      </c>
      <c r="AO36" s="52">
        <f t="shared" si="10"/>
        <v>0</v>
      </c>
      <c r="AP36" s="53">
        <f t="shared" si="11"/>
        <v>0</v>
      </c>
      <c r="AQ36" s="48"/>
      <c r="AR36" s="48"/>
      <c r="AS36" s="48"/>
      <c r="AT36" s="48"/>
      <c r="AU36" s="48"/>
      <c r="AV36" s="48"/>
      <c r="AW36" s="48"/>
      <c r="AX36" s="48"/>
      <c r="AY36" s="48"/>
      <c r="AZ36" s="48"/>
      <c r="BA36" s="48"/>
      <c r="BB36" s="48"/>
      <c r="BC36" s="48"/>
      <c r="BD36" s="48"/>
      <c r="BE36" s="48"/>
      <c r="BF36" s="48"/>
      <c r="BG36" s="48"/>
      <c r="BH36" s="48"/>
      <c r="BI36" s="48"/>
      <c r="BJ36" s="48"/>
      <c r="BK36" s="48"/>
      <c r="BL36" s="48"/>
      <c r="BM36" s="48"/>
      <c r="BN36" s="48"/>
      <c r="BO36" s="48"/>
      <c r="BP36" s="48"/>
      <c r="BQ36" s="60" t="s">
        <v>1078</v>
      </c>
      <c r="BR36" s="53">
        <f t="shared" si="37"/>
        <v>7.1729957805907171E-2</v>
      </c>
      <c r="BS36" s="53">
        <f t="shared" si="38"/>
        <v>0.11067193675889328</v>
      </c>
      <c r="BT36" s="223">
        <f t="shared" si="41"/>
        <v>45</v>
      </c>
      <c r="BU36" s="224"/>
      <c r="BV36" s="60">
        <v>2008</v>
      </c>
      <c r="BW36" s="53">
        <f t="shared" si="30"/>
        <v>3.6900369003690036E-3</v>
      </c>
      <c r="BX36" s="53">
        <f t="shared" si="32"/>
        <v>0.98523985239852396</v>
      </c>
      <c r="BY36" s="48"/>
      <c r="BZ36" s="48"/>
    </row>
    <row r="37" spans="2:78" x14ac:dyDescent="0.2">
      <c r="B37" s="144"/>
      <c r="C37" s="308" t="s">
        <v>1364</v>
      </c>
      <c r="D37" s="144"/>
      <c r="E37" s="137" t="s">
        <v>620</v>
      </c>
      <c r="F37" s="138" t="s">
        <v>262</v>
      </c>
      <c r="G37" s="138" t="s">
        <v>263</v>
      </c>
      <c r="H37" s="48"/>
      <c r="I37" s="48"/>
      <c r="J37" s="48"/>
      <c r="K37" s="48"/>
      <c r="L37" s="48"/>
      <c r="M37" s="60" t="str">
        <f t="shared" si="34"/>
        <v>Indígena</v>
      </c>
      <c r="N37" s="52">
        <f>COUNTIFS(Respostas_Formatadas!$C:$C,CaractAmostra!$M$27,Respostas_Formatadas!$EC:$EC,CaractAmostra!$M37)</f>
        <v>0</v>
      </c>
      <c r="O37" s="53">
        <f t="shared" si="43"/>
        <v>0</v>
      </c>
      <c r="P37" s="48"/>
      <c r="Q37" s="60" t="str">
        <f>Tabulacao!MD31</f>
        <v>Aquidabã</v>
      </c>
      <c r="R37" s="52">
        <f>COUNTIF(Tabulacao!$MC:$MC,CaractAmostra!Q37)</f>
        <v>1</v>
      </c>
      <c r="S37" s="53">
        <f t="shared" si="3"/>
        <v>3.6900369003690036E-3</v>
      </c>
      <c r="T37" s="48"/>
      <c r="U37" s="52">
        <v>29</v>
      </c>
      <c r="V37" s="60" t="str">
        <f t="array" ref="V37">INDEX($Q$80:$Q$143,SMALL(IF($R$80:$R$143=W37,ROW($R$80:$R$143)-79),COUNTIF($W$9:W37,W37)))</f>
        <v>Belém - PA</v>
      </c>
      <c r="W37" s="52">
        <f t="shared" si="4"/>
        <v>0</v>
      </c>
      <c r="X37" s="53">
        <f t="shared" si="5"/>
        <v>0</v>
      </c>
      <c r="Y37" s="48"/>
      <c r="Z37" s="60" t="str">
        <f>Tabulacao!MH31</f>
        <v>Alagoinhas - BA</v>
      </c>
      <c r="AA37" s="52">
        <f>COUNTIF(Tabulacao!$MG:$MG,CaractAmostra!Z37)</f>
        <v>0</v>
      </c>
      <c r="AB37" s="53">
        <f t="shared" si="6"/>
        <v>0</v>
      </c>
      <c r="AC37" s="48"/>
      <c r="AD37" s="52">
        <v>29</v>
      </c>
      <c r="AE37" s="60" t="str">
        <f t="array" ref="AE37">INDEX($Z$80:$Z$143,SMALL(IF($AA$80:$AA$143=AF37,ROW($AA$80:$AA$143)-79),COUNTIF($AF$9:AF37,AF37)))</f>
        <v>Alagoinhas - BA</v>
      </c>
      <c r="AF37" s="52">
        <f t="shared" si="7"/>
        <v>0</v>
      </c>
      <c r="AG37" s="53">
        <f t="shared" si="8"/>
        <v>0</v>
      </c>
      <c r="AH37" s="48"/>
      <c r="AI37" s="60" t="str">
        <f>Tabulacao!ML31</f>
        <v>Araci - BA</v>
      </c>
      <c r="AJ37" s="52">
        <f>COUNTIF(Tabulacao!$MK:$MK,CaractAmostra!AI37)</f>
        <v>1</v>
      </c>
      <c r="AK37" s="53">
        <f t="shared" si="9"/>
        <v>3.6900369003690036E-3</v>
      </c>
      <c r="AL37" s="48"/>
      <c r="AM37" s="52">
        <v>29</v>
      </c>
      <c r="AN37" s="60" t="str">
        <f t="array" ref="AN37">INDEX($AI$93:$AI$169,SMALL(IF($AJ$93:$AJ$169=AO37,ROW($AJ$93:$AJ$169)-92),COUNTIF($AO$9:AO37,AO37)))</f>
        <v>Aquidabã</v>
      </c>
      <c r="AO37" s="52">
        <f t="shared" si="10"/>
        <v>0</v>
      </c>
      <c r="AP37" s="53">
        <f t="shared" si="11"/>
        <v>0</v>
      </c>
      <c r="AQ37" s="48"/>
      <c r="AR37" s="48"/>
      <c r="AS37" s="48"/>
      <c r="AT37" s="48"/>
      <c r="AU37" s="48"/>
      <c r="AV37" s="48"/>
      <c r="AW37" s="48"/>
      <c r="AX37" s="48"/>
      <c r="AY37" s="48"/>
      <c r="AZ37" s="48"/>
      <c r="BA37" s="48"/>
      <c r="BB37" s="48"/>
      <c r="BC37" s="48"/>
      <c r="BD37" s="48"/>
      <c r="BE37" s="48"/>
      <c r="BF37" s="48"/>
      <c r="BG37" s="48"/>
      <c r="BH37" s="48"/>
      <c r="BI37" s="48"/>
      <c r="BJ37" s="48"/>
      <c r="BK37" s="48"/>
      <c r="BL37" s="48"/>
      <c r="BM37" s="48"/>
      <c r="BN37" s="48"/>
      <c r="BO37" s="48"/>
      <c r="BP37" s="48"/>
      <c r="BQ37" s="60" t="s">
        <v>288</v>
      </c>
      <c r="BR37" s="53">
        <f t="shared" si="37"/>
        <v>5.4852320675105488E-2</v>
      </c>
      <c r="BS37" s="53">
        <f t="shared" si="38"/>
        <v>6.7193675889328064E-2</v>
      </c>
      <c r="BT37" s="223">
        <f t="shared" si="41"/>
        <v>30</v>
      </c>
      <c r="BU37" s="224"/>
      <c r="BV37" s="60">
        <v>2007</v>
      </c>
      <c r="BW37" s="53">
        <f t="shared" si="30"/>
        <v>3.6900369003690036E-3</v>
      </c>
      <c r="BX37" s="53">
        <f t="shared" si="32"/>
        <v>0.98892988929889292</v>
      </c>
      <c r="BY37" s="48"/>
      <c r="BZ37" s="48"/>
    </row>
    <row r="38" spans="2:78" x14ac:dyDescent="0.2">
      <c r="B38" s="144"/>
      <c r="C38" s="309"/>
      <c r="D38" s="307" t="s">
        <v>1159</v>
      </c>
      <c r="E38" s="261" t="s">
        <v>124</v>
      </c>
      <c r="F38" s="147">
        <f>IFERROR(COUNTIFS(Respostas_Formatadas!$C:$C,CaractAmostra!$E$38,Respostas_Formatadas!$EB:$EB,CaractAmostra!$F$37)/VLOOKUP($E38,$E$8:$H$21,2,0),"-")</f>
        <v>0.37777777777777777</v>
      </c>
      <c r="G38" s="147">
        <f>IFERROR(COUNTIFS(Respostas_Formatadas!$C:$C,CaractAmostra!$E$38,Respostas_Formatadas!$EB:$EB,CaractAmostra!$G$37)/VLOOKUP($E38,$E$8:$H$21,2,0),"-")</f>
        <v>0.62222222222222223</v>
      </c>
      <c r="H38" s="48"/>
      <c r="I38" s="48"/>
      <c r="J38" s="48"/>
      <c r="K38" s="48"/>
      <c r="L38" s="48"/>
      <c r="M38" s="60" t="str">
        <f t="shared" si="34"/>
        <v>Outras</v>
      </c>
      <c r="N38" s="52">
        <f>COUNTIFS(Respostas_Formatadas!$C:$C,CaractAmostra!$M$27,Respostas_Formatadas!$EC:$EC,CaractAmostra!$M38)</f>
        <v>0</v>
      </c>
      <c r="O38" s="53">
        <f t="shared" si="43"/>
        <v>0</v>
      </c>
      <c r="P38" s="48"/>
      <c r="Q38" s="60" t="str">
        <f>Tabulacao!MD32</f>
        <v>Araci - BA</v>
      </c>
      <c r="R38" s="52">
        <f>COUNTIF(Tabulacao!$MC:$MC,CaractAmostra!Q38)</f>
        <v>1</v>
      </c>
      <c r="S38" s="53">
        <f t="shared" si="3"/>
        <v>3.6900369003690036E-3</v>
      </c>
      <c r="T38" s="48"/>
      <c r="U38" s="52">
        <v>30</v>
      </c>
      <c r="V38" s="60" t="str">
        <f t="array" ref="V38">INDEX($Q$80:$Q$143,SMALL(IF($R$80:$R$143=W38,ROW($R$80:$R$143)-79),COUNTIF($W$9:W38,W38)))</f>
        <v>Irecê - BA</v>
      </c>
      <c r="W38" s="52">
        <f t="shared" si="4"/>
        <v>0</v>
      </c>
      <c r="X38" s="53">
        <f t="shared" si="5"/>
        <v>0</v>
      </c>
      <c r="Y38" s="48"/>
      <c r="Z38" s="60" t="str">
        <f>Tabulacao!MH32</f>
        <v>Cristinápolis</v>
      </c>
      <c r="AA38" s="52">
        <f>COUNTIF(Tabulacao!$MG:$MG,CaractAmostra!Z38)</f>
        <v>0</v>
      </c>
      <c r="AB38" s="53">
        <f t="shared" si="6"/>
        <v>0</v>
      </c>
      <c r="AC38" s="48"/>
      <c r="AD38" s="52">
        <v>30</v>
      </c>
      <c r="AE38" s="60" t="str">
        <f t="array" ref="AE38">INDEX($Z$80:$Z$143,SMALL(IF($AA$80:$AA$143=AF38,ROW($AA$80:$AA$143)-79),COUNTIF($AF$9:AF38,AF38)))</f>
        <v>Cristinápolis</v>
      </c>
      <c r="AF38" s="52">
        <f t="shared" si="7"/>
        <v>0</v>
      </c>
      <c r="AG38" s="53">
        <f t="shared" si="8"/>
        <v>0</v>
      </c>
      <c r="AH38" s="48"/>
      <c r="AI38" s="60" t="str">
        <f>Tabulacao!ML32</f>
        <v>Feira de Santana - BA</v>
      </c>
      <c r="AJ38" s="52">
        <f>COUNTIF(Tabulacao!$MK:$MK,CaractAmostra!AI38)</f>
        <v>1</v>
      </c>
      <c r="AK38" s="53">
        <f t="shared" si="9"/>
        <v>3.6900369003690036E-3</v>
      </c>
      <c r="AL38" s="48"/>
      <c r="AM38" s="52">
        <v>30</v>
      </c>
      <c r="AN38" s="60" t="str">
        <f t="array" ref="AN38">INDEX($AI$93:$AI$169,SMALL(IF($AJ$93:$AJ$169=AO38,ROW($AJ$93:$AJ$169)-92),COUNTIF($AO$9:AO38,AO38)))</f>
        <v>Itaporanga D'Ajuda</v>
      </c>
      <c r="AO38" s="52">
        <f t="shared" si="10"/>
        <v>0</v>
      </c>
      <c r="AP38" s="53">
        <f t="shared" si="11"/>
        <v>0</v>
      </c>
      <c r="AQ38" s="48"/>
      <c r="AR38" s="48"/>
      <c r="AS38" s="48"/>
      <c r="AT38" s="48"/>
      <c r="AU38" s="48"/>
      <c r="AV38" s="48"/>
      <c r="AW38" s="48"/>
      <c r="AX38" s="48"/>
      <c r="AY38" s="48"/>
      <c r="AZ38" s="48"/>
      <c r="BA38" s="48"/>
      <c r="BB38" s="48"/>
      <c r="BC38" s="48"/>
      <c r="BD38" s="48"/>
      <c r="BE38" s="48"/>
      <c r="BF38" s="48"/>
      <c r="BG38" s="48"/>
      <c r="BH38" s="48"/>
      <c r="BI38" s="48"/>
      <c r="BJ38" s="48"/>
      <c r="BK38" s="48"/>
      <c r="BL38" s="48"/>
      <c r="BM38" s="48"/>
      <c r="BN38" s="48"/>
      <c r="BO38" s="48"/>
      <c r="BP38" s="48"/>
      <c r="BQ38" s="48"/>
      <c r="BR38" s="48"/>
      <c r="BS38" s="48"/>
      <c r="BT38" s="48"/>
      <c r="BU38" s="224"/>
      <c r="BV38" s="60">
        <v>2006</v>
      </c>
      <c r="BW38" s="53">
        <f t="shared" si="30"/>
        <v>3.6900369003690036E-3</v>
      </c>
      <c r="BX38" s="53">
        <f t="shared" si="32"/>
        <v>0.99261992619926187</v>
      </c>
      <c r="BY38" s="48"/>
      <c r="BZ38" s="48"/>
    </row>
    <row r="39" spans="2:78" x14ac:dyDescent="0.2">
      <c r="B39" s="144"/>
      <c r="C39" s="144"/>
      <c r="D39" s="144"/>
      <c r="E39" s="139" t="s">
        <v>621</v>
      </c>
      <c r="F39" s="141">
        <f>IFERROR(COUNTIF(Respostas_Formatadas!$EB:$EB,CaractAmostra!$F$37)/$F$21,"-")</f>
        <v>0.52029520295202947</v>
      </c>
      <c r="G39" s="141">
        <f>IFERROR(COUNTIF(Respostas_Formatadas!$EB:$EB,CaractAmostra!$G$37)/$F$21,"-")</f>
        <v>0.47970479704797048</v>
      </c>
      <c r="H39" s="48"/>
      <c r="I39" s="48"/>
      <c r="J39" s="48"/>
      <c r="K39" s="48"/>
      <c r="L39" s="48"/>
      <c r="M39" s="191" t="str">
        <f t="shared" si="34"/>
        <v>Idade</v>
      </c>
      <c r="N39" s="192" t="s">
        <v>933</v>
      </c>
      <c r="O39" s="193" t="s">
        <v>933</v>
      </c>
      <c r="P39" s="48"/>
      <c r="Q39" s="60" t="str">
        <f>Tabulacao!MD33</f>
        <v>Barbalha - CE</v>
      </c>
      <c r="R39" s="52">
        <f>COUNTIF(Tabulacao!$MC:$MC,CaractAmostra!Q39)</f>
        <v>1</v>
      </c>
      <c r="S39" s="53">
        <f t="shared" si="3"/>
        <v>3.6900369003690036E-3</v>
      </c>
      <c r="T39" s="48"/>
      <c r="U39" s="52">
        <v>31</v>
      </c>
      <c r="V39" s="60" t="str">
        <f t="array" ref="V39">INDEX($Q$80:$Q$143,SMALL(IF($R$80:$R$143=W39,ROW($R$80:$R$143)-79),COUNTIF($W$9:W39,W39)))</f>
        <v>Pedra Mole</v>
      </c>
      <c r="W39" s="52">
        <f t="shared" si="4"/>
        <v>0</v>
      </c>
      <c r="X39" s="53">
        <f t="shared" si="5"/>
        <v>0</v>
      </c>
      <c r="Y39" s="48"/>
      <c r="Z39" s="60" t="str">
        <f>Tabulacao!MH33</f>
        <v>Rio Real - BA</v>
      </c>
      <c r="AA39" s="52">
        <f>COUNTIF(Tabulacao!$MG:$MG,CaractAmostra!Z39)</f>
        <v>0</v>
      </c>
      <c r="AB39" s="53">
        <f t="shared" si="6"/>
        <v>0</v>
      </c>
      <c r="AC39" s="48"/>
      <c r="AD39" s="52">
        <v>31</v>
      </c>
      <c r="AE39" s="60" t="str">
        <f t="array" ref="AE39">INDEX($Z$80:$Z$143,SMALL(IF($AA$80:$AA$143=AF39,ROW($AA$80:$AA$143)-79),COUNTIF($AF$9:AF39,AF39)))</f>
        <v>Rio Real - BA</v>
      </c>
      <c r="AF39" s="52">
        <f t="shared" si="7"/>
        <v>0</v>
      </c>
      <c r="AG39" s="53">
        <f t="shared" si="8"/>
        <v>0</v>
      </c>
      <c r="AH39" s="48"/>
      <c r="AI39" s="60" t="str">
        <f>Tabulacao!ML33</f>
        <v>Floriano - PI</v>
      </c>
      <c r="AJ39" s="52">
        <f>COUNTIF(Tabulacao!$MK:$MK,CaractAmostra!AI39)</f>
        <v>1</v>
      </c>
      <c r="AK39" s="53">
        <f t="shared" si="9"/>
        <v>3.6900369003690036E-3</v>
      </c>
      <c r="AL39" s="48"/>
      <c r="AM39" s="52">
        <v>31</v>
      </c>
      <c r="AN39" s="60" t="str">
        <f t="array" ref="AN39">INDEX($AI$93:$AI$169,SMALL(IF($AJ$93:$AJ$169=AO39,ROW($AJ$93:$AJ$169)-92),COUNTIF($AO$9:AO39,AO39)))</f>
        <v>Monte Alegre de Sergipe</v>
      </c>
      <c r="AO39" s="52">
        <f t="shared" si="10"/>
        <v>0</v>
      </c>
      <c r="AP39" s="53">
        <f t="shared" si="11"/>
        <v>0</v>
      </c>
      <c r="AQ39" s="48"/>
      <c r="AR39" s="48"/>
      <c r="AS39" s="48"/>
      <c r="AT39" s="48"/>
      <c r="AU39" s="48"/>
      <c r="AV39" s="48"/>
      <c r="AW39" s="48"/>
      <c r="AX39" s="48"/>
      <c r="AY39" s="48"/>
      <c r="AZ39" s="48"/>
      <c r="BA39" s="48"/>
      <c r="BB39" s="48"/>
      <c r="BC39" s="48"/>
      <c r="BD39" s="48"/>
      <c r="BE39" s="48"/>
      <c r="BF39" s="48"/>
      <c r="BG39" s="48"/>
      <c r="BH39" s="48"/>
      <c r="BI39" s="48"/>
      <c r="BJ39" s="48"/>
      <c r="BK39" s="48"/>
      <c r="BL39" s="48"/>
      <c r="BM39" s="48"/>
      <c r="BN39" s="48"/>
      <c r="BO39" s="48"/>
      <c r="BP39" s="48"/>
      <c r="BQ39" s="48"/>
      <c r="BR39" s="48"/>
      <c r="BS39" s="48"/>
      <c r="BT39" s="48"/>
      <c r="BU39" s="48"/>
      <c r="BV39" s="60">
        <v>2005</v>
      </c>
      <c r="BW39" s="53">
        <f t="shared" si="30"/>
        <v>7.3800738007380072E-3</v>
      </c>
      <c r="BX39" s="53">
        <f t="shared" si="32"/>
        <v>0.99999999999999989</v>
      </c>
      <c r="BY39" s="48"/>
      <c r="BZ39" s="48"/>
    </row>
    <row r="40" spans="2:78" x14ac:dyDescent="0.2">
      <c r="B40" s="144"/>
      <c r="C40"/>
      <c r="D40" s="144"/>
      <c r="E40" s="48"/>
      <c r="F40" s="48"/>
      <c r="G40" s="48"/>
      <c r="H40" s="48"/>
      <c r="I40" s="48"/>
      <c r="J40" s="48"/>
      <c r="K40" s="48"/>
      <c r="L40" s="48"/>
      <c r="M40" s="206" t="str">
        <f t="shared" si="34"/>
        <v>Média</v>
      </c>
      <c r="N40" s="208">
        <f ca="1">AVERAGEIF(Respostas_Formatadas!$C:$C,CaractAmostra!$M$27,Respostas_Formatadas!$ED$3:$ED$273)</f>
        <v>29.133333333333333</v>
      </c>
      <c r="O40" s="204" t="s">
        <v>933</v>
      </c>
      <c r="P40" s="48"/>
      <c r="Q40" s="60" t="str">
        <f>Tabulacao!MD34</f>
        <v>Campo do Brito</v>
      </c>
      <c r="R40" s="52">
        <f>COUNTIF(Tabulacao!$MC:$MC,CaractAmostra!Q40)</f>
        <v>1</v>
      </c>
      <c r="S40" s="53">
        <f t="shared" si="3"/>
        <v>3.6900369003690036E-3</v>
      </c>
      <c r="T40" s="48"/>
      <c r="U40" s="52">
        <v>32</v>
      </c>
      <c r="V40" s="60" t="str">
        <f t="array" ref="V40">INDEX($Q$80:$Q$143,SMALL(IF($R$80:$R$143=W40,ROW($R$80:$R$143)-79),COUNTIF($W$9:W40,W40)))</f>
        <v>Pinhão</v>
      </c>
      <c r="W40" s="52">
        <f t="shared" si="4"/>
        <v>0</v>
      </c>
      <c r="X40" s="53">
        <f t="shared" si="5"/>
        <v>0</v>
      </c>
      <c r="Y40" s="48"/>
      <c r="Z40" s="60" t="str">
        <f>Tabulacao!MH34</f>
        <v>Salvador - BA</v>
      </c>
      <c r="AA40" s="52">
        <f>COUNTIF(Tabulacao!$MG:$MG,CaractAmostra!Z40)</f>
        <v>0</v>
      </c>
      <c r="AB40" s="53">
        <f t="shared" si="6"/>
        <v>0</v>
      </c>
      <c r="AC40" s="48"/>
      <c r="AD40" s="52">
        <v>32</v>
      </c>
      <c r="AE40" s="60" t="str">
        <f t="array" ref="AE40">INDEX($Z$80:$Z$143,SMALL(IF($AA$80:$AA$143=AF40,ROW($AA$80:$AA$143)-79),COUNTIF($AF$9:AF40,AF40)))</f>
        <v>Salvador - BA</v>
      </c>
      <c r="AF40" s="52">
        <f t="shared" si="7"/>
        <v>0</v>
      </c>
      <c r="AG40" s="53">
        <f t="shared" si="8"/>
        <v>0</v>
      </c>
      <c r="AH40" s="48"/>
      <c r="AI40" s="60" t="str">
        <f>Tabulacao!ML34</f>
        <v>Ribeirópolis</v>
      </c>
      <c r="AJ40" s="52">
        <f>COUNTIF(Tabulacao!$MK:$MK,CaractAmostra!AI40)</f>
        <v>1</v>
      </c>
      <c r="AK40" s="53">
        <f t="shared" si="9"/>
        <v>3.6900369003690036E-3</v>
      </c>
      <c r="AL40" s="48"/>
      <c r="AM40" s="52">
        <v>32</v>
      </c>
      <c r="AN40" s="60" t="str">
        <f t="array" ref="AN40">INDEX($AI$93:$AI$169,SMALL(IF($AJ$93:$AJ$169=AO40,ROW($AJ$93:$AJ$169)-92),COUNTIF($AO$9:AO40,AO40)))</f>
        <v>Alagoinhas - BA</v>
      </c>
      <c r="AO40" s="52">
        <f t="shared" si="10"/>
        <v>0</v>
      </c>
      <c r="AP40" s="53">
        <f t="shared" si="11"/>
        <v>0</v>
      </c>
      <c r="AQ40" s="48"/>
      <c r="AR40" s="48"/>
      <c r="AS40" s="48"/>
      <c r="AT40" s="48"/>
      <c r="AU40" s="48"/>
      <c r="AV40" s="48"/>
      <c r="AW40" s="48"/>
      <c r="AX40" s="48"/>
      <c r="AY40" s="48"/>
      <c r="AZ40" s="48"/>
      <c r="BA40" s="48"/>
      <c r="BB40" s="48"/>
      <c r="BC40" s="48"/>
      <c r="BD40" s="48"/>
      <c r="BE40" s="48"/>
      <c r="BF40" s="48"/>
      <c r="BG40" s="48"/>
      <c r="BH40" s="48"/>
      <c r="BI40" s="48"/>
      <c r="BJ40" s="48"/>
      <c r="BK40" s="48"/>
      <c r="BL40" s="48"/>
      <c r="BM40" s="48"/>
      <c r="BN40" s="48"/>
      <c r="BO40" s="48"/>
      <c r="BP40" s="48"/>
      <c r="BQ40" s="146" t="s">
        <v>1161</v>
      </c>
      <c r="BR40" s="48"/>
      <c r="BS40" s="48"/>
      <c r="BT40" s="48"/>
      <c r="BU40" s="48"/>
      <c r="BV40" s="93" t="s">
        <v>621</v>
      </c>
      <c r="BW40" s="95">
        <f>SUM(BW26:BW39)</f>
        <v>0.99999999999999989</v>
      </c>
      <c r="BX40" s="95" t="s">
        <v>933</v>
      </c>
      <c r="BY40" s="48"/>
      <c r="BZ40" s="48"/>
    </row>
    <row r="41" spans="2:78" x14ac:dyDescent="0.2">
      <c r="B41" s="144"/>
      <c r="C41"/>
      <c r="D41" s="144"/>
      <c r="E41" s="48"/>
      <c r="F41" s="48"/>
      <c r="G41" s="48"/>
      <c r="H41" s="48"/>
      <c r="I41" s="48"/>
      <c r="J41" s="48"/>
      <c r="K41" s="48"/>
      <c r="L41" s="48"/>
      <c r="M41" s="48"/>
      <c r="N41" s="48"/>
      <c r="O41" s="48"/>
      <c r="P41" s="48"/>
      <c r="Q41" s="60" t="str">
        <f>Tabulacao!MD35</f>
        <v>Capela</v>
      </c>
      <c r="R41" s="52">
        <f>COUNTIF(Tabulacao!$MC:$MC,CaractAmostra!Q41)</f>
        <v>1</v>
      </c>
      <c r="S41" s="53">
        <f t="shared" si="3"/>
        <v>3.6900369003690036E-3</v>
      </c>
      <c r="T41" s="48"/>
      <c r="U41" s="52">
        <v>33</v>
      </c>
      <c r="V41" s="60" t="str">
        <f t="array" ref="V41">INDEX($Q$80:$Q$143,SMALL(IF($R$80:$R$143=W41,ROW($R$80:$R$143)-79),COUNTIF($W$9:W41,W41)))</f>
        <v>Poço Redondo</v>
      </c>
      <c r="W41" s="52">
        <f t="shared" si="4"/>
        <v>0</v>
      </c>
      <c r="X41" s="53">
        <f t="shared" si="5"/>
        <v>0</v>
      </c>
      <c r="Y41" s="48"/>
      <c r="Z41" s="60" t="str">
        <f>Tabulacao!MH35</f>
        <v>Belém - PA</v>
      </c>
      <c r="AA41" s="52">
        <f>COUNTIF(Tabulacao!$MG:$MG,CaractAmostra!Z41)</f>
        <v>0</v>
      </c>
      <c r="AB41" s="53">
        <f t="shared" si="6"/>
        <v>0</v>
      </c>
      <c r="AC41" s="48"/>
      <c r="AD41" s="52">
        <v>33</v>
      </c>
      <c r="AE41" s="60" t="str">
        <f t="array" ref="AE41">INDEX($Z$80:$Z$143,SMALL(IF($AA$80:$AA$143=AF41,ROW($AA$80:$AA$143)-79),COUNTIF($AF$9:AF41,AF41)))</f>
        <v>Belém - PA</v>
      </c>
      <c r="AF41" s="52">
        <f t="shared" si="7"/>
        <v>0</v>
      </c>
      <c r="AG41" s="53">
        <f t="shared" si="8"/>
        <v>0</v>
      </c>
      <c r="AH41" s="48"/>
      <c r="AI41" s="60" t="str">
        <f>Tabulacao!ML35</f>
        <v>Vitória da Conquista - BA</v>
      </c>
      <c r="AJ41" s="52">
        <f>COUNTIF(Tabulacao!$MK:$MK,CaractAmostra!AI41)</f>
        <v>1</v>
      </c>
      <c r="AK41" s="53">
        <f t="shared" si="9"/>
        <v>3.6900369003690036E-3</v>
      </c>
      <c r="AL41" s="48"/>
      <c r="AM41" s="52">
        <v>33</v>
      </c>
      <c r="AN41" s="60" t="str">
        <f t="array" ref="AN41">INDEX($AI$93:$AI$169,SMALL(IF($AJ$93:$AJ$169=AO41,ROW($AJ$93:$AJ$169)-92),COUNTIF($AO$9:AO41,AO41)))</f>
        <v>Irecê - BA</v>
      </c>
      <c r="AO41" s="52">
        <f t="shared" si="10"/>
        <v>0</v>
      </c>
      <c r="AP41" s="53">
        <f t="shared" si="11"/>
        <v>0</v>
      </c>
      <c r="AQ41" s="48"/>
      <c r="AR41" s="48"/>
      <c r="AS41" s="48"/>
      <c r="AT41" s="48"/>
      <c r="AU41" s="48"/>
      <c r="AV41" s="48"/>
      <c r="AW41" s="48"/>
      <c r="AX41" s="48"/>
      <c r="AY41" s="48"/>
      <c r="AZ41" s="48"/>
      <c r="BA41" s="48"/>
      <c r="BB41" s="48"/>
      <c r="BC41" s="48"/>
      <c r="BD41" s="48"/>
      <c r="BE41" s="48"/>
      <c r="BF41" s="48"/>
      <c r="BG41" s="48"/>
      <c r="BH41" s="48"/>
      <c r="BI41" s="48"/>
      <c r="BJ41" s="48"/>
      <c r="BK41" s="48"/>
      <c r="BL41" s="48"/>
      <c r="BM41" s="48"/>
      <c r="BN41" s="48"/>
      <c r="BO41" s="48"/>
      <c r="BP41" s="48"/>
      <c r="BQ41" s="48"/>
      <c r="BR41" s="48"/>
      <c r="BS41" s="48"/>
      <c r="BT41" s="48"/>
      <c r="BU41" s="48"/>
      <c r="BV41" s="48"/>
      <c r="BW41" s="48"/>
      <c r="BX41" s="48"/>
      <c r="BY41" s="48"/>
      <c r="BZ41" s="48"/>
    </row>
    <row r="42" spans="2:78" x14ac:dyDescent="0.2">
      <c r="B42" s="144"/>
      <c r="C42"/>
      <c r="D42" s="144"/>
      <c r="E42" s="146" t="s">
        <v>1086</v>
      </c>
      <c r="F42" s="48"/>
      <c r="G42" s="48"/>
      <c r="H42" s="48"/>
      <c r="I42" s="48"/>
      <c r="J42" s="48"/>
      <c r="K42" s="48"/>
      <c r="L42" s="48"/>
      <c r="M42" s="48"/>
      <c r="N42" s="48"/>
      <c r="O42" s="48"/>
      <c r="P42" s="273"/>
      <c r="Q42" s="60" t="str">
        <f>Tabulacao!MD36</f>
        <v>Carira</v>
      </c>
      <c r="R42" s="52">
        <f>COUNTIF(Tabulacao!$MC:$MC,CaractAmostra!Q42)</f>
        <v>1</v>
      </c>
      <c r="S42" s="53">
        <f t="shared" si="3"/>
        <v>3.6900369003690036E-3</v>
      </c>
      <c r="T42" s="273"/>
      <c r="U42" s="52">
        <v>34</v>
      </c>
      <c r="V42" s="60" t="str">
        <f t="array" ref="V42">INDEX($Q$80:$Q$143,SMALL(IF($R$80:$R$143=W42,ROW($R$80:$R$143)-79),COUNTIF($W$9:W42,W42)))</f>
        <v>Riachão do Dantas</v>
      </c>
      <c r="W42" s="52">
        <f t="shared" si="4"/>
        <v>0</v>
      </c>
      <c r="X42" s="53">
        <f t="shared" si="5"/>
        <v>0</v>
      </c>
      <c r="Y42" s="273"/>
      <c r="Z42" s="60" t="str">
        <f>Tabulacao!MH36</f>
        <v>Irecê - BA</v>
      </c>
      <c r="AA42" s="52">
        <f>COUNTIF(Tabulacao!$MG:$MG,CaractAmostra!Z42)</f>
        <v>0</v>
      </c>
      <c r="AB42" s="53">
        <f t="shared" si="6"/>
        <v>0</v>
      </c>
      <c r="AC42" s="273"/>
      <c r="AD42" s="52">
        <v>34</v>
      </c>
      <c r="AE42" s="60" t="str">
        <f t="array" ref="AE42">INDEX($Z$80:$Z$143,SMALL(IF($AA$80:$AA$143=AF42,ROW($AA$80:$AA$143)-79),COUNTIF($AF$9:AF42,AF42)))</f>
        <v>Irecê - BA</v>
      </c>
      <c r="AF42" s="52">
        <f t="shared" si="7"/>
        <v>0</v>
      </c>
      <c r="AG42" s="53">
        <f t="shared" si="8"/>
        <v>0</v>
      </c>
      <c r="AH42" s="273"/>
      <c r="AI42" s="60" t="str">
        <f>Tabulacao!ML36</f>
        <v>Frei Paulo</v>
      </c>
      <c r="AJ42" s="52">
        <f>COUNTIF(Tabulacao!$MK:$MK,CaractAmostra!AI42)</f>
        <v>1</v>
      </c>
      <c r="AK42" s="53">
        <f t="shared" si="9"/>
        <v>3.6900369003690036E-3</v>
      </c>
      <c r="AL42" s="273"/>
      <c r="AM42" s="52">
        <v>34</v>
      </c>
      <c r="AN42" s="60" t="str">
        <f t="array" ref="AN42">INDEX($AI$93:$AI$169,SMALL(IF($AJ$93:$AJ$169=AO42,ROW($AJ$93:$AJ$169)-92),COUNTIF($AO$9:AO42,AO42)))</f>
        <v>Poço Redondo</v>
      </c>
      <c r="AO42" s="52">
        <f t="shared" si="10"/>
        <v>0</v>
      </c>
      <c r="AP42" s="53">
        <f t="shared" si="11"/>
        <v>0</v>
      </c>
      <c r="AQ42" s="273"/>
      <c r="AR42" s="273"/>
      <c r="AS42" s="273"/>
      <c r="AT42" s="273"/>
      <c r="AU42" s="273"/>
      <c r="AV42" s="273"/>
      <c r="AW42" s="273"/>
      <c r="AX42" s="273"/>
      <c r="AY42" s="48"/>
      <c r="AZ42" s="48"/>
      <c r="BA42" s="273"/>
      <c r="BB42" s="273"/>
      <c r="BC42" s="273"/>
      <c r="BD42" s="273"/>
      <c r="BE42" s="273"/>
      <c r="BF42" s="273"/>
      <c r="BG42" s="273"/>
      <c r="BH42" s="273"/>
      <c r="BI42" s="273"/>
      <c r="BJ42" s="273"/>
      <c r="BK42" s="48"/>
      <c r="BL42" s="273"/>
      <c r="BM42" s="273"/>
      <c r="BN42" s="273"/>
      <c r="BO42" s="48"/>
      <c r="BP42" s="307" t="s">
        <v>1159</v>
      </c>
      <c r="BQ42" s="261" t="s">
        <v>119</v>
      </c>
      <c r="BR42" s="48"/>
      <c r="BS42" s="48"/>
      <c r="BT42" s="48"/>
      <c r="BU42" s="48"/>
      <c r="BV42" s="48"/>
      <c r="BW42" s="48"/>
      <c r="BX42" s="48"/>
      <c r="BY42" s="48"/>
      <c r="BZ42" s="48"/>
    </row>
    <row r="43" spans="2:78" x14ac:dyDescent="0.2">
      <c r="B43" s="144"/>
      <c r="C43"/>
      <c r="D43" s="144"/>
      <c r="E43" s="48"/>
      <c r="F43" s="48"/>
      <c r="G43" s="48"/>
      <c r="H43" s="48"/>
      <c r="I43" s="48"/>
      <c r="J43" s="48"/>
      <c r="K43" s="48"/>
      <c r="L43" s="48"/>
      <c r="M43" s="48"/>
      <c r="N43" s="48"/>
      <c r="O43" s="48"/>
      <c r="P43" s="48"/>
      <c r="Q43" s="60" t="str">
        <f>Tabulacao!MD37</f>
        <v>Cedro de São João</v>
      </c>
      <c r="R43" s="52">
        <f>COUNTIF(Tabulacao!$MC:$MC,CaractAmostra!Q43)</f>
        <v>1</v>
      </c>
      <c r="S43" s="53">
        <f t="shared" si="3"/>
        <v>3.6900369003690036E-3</v>
      </c>
      <c r="T43" s="48"/>
      <c r="U43" s="52">
        <v>35</v>
      </c>
      <c r="V43" s="60" t="str">
        <f t="array" ref="V43">INDEX($Q$80:$Q$143,SMALL(IF($R$80:$R$143=W43,ROW($R$80:$R$143)-79),COUNTIF($W$9:W43,W43)))</f>
        <v>São Domingos</v>
      </c>
      <c r="W43" s="52">
        <f t="shared" si="4"/>
        <v>0</v>
      </c>
      <c r="X43" s="53">
        <f t="shared" si="5"/>
        <v>0</v>
      </c>
      <c r="Y43" s="48"/>
      <c r="Z43" s="60" t="str">
        <f>Tabulacao!MH37</f>
        <v>Itaberaba - BA</v>
      </c>
      <c r="AA43" s="52">
        <f>COUNTIF(Tabulacao!$MG:$MG,CaractAmostra!Z43)</f>
        <v>0</v>
      </c>
      <c r="AB43" s="53">
        <f t="shared" si="6"/>
        <v>0</v>
      </c>
      <c r="AC43" s="48"/>
      <c r="AD43" s="52">
        <v>35</v>
      </c>
      <c r="AE43" s="60" t="str">
        <f t="array" ref="AE43">INDEX($Z$80:$Z$143,SMALL(IF($AA$80:$AA$143=AF43,ROW($AA$80:$AA$143)-79),COUNTIF($AF$9:AF43,AF43)))</f>
        <v>Itaberaba - BA</v>
      </c>
      <c r="AF43" s="52">
        <f t="shared" si="7"/>
        <v>0</v>
      </c>
      <c r="AG43" s="53">
        <f t="shared" si="8"/>
        <v>0</v>
      </c>
      <c r="AH43" s="48"/>
      <c r="AI43" s="60" t="str">
        <f>Tabulacao!ML37</f>
        <v>Balneário Camboriú - SC</v>
      </c>
      <c r="AJ43" s="52">
        <f>COUNTIF(Tabulacao!$MK:$MK,CaractAmostra!AI43)</f>
        <v>1</v>
      </c>
      <c r="AK43" s="53">
        <f t="shared" si="9"/>
        <v>3.6900369003690036E-3</v>
      </c>
      <c r="AL43" s="48"/>
      <c r="AM43" s="52">
        <v>35</v>
      </c>
      <c r="AN43" s="60" t="str">
        <f t="array" ref="AN43">INDEX($AI$93:$AI$169,SMALL(IF($AJ$93:$AJ$169=AO43,ROW($AJ$93:$AJ$169)-92),COUNTIF($AO$9:AO43,AO43)))</f>
        <v>Feira de Santana - BA</v>
      </c>
      <c r="AO43" s="52">
        <f t="shared" si="10"/>
        <v>0</v>
      </c>
      <c r="AP43" s="53">
        <f t="shared" si="11"/>
        <v>0</v>
      </c>
      <c r="AQ43" s="48"/>
      <c r="AR43" s="48"/>
      <c r="AS43" s="48"/>
      <c r="AT43" s="48"/>
      <c r="AU43" s="48"/>
      <c r="AV43" s="48"/>
      <c r="AW43" s="48"/>
      <c r="AX43" s="48"/>
      <c r="AY43" s="48"/>
      <c r="AZ43" s="48"/>
      <c r="BA43" s="48"/>
      <c r="BB43" s="48"/>
      <c r="BC43" s="48"/>
      <c r="BD43" s="48"/>
      <c r="BE43" s="48"/>
      <c r="BF43" s="48"/>
      <c r="BG43" s="48"/>
      <c r="BH43" s="48"/>
      <c r="BI43" s="48"/>
      <c r="BJ43" s="48"/>
      <c r="BK43" s="48"/>
      <c r="BL43" s="48"/>
      <c r="BM43" s="48"/>
      <c r="BN43" s="48"/>
      <c r="BO43" s="48"/>
      <c r="BP43" s="48"/>
      <c r="BQ43" s="194" t="str">
        <f>BQ8</f>
        <v>Grau de Instrução do Pai</v>
      </c>
      <c r="BR43" s="187" t="str">
        <f>BR8</f>
        <v>f</v>
      </c>
      <c r="BS43" s="187" t="str">
        <f>BS8</f>
        <v>%</v>
      </c>
      <c r="BT43" s="48"/>
      <c r="BU43" s="48"/>
      <c r="BV43" s="146" t="s">
        <v>1162</v>
      </c>
      <c r="BW43" s="48"/>
      <c r="BX43" s="48"/>
      <c r="BY43" s="48"/>
      <c r="BZ43" s="48"/>
    </row>
    <row r="44" spans="2:78" ht="25.5" x14ac:dyDescent="0.2">
      <c r="B44" s="144"/>
      <c r="C44"/>
      <c r="D44" s="144"/>
      <c r="E44" s="137" t="s">
        <v>1094</v>
      </c>
      <c r="F44" s="138" t="s">
        <v>131</v>
      </c>
      <c r="G44" s="138" t="s">
        <v>132</v>
      </c>
      <c r="H44" s="138" t="str">
        <f>G26</f>
        <v>Egressos
SIGAA</v>
      </c>
      <c r="I44" s="138" t="s">
        <v>1090</v>
      </c>
      <c r="J44" s="48"/>
      <c r="K44" s="48"/>
      <c r="L44" s="48"/>
      <c r="M44" s="48"/>
      <c r="N44" s="48"/>
      <c r="O44" s="48"/>
      <c r="P44" s="48"/>
      <c r="Q44" s="60" t="str">
        <f>Tabulacao!MD38</f>
        <v>Entre Rios - BA</v>
      </c>
      <c r="R44" s="52">
        <f>COUNTIF(Tabulacao!$MC:$MC,CaractAmostra!Q44)</f>
        <v>1</v>
      </c>
      <c r="S44" s="53">
        <f t="shared" si="3"/>
        <v>3.6900369003690036E-3</v>
      </c>
      <c r="T44" s="48"/>
      <c r="U44" s="52">
        <v>36</v>
      </c>
      <c r="V44" s="60" t="str">
        <f t="array" ref="V44">INDEX($Q$80:$Q$143,SMALL(IF($R$80:$R$143=W44,ROW($R$80:$R$143)-79),COUNTIF($W$9:W44,W44)))</f>
        <v>Tobias Barreto</v>
      </c>
      <c r="W44" s="52">
        <f t="shared" si="4"/>
        <v>0</v>
      </c>
      <c r="X44" s="53">
        <f t="shared" si="5"/>
        <v>0</v>
      </c>
      <c r="Y44" s="48"/>
      <c r="Z44" s="60" t="str">
        <f>Tabulacao!MH38</f>
        <v>Poço Redondo</v>
      </c>
      <c r="AA44" s="52">
        <f>COUNTIF(Tabulacao!$MG:$MG,CaractAmostra!Z44)</f>
        <v>0</v>
      </c>
      <c r="AB44" s="53">
        <f t="shared" si="6"/>
        <v>0</v>
      </c>
      <c r="AC44" s="48"/>
      <c r="AD44" s="52">
        <v>36</v>
      </c>
      <c r="AE44" s="60" t="str">
        <f t="array" ref="AE44">INDEX($Z$80:$Z$143,SMALL(IF($AA$80:$AA$143=AF44,ROW($AA$80:$AA$143)-79),COUNTIF($AF$9:AF44,AF44)))</f>
        <v>Poço Redondo</v>
      </c>
      <c r="AF44" s="52">
        <f t="shared" si="7"/>
        <v>0</v>
      </c>
      <c r="AG44" s="53">
        <f t="shared" si="8"/>
        <v>0</v>
      </c>
      <c r="AH44" s="48"/>
      <c r="AI44" s="60" t="str">
        <f>Tabulacao!ML38</f>
        <v>Belo Horizonte - MG</v>
      </c>
      <c r="AJ44" s="52">
        <f>COUNTIF(Tabulacao!$MK:$MK,CaractAmostra!AI44)</f>
        <v>1</v>
      </c>
      <c r="AK44" s="53">
        <f t="shared" si="9"/>
        <v>3.6900369003690036E-3</v>
      </c>
      <c r="AL44" s="48"/>
      <c r="AM44" s="52">
        <v>36</v>
      </c>
      <c r="AN44" s="60" t="str">
        <f t="array" ref="AN44">INDEX($AI$93:$AI$169,SMALL(IF($AJ$93:$AJ$169=AO44,ROW($AJ$93:$AJ$169)-92),COUNTIF($AO$9:AO44,AO44)))</f>
        <v>Ribeirópolis</v>
      </c>
      <c r="AO44" s="52">
        <f t="shared" si="10"/>
        <v>0</v>
      </c>
      <c r="AP44" s="53">
        <f t="shared" si="11"/>
        <v>0</v>
      </c>
      <c r="AQ44" s="48"/>
      <c r="AR44" s="48"/>
      <c r="AS44" s="48"/>
      <c r="AT44" s="48"/>
      <c r="AU44" s="48"/>
      <c r="AV44" s="48"/>
      <c r="AW44" s="48"/>
      <c r="AX44" s="48"/>
      <c r="AY44" s="48"/>
      <c r="AZ44" s="48"/>
      <c r="BA44" s="48"/>
      <c r="BB44" s="48"/>
      <c r="BC44" s="48"/>
      <c r="BD44" s="48"/>
      <c r="BE44" s="48"/>
      <c r="BF44" s="48"/>
      <c r="BG44" s="48"/>
      <c r="BH44" s="48"/>
      <c r="BI44" s="48"/>
      <c r="BJ44" s="48"/>
      <c r="BK44" s="48"/>
      <c r="BL44" s="48"/>
      <c r="BM44" s="48"/>
      <c r="BN44" s="48"/>
      <c r="BO44" s="48"/>
      <c r="BP44" s="48"/>
      <c r="BQ44" s="60" t="str">
        <f t="shared" ref="BQ44:BQ50" si="45">BQ9</f>
        <v>Ensino fundamental incompleto</v>
      </c>
      <c r="BR44" s="52">
        <f>COUNTIFS(Respostas_Formatadas!$C:$C,CaractAmostra!$BQ$42,Respostas_Formatadas!$EV:$EV,CaractAmostra!$BQ44)</f>
        <v>8</v>
      </c>
      <c r="BS44" s="53">
        <f>BR44/$BR$51</f>
        <v>0.17777777777777778</v>
      </c>
      <c r="BT44" s="48"/>
      <c r="BU44" s="48"/>
      <c r="BV44" s="48"/>
      <c r="BW44" s="48"/>
      <c r="BX44" s="48"/>
      <c r="BY44" s="48"/>
      <c r="BZ44" s="48"/>
    </row>
    <row r="45" spans="2:78" x14ac:dyDescent="0.2">
      <c r="B45" s="144"/>
      <c r="C45"/>
      <c r="D45" s="144"/>
      <c r="E45" s="51" t="s">
        <v>1087</v>
      </c>
      <c r="F45" s="52">
        <f>F10+F15</f>
        <v>67</v>
      </c>
      <c r="G45" s="53">
        <f>F45/$F$48</f>
        <v>0.24723247232472326</v>
      </c>
      <c r="H45" s="52">
        <f>G10+G15</f>
        <v>141</v>
      </c>
      <c r="I45" s="53">
        <f>F45/H45</f>
        <v>0.47517730496453903</v>
      </c>
      <c r="J45" s="48"/>
      <c r="K45" s="48"/>
      <c r="L45" s="48"/>
      <c r="M45" s="48"/>
      <c r="N45" s="48"/>
      <c r="O45" s="48"/>
      <c r="P45" s="48"/>
      <c r="Q45" s="60" t="str">
        <f>Tabulacao!MD39</f>
        <v>Feira de Santana - BA</v>
      </c>
      <c r="R45" s="52">
        <f>COUNTIF(Tabulacao!$MC:$MC,CaractAmostra!Q45)</f>
        <v>1</v>
      </c>
      <c r="S45" s="53">
        <f t="shared" si="3"/>
        <v>3.6900369003690036E-3</v>
      </c>
      <c r="T45" s="48"/>
      <c r="U45" s="52">
        <v>37</v>
      </c>
      <c r="V45" s="60" t="str">
        <f t="array" ref="V45">INDEX($Q$80:$Q$143,SMALL(IF($R$80:$R$143=W45,ROW($R$80:$R$143)-79),COUNTIF($W$9:W45,W45)))</f>
        <v>Nossa Senhora das Dores</v>
      </c>
      <c r="W45" s="52">
        <f t="shared" si="4"/>
        <v>0</v>
      </c>
      <c r="X45" s="53">
        <f t="shared" si="5"/>
        <v>0</v>
      </c>
      <c r="Y45" s="48"/>
      <c r="Z45" s="60" t="str">
        <f>Tabulacao!MH39</f>
        <v>Acajutiba - BA</v>
      </c>
      <c r="AA45" s="52">
        <f>COUNTIF(Tabulacao!$MG:$MG,CaractAmostra!Z45)</f>
        <v>0</v>
      </c>
      <c r="AB45" s="53">
        <f t="shared" si="6"/>
        <v>0</v>
      </c>
      <c r="AC45" s="48"/>
      <c r="AD45" s="52">
        <v>37</v>
      </c>
      <c r="AE45" s="60" t="str">
        <f t="array" ref="AE45">INDEX($Z$80:$Z$143,SMALL(IF($AA$80:$AA$143=AF45,ROW($AA$80:$AA$143)-79),COUNTIF($AF$9:AF45,AF45)))</f>
        <v>Acajutiba - BA</v>
      </c>
      <c r="AF45" s="52">
        <f t="shared" si="7"/>
        <v>0</v>
      </c>
      <c r="AG45" s="53">
        <f t="shared" si="8"/>
        <v>0</v>
      </c>
      <c r="AH45" s="48"/>
      <c r="AI45" s="60" t="str">
        <f>Tabulacao!ML39</f>
        <v xml:space="preserve">Teixeira de Freitas - BA </v>
      </c>
      <c r="AJ45" s="52">
        <f>COUNTIF(Tabulacao!$MK:$MK,CaractAmostra!AI45)</f>
        <v>1</v>
      </c>
      <c r="AK45" s="53">
        <f t="shared" si="9"/>
        <v>3.6900369003690036E-3</v>
      </c>
      <c r="AL45" s="48"/>
      <c r="AM45" s="52">
        <v>37</v>
      </c>
      <c r="AN45" s="60" t="str">
        <f t="array" ref="AN45">INDEX($AI$93:$AI$169,SMALL(IF($AJ$93:$AJ$169=AO45,ROW($AJ$93:$AJ$169)-92),COUNTIF($AO$9:AO45,AO45)))</f>
        <v>Frei Paulo</v>
      </c>
      <c r="AO45" s="52">
        <f t="shared" si="10"/>
        <v>0</v>
      </c>
      <c r="AP45" s="53">
        <f t="shared" si="11"/>
        <v>0</v>
      </c>
      <c r="AQ45" s="48"/>
      <c r="AR45" s="48"/>
      <c r="AS45" s="48"/>
      <c r="AT45" s="48"/>
      <c r="AU45" s="48"/>
      <c r="AV45" s="48"/>
      <c r="AW45" s="48"/>
      <c r="AX45" s="48"/>
      <c r="AY45" s="48"/>
      <c r="AZ45" s="48"/>
      <c r="BA45" s="48"/>
      <c r="BB45" s="48"/>
      <c r="BC45" s="48"/>
      <c r="BD45" s="48"/>
      <c r="BE45" s="48"/>
      <c r="BF45" s="48"/>
      <c r="BG45" s="48"/>
      <c r="BH45" s="48"/>
      <c r="BI45" s="48"/>
      <c r="BJ45" s="48"/>
      <c r="BK45" s="48"/>
      <c r="BL45" s="48"/>
      <c r="BM45" s="48"/>
      <c r="BN45" s="48"/>
      <c r="BO45" s="48"/>
      <c r="BP45" s="48"/>
      <c r="BQ45" s="60" t="str">
        <f t="shared" si="45"/>
        <v>Ensino fundamental completo</v>
      </c>
      <c r="BR45" s="52">
        <f>COUNTIFS(Respostas_Formatadas!$C:$C,CaractAmostra!$BQ$42,Respostas_Formatadas!$EV:$EV,CaractAmostra!$BQ45)</f>
        <v>6</v>
      </c>
      <c r="BS45" s="53">
        <f t="shared" ref="BS45:BS50" si="46">BR45/$BR$51</f>
        <v>0.13333333333333333</v>
      </c>
      <c r="BT45" s="48"/>
      <c r="BU45" s="307" t="s">
        <v>1159</v>
      </c>
      <c r="BV45" s="261" t="s">
        <v>124</v>
      </c>
      <c r="BW45" s="48"/>
      <c r="BX45" s="48"/>
      <c r="BY45" s="48"/>
      <c r="BZ45" s="48"/>
    </row>
    <row r="46" spans="2:78" x14ac:dyDescent="0.2">
      <c r="B46" s="144"/>
      <c r="C46"/>
      <c r="D46" s="144"/>
      <c r="E46" s="51" t="s">
        <v>1088</v>
      </c>
      <c r="F46" s="52">
        <f>F9+F16+F17</f>
        <v>58</v>
      </c>
      <c r="G46" s="53">
        <f>F46/$F$48</f>
        <v>0.2140221402214022</v>
      </c>
      <c r="H46" s="52">
        <f>G9+G16+G17</f>
        <v>142</v>
      </c>
      <c r="I46" s="53">
        <f>F46/H46</f>
        <v>0.40845070422535212</v>
      </c>
      <c r="J46" s="48"/>
      <c r="K46" s="48"/>
      <c r="L46" s="48"/>
      <c r="M46" s="48"/>
      <c r="N46" s="48"/>
      <c r="O46" s="48"/>
      <c r="P46" s="48"/>
      <c r="Q46" s="60" t="str">
        <f>Tabulacao!MD40</f>
        <v>Floriano - PI</v>
      </c>
      <c r="R46" s="52">
        <f>COUNTIF(Tabulacao!$MC:$MC,CaractAmostra!Q46)</f>
        <v>1</v>
      </c>
      <c r="S46" s="53">
        <f t="shared" si="3"/>
        <v>3.6900369003690036E-3</v>
      </c>
      <c r="T46" s="48"/>
      <c r="U46" s="52">
        <v>38</v>
      </c>
      <c r="V46" s="60" t="str">
        <f t="array" ref="V46">INDEX($Q$80:$Q$143,SMALL(IF($R$80:$R$143=W46,ROW($R$80:$R$143)-79),COUNTIF($W$9:W46,W46)))</f>
        <v>Aquidabã</v>
      </c>
      <c r="W46" s="52">
        <f t="shared" si="4"/>
        <v>0</v>
      </c>
      <c r="X46" s="53">
        <f t="shared" si="5"/>
        <v>0</v>
      </c>
      <c r="Y46" s="48"/>
      <c r="Z46" s="60" t="str">
        <f>Tabulacao!MH40</f>
        <v>Araci - BA</v>
      </c>
      <c r="AA46" s="52">
        <f>COUNTIF(Tabulacao!$MG:$MG,CaractAmostra!Z46)</f>
        <v>0</v>
      </c>
      <c r="AB46" s="53">
        <f t="shared" si="6"/>
        <v>0</v>
      </c>
      <c r="AC46" s="48"/>
      <c r="AD46" s="52">
        <v>38</v>
      </c>
      <c r="AE46" s="60" t="str">
        <f t="array" ref="AE46">INDEX($Z$80:$Z$143,SMALL(IF($AA$80:$AA$143=AF46,ROW($AA$80:$AA$143)-79),COUNTIF($AF$9:AF46,AF46)))</f>
        <v>Araci - BA</v>
      </c>
      <c r="AF46" s="52">
        <f t="shared" si="7"/>
        <v>0</v>
      </c>
      <c r="AG46" s="53">
        <f t="shared" si="8"/>
        <v>0</v>
      </c>
      <c r="AH46" s="48"/>
      <c r="AI46" s="60" t="str">
        <f>Tabulacao!ML40</f>
        <v>João Pessoa - PB</v>
      </c>
      <c r="AJ46" s="52">
        <f>COUNTIF(Tabulacao!$MK:$MK,CaractAmostra!AI46)</f>
        <v>1</v>
      </c>
      <c r="AK46" s="53">
        <f t="shared" si="9"/>
        <v>3.6900369003690036E-3</v>
      </c>
      <c r="AL46" s="48"/>
      <c r="AM46" s="52">
        <v>38</v>
      </c>
      <c r="AN46" s="60" t="str">
        <f t="array" ref="AN46">INDEX($AI$93:$AI$169,SMALL(IF($AJ$93:$AJ$169=AO46,ROW($AJ$93:$AJ$169)-92),COUNTIF($AO$9:AO46,AO46)))</f>
        <v>Balneário Camboriú - SC</v>
      </c>
      <c r="AO46" s="52">
        <f t="shared" si="10"/>
        <v>0</v>
      </c>
      <c r="AP46" s="53">
        <f t="shared" si="11"/>
        <v>0</v>
      </c>
      <c r="AQ46" s="48"/>
      <c r="AR46" s="48"/>
      <c r="AS46" s="48"/>
      <c r="AT46" s="48"/>
      <c r="AU46" s="48"/>
      <c r="AV46" s="48"/>
      <c r="AW46" s="48"/>
      <c r="AX46" s="48"/>
      <c r="AY46" s="48"/>
      <c r="AZ46" s="48"/>
      <c r="BA46" s="48"/>
      <c r="BB46" s="48"/>
      <c r="BC46" s="48"/>
      <c r="BD46" s="48"/>
      <c r="BE46" s="48"/>
      <c r="BF46" s="48"/>
      <c r="BG46" s="48"/>
      <c r="BH46" s="48"/>
      <c r="BI46" s="48"/>
      <c r="BJ46" s="48"/>
      <c r="BK46" s="48"/>
      <c r="BL46" s="48"/>
      <c r="BM46" s="48"/>
      <c r="BN46" s="48"/>
      <c r="BO46" s="48"/>
      <c r="BP46" s="48"/>
      <c r="BQ46" s="60" t="str">
        <f t="shared" si="45"/>
        <v>Ensino médio incompleto</v>
      </c>
      <c r="BR46" s="52">
        <f>COUNTIFS(Respostas_Formatadas!$C:$C,CaractAmostra!$BQ$42,Respostas_Formatadas!$EV:$EV,CaractAmostra!$BQ46)</f>
        <v>0</v>
      </c>
      <c r="BS46" s="53">
        <f t="shared" si="46"/>
        <v>0</v>
      </c>
      <c r="BT46" s="48"/>
      <c r="BU46" s="48"/>
      <c r="BV46" s="194" t="str">
        <f>BV8</f>
        <v>Ano de conclusão</v>
      </c>
      <c r="BW46" s="187" t="str">
        <f>BW8</f>
        <v>f</v>
      </c>
      <c r="BX46" s="187" t="str">
        <f>BX8</f>
        <v>%</v>
      </c>
      <c r="BY46" s="48"/>
      <c r="BZ46" s="48"/>
    </row>
    <row r="47" spans="2:78" x14ac:dyDescent="0.2">
      <c r="B47" s="144"/>
      <c r="C47"/>
      <c r="D47" s="144"/>
      <c r="E47" s="51" t="s">
        <v>1089</v>
      </c>
      <c r="F47" s="52">
        <f>F11+F12+F13+F14+F18+F19+F20</f>
        <v>146</v>
      </c>
      <c r="G47" s="53">
        <f>F47/$F$48</f>
        <v>0.53874538745387457</v>
      </c>
      <c r="H47" s="52">
        <f>G11+G12+G13+G14+G18+G19+G20</f>
        <v>389</v>
      </c>
      <c r="I47" s="53">
        <f>F47/H47</f>
        <v>0.37532133676092544</v>
      </c>
      <c r="J47" s="48"/>
      <c r="K47" s="48"/>
      <c r="L47" s="48"/>
      <c r="M47" s="48"/>
      <c r="N47" s="48"/>
      <c r="O47" s="48"/>
      <c r="P47" s="48"/>
      <c r="Q47" s="60" t="str">
        <f>Tabulacao!MD41</f>
        <v>Graccho Cardoso</v>
      </c>
      <c r="R47" s="52">
        <f>COUNTIF(Tabulacao!$MC:$MC,CaractAmostra!Q47)</f>
        <v>1</v>
      </c>
      <c r="S47" s="53">
        <f t="shared" si="3"/>
        <v>3.6900369003690036E-3</v>
      </c>
      <c r="T47" s="48"/>
      <c r="U47" s="52">
        <v>39</v>
      </c>
      <c r="V47" s="60" t="str">
        <f t="array" ref="V47">INDEX($Q$80:$Q$143,SMALL(IF($R$80:$R$143=W47,ROW($R$80:$R$143)-79),COUNTIF($W$9:W47,W47)))</f>
        <v>Campo do Brito</v>
      </c>
      <c r="W47" s="52">
        <f t="shared" si="4"/>
        <v>0</v>
      </c>
      <c r="X47" s="53">
        <f t="shared" si="5"/>
        <v>0</v>
      </c>
      <c r="Y47" s="48"/>
      <c r="Z47" s="60" t="str">
        <f>Tabulacao!MH41</f>
        <v>Barbalha - CE</v>
      </c>
      <c r="AA47" s="52">
        <f>COUNTIF(Tabulacao!$MG:$MG,CaractAmostra!Z47)</f>
        <v>0</v>
      </c>
      <c r="AB47" s="53">
        <f t="shared" si="6"/>
        <v>0</v>
      </c>
      <c r="AC47" s="48"/>
      <c r="AD47" s="52">
        <v>39</v>
      </c>
      <c r="AE47" s="60" t="str">
        <f t="array" ref="AE47">INDEX($Z$80:$Z$143,SMALL(IF($AA$80:$AA$143=AF47,ROW($AA$80:$AA$143)-79),COUNTIF($AF$9:AF47,AF47)))</f>
        <v>Barbalha - CE</v>
      </c>
      <c r="AF47" s="52">
        <f t="shared" si="7"/>
        <v>0</v>
      </c>
      <c r="AG47" s="53">
        <f t="shared" si="8"/>
        <v>0</v>
      </c>
      <c r="AH47" s="48"/>
      <c r="AI47" s="60" t="str">
        <f>Tabulacao!ML41</f>
        <v>Curitiba - PR</v>
      </c>
      <c r="AJ47" s="52">
        <f>COUNTIF(Tabulacao!$MK:$MK,CaractAmostra!AI47)</f>
        <v>1</v>
      </c>
      <c r="AK47" s="53">
        <f t="shared" si="9"/>
        <v>3.6900369003690036E-3</v>
      </c>
      <c r="AL47" s="48"/>
      <c r="AM47" s="52">
        <v>39</v>
      </c>
      <c r="AN47" s="60" t="str">
        <f t="array" ref="AN47">INDEX($AI$93:$AI$169,SMALL(IF($AJ$93:$AJ$169=AO47,ROW($AJ$93:$AJ$169)-92),COUNTIF($AO$9:AO47,AO47)))</f>
        <v>Belo Horizonte - MG</v>
      </c>
      <c r="AO47" s="52">
        <f t="shared" si="10"/>
        <v>0</v>
      </c>
      <c r="AP47" s="53">
        <f t="shared" si="11"/>
        <v>0</v>
      </c>
      <c r="AQ47" s="48"/>
      <c r="AR47" s="48"/>
      <c r="AS47" s="48"/>
      <c r="AT47" s="48"/>
      <c r="AU47" s="48"/>
      <c r="AV47" s="48"/>
      <c r="AW47" s="48"/>
      <c r="AX47" s="48"/>
      <c r="AY47" s="48"/>
      <c r="AZ47" s="48"/>
      <c r="BA47" s="48"/>
      <c r="BB47" s="48"/>
      <c r="BC47" s="48"/>
      <c r="BD47" s="48"/>
      <c r="BE47" s="48"/>
      <c r="BF47" s="48"/>
      <c r="BG47" s="48"/>
      <c r="BH47" s="48"/>
      <c r="BI47" s="48"/>
      <c r="BJ47" s="48"/>
      <c r="BK47" s="48"/>
      <c r="BL47" s="48"/>
      <c r="BM47" s="48"/>
      <c r="BN47" s="48"/>
      <c r="BO47" s="48"/>
      <c r="BP47" s="48"/>
      <c r="BQ47" s="60" t="str">
        <f t="shared" si="45"/>
        <v>Ensino médio completo</v>
      </c>
      <c r="BR47" s="52">
        <f>COUNTIFS(Respostas_Formatadas!$C:$C,CaractAmostra!$BQ$42,Respostas_Formatadas!$EV:$EV,CaractAmostra!$BQ47)</f>
        <v>12</v>
      </c>
      <c r="BS47" s="53">
        <f t="shared" si="46"/>
        <v>0.26666666666666666</v>
      </c>
      <c r="BT47" s="48"/>
      <c r="BU47" s="48"/>
      <c r="BV47" s="60">
        <f>BV9</f>
        <v>2005</v>
      </c>
      <c r="BW47" s="52">
        <f>COUNTIFS(Respostas_Formatadas!$C:$C,CaractAmostra!$BV$45,Respostas_Formatadas!$FE:$FE,CaractAmostra!$BV47)</f>
        <v>2</v>
      </c>
      <c r="BX47" s="53">
        <f>BW47/$BW$61</f>
        <v>4.4444444444444446E-2</v>
      </c>
      <c r="BY47" s="48"/>
      <c r="BZ47" s="48"/>
    </row>
    <row r="48" spans="2:78" x14ac:dyDescent="0.2">
      <c r="B48" s="144"/>
      <c r="C48"/>
      <c r="D48" s="144"/>
      <c r="E48" s="143" t="s">
        <v>621</v>
      </c>
      <c r="F48" s="94">
        <f>SUM(F45:F47)</f>
        <v>271</v>
      </c>
      <c r="G48" s="95">
        <f>SUM(G45:G47)</f>
        <v>1</v>
      </c>
      <c r="H48" s="94">
        <f>SUM(H45:H47)</f>
        <v>672</v>
      </c>
      <c r="I48" s="95">
        <f>F48/H48</f>
        <v>0.40327380952380953</v>
      </c>
      <c r="J48" s="48"/>
      <c r="K48" s="48"/>
      <c r="L48" s="48"/>
      <c r="M48" s="48"/>
      <c r="N48" s="48"/>
      <c r="O48" s="48"/>
      <c r="P48" s="48"/>
      <c r="Q48" s="60" t="str">
        <f>Tabulacao!MD42</f>
        <v>Indiaroba</v>
      </c>
      <c r="R48" s="52">
        <f>COUNTIF(Tabulacao!$MC:$MC,CaractAmostra!Q48)</f>
        <v>1</v>
      </c>
      <c r="S48" s="53">
        <f t="shared" si="3"/>
        <v>3.6900369003690036E-3</v>
      </c>
      <c r="T48" s="48"/>
      <c r="U48" s="52">
        <v>40</v>
      </c>
      <c r="V48" s="60" t="str">
        <f t="array" ref="V48">INDEX($Q$80:$Q$143,SMALL(IF($R$80:$R$143=W48,ROW($R$80:$R$143)-79),COUNTIF($W$9:W48,W48)))</f>
        <v>Capela</v>
      </c>
      <c r="W48" s="52">
        <f t="shared" si="4"/>
        <v>0</v>
      </c>
      <c r="X48" s="53">
        <f t="shared" si="5"/>
        <v>0</v>
      </c>
      <c r="Y48" s="48"/>
      <c r="Z48" s="60" t="str">
        <f>Tabulacao!MH42</f>
        <v>Capela</v>
      </c>
      <c r="AA48" s="52">
        <f>COUNTIF(Tabulacao!$MG:$MG,CaractAmostra!Z48)</f>
        <v>0</v>
      </c>
      <c r="AB48" s="53">
        <f t="shared" si="6"/>
        <v>0</v>
      </c>
      <c r="AC48" s="48"/>
      <c r="AD48" s="52">
        <v>40</v>
      </c>
      <c r="AE48" s="60" t="str">
        <f t="array" ref="AE48">INDEX($Z$80:$Z$143,SMALL(IF($AA$80:$AA$143=AF48,ROW($AA$80:$AA$143)-79),COUNTIF($AF$9:AF48,AF48)))</f>
        <v>Capela</v>
      </c>
      <c r="AF48" s="52">
        <f t="shared" si="7"/>
        <v>0</v>
      </c>
      <c r="AG48" s="53">
        <f t="shared" si="8"/>
        <v>0</v>
      </c>
      <c r="AH48" s="48"/>
      <c r="AI48" s="60" t="str">
        <f>Tabulacao!ML42</f>
        <v>Brasília - DF</v>
      </c>
      <c r="AJ48" s="52">
        <f>COUNTIF(Tabulacao!$MK:$MK,CaractAmostra!AI48)</f>
        <v>1</v>
      </c>
      <c r="AK48" s="53">
        <f t="shared" si="9"/>
        <v>3.6900369003690036E-3</v>
      </c>
      <c r="AL48" s="48"/>
      <c r="AM48" s="52">
        <v>40</v>
      </c>
      <c r="AN48" s="60" t="str">
        <f t="array" ref="AN48">INDEX($AI$93:$AI$169,SMALL(IF($AJ$93:$AJ$169=AO48,ROW($AJ$93:$AJ$169)-92),COUNTIF($AO$9:AO48,AO48)))</f>
        <v xml:space="preserve">Teixeira de Freitas - BA </v>
      </c>
      <c r="AO48" s="52">
        <f t="shared" si="10"/>
        <v>0</v>
      </c>
      <c r="AP48" s="53">
        <f t="shared" si="11"/>
        <v>0</v>
      </c>
      <c r="AQ48" s="48"/>
      <c r="AR48" s="48"/>
      <c r="AS48" s="48"/>
      <c r="AT48" s="48"/>
      <c r="AU48" s="48"/>
      <c r="AV48" s="48"/>
      <c r="AW48" s="48"/>
      <c r="AX48" s="48"/>
      <c r="AY48" s="48"/>
      <c r="AZ48" s="48"/>
      <c r="BA48" s="48"/>
      <c r="BB48" s="48"/>
      <c r="BC48" s="48"/>
      <c r="BD48" s="48"/>
      <c r="BE48" s="48"/>
      <c r="BF48" s="48"/>
      <c r="BG48" s="48"/>
      <c r="BH48" s="48"/>
      <c r="BI48" s="48"/>
      <c r="BJ48" s="48"/>
      <c r="BK48" s="48"/>
      <c r="BL48" s="48"/>
      <c r="BM48" s="48"/>
      <c r="BN48" s="48"/>
      <c r="BO48" s="48"/>
      <c r="BP48" s="48"/>
      <c r="BQ48" s="60" t="str">
        <f t="shared" si="45"/>
        <v>Ensino superior incompleto</v>
      </c>
      <c r="BR48" s="52">
        <f>COUNTIFS(Respostas_Formatadas!$C:$C,CaractAmostra!$BQ$42,Respostas_Formatadas!$EV:$EV,CaractAmostra!$BQ48)</f>
        <v>3</v>
      </c>
      <c r="BS48" s="53">
        <f t="shared" si="46"/>
        <v>6.6666666666666666E-2</v>
      </c>
      <c r="BT48" s="48"/>
      <c r="BU48" s="48"/>
      <c r="BV48" s="60">
        <f t="shared" ref="BV48:BV60" si="47">BV10</f>
        <v>2006</v>
      </c>
      <c r="BW48" s="52">
        <f>COUNTIFS(Respostas_Formatadas!$C:$C,CaractAmostra!$BV$45,Respostas_Formatadas!$FE:$FE,CaractAmostra!$BV48)</f>
        <v>1</v>
      </c>
      <c r="BX48" s="53">
        <f t="shared" ref="BX48:BX60" si="48">BW48/$BW$61</f>
        <v>2.2222222222222223E-2</v>
      </c>
      <c r="BY48" s="48"/>
      <c r="BZ48" s="48"/>
    </row>
    <row r="49" spans="2:78" x14ac:dyDescent="0.2">
      <c r="B49" s="144"/>
      <c r="C49"/>
      <c r="D49" s="144"/>
      <c r="E49" s="48"/>
      <c r="F49" s="48"/>
      <c r="G49" s="48"/>
      <c r="H49" s="48"/>
      <c r="I49" s="48"/>
      <c r="J49" s="48"/>
      <c r="K49" s="48"/>
      <c r="L49" s="48"/>
      <c r="M49" s="48"/>
      <c r="N49" s="48"/>
      <c r="O49" s="48"/>
      <c r="P49" s="48"/>
      <c r="Q49" s="60" t="str">
        <f>Tabulacao!MD43</f>
        <v>Itabaianinha</v>
      </c>
      <c r="R49" s="52">
        <f>COUNTIF(Tabulacao!$MC:$MC,CaractAmostra!Q49)</f>
        <v>1</v>
      </c>
      <c r="S49" s="53">
        <f t="shared" si="3"/>
        <v>3.6900369003690036E-3</v>
      </c>
      <c r="T49" s="48"/>
      <c r="U49" s="52">
        <v>41</v>
      </c>
      <c r="V49" s="60" t="str">
        <f t="array" ref="V49">INDEX($Q$80:$Q$143,SMALL(IF($R$80:$R$143=W49,ROW($R$80:$R$143)-79),COUNTIF($W$9:W49,W49)))</f>
        <v>Carira</v>
      </c>
      <c r="W49" s="52">
        <f t="shared" si="4"/>
        <v>0</v>
      </c>
      <c r="X49" s="53">
        <f t="shared" si="5"/>
        <v>0</v>
      </c>
      <c r="Y49" s="48"/>
      <c r="Z49" s="60" t="str">
        <f>Tabulacao!MH43</f>
        <v>Carira</v>
      </c>
      <c r="AA49" s="52">
        <f>COUNTIF(Tabulacao!$MG:$MG,CaractAmostra!Z49)</f>
        <v>0</v>
      </c>
      <c r="AB49" s="53">
        <f t="shared" si="6"/>
        <v>0</v>
      </c>
      <c r="AC49" s="48"/>
      <c r="AD49" s="52">
        <v>41</v>
      </c>
      <c r="AE49" s="60" t="str">
        <f t="array" ref="AE49">INDEX($Z$80:$Z$143,SMALL(IF($AA$80:$AA$143=AF49,ROW($AA$80:$AA$143)-79),COUNTIF($AF$9:AF49,AF49)))</f>
        <v>Carira</v>
      </c>
      <c r="AF49" s="52">
        <f t="shared" si="7"/>
        <v>0</v>
      </c>
      <c r="AG49" s="53">
        <f t="shared" si="8"/>
        <v>0</v>
      </c>
      <c r="AH49" s="48"/>
      <c r="AI49" s="60" t="str">
        <f>Tabulacao!ML43</f>
        <v>Blumenau - SC</v>
      </c>
      <c r="AJ49" s="52">
        <f>COUNTIF(Tabulacao!$MK:$MK,CaractAmostra!AI49)</f>
        <v>1</v>
      </c>
      <c r="AK49" s="53">
        <f t="shared" si="9"/>
        <v>3.6900369003690036E-3</v>
      </c>
      <c r="AL49" s="48"/>
      <c r="AM49" s="52">
        <v>41</v>
      </c>
      <c r="AN49" s="60" t="str">
        <f t="array" ref="AN49">INDEX($AI$93:$AI$169,SMALL(IF($AJ$93:$AJ$169=AO49,ROW($AJ$93:$AJ$169)-92),COUNTIF($AO$9:AO49,AO49)))</f>
        <v>João Pessoa - PB</v>
      </c>
      <c r="AO49" s="52">
        <f t="shared" si="10"/>
        <v>0</v>
      </c>
      <c r="AP49" s="53">
        <f t="shared" si="11"/>
        <v>0</v>
      </c>
      <c r="AQ49" s="48"/>
      <c r="AR49" s="48"/>
      <c r="AS49" s="48"/>
      <c r="AT49" s="48"/>
      <c r="AU49" s="48"/>
      <c r="AV49" s="48"/>
      <c r="AW49" s="48"/>
      <c r="AX49" s="48"/>
      <c r="AY49" s="48"/>
      <c r="AZ49" s="48"/>
      <c r="BA49" s="48"/>
      <c r="BB49" s="48"/>
      <c r="BC49" s="48"/>
      <c r="BD49" s="48"/>
      <c r="BE49" s="48"/>
      <c r="BF49" s="48"/>
      <c r="BG49" s="48"/>
      <c r="BH49" s="48"/>
      <c r="BI49" s="48"/>
      <c r="BJ49" s="48"/>
      <c r="BK49" s="48"/>
      <c r="BL49" s="48"/>
      <c r="BM49" s="48"/>
      <c r="BN49" s="48"/>
      <c r="BO49" s="48"/>
      <c r="BP49" s="48"/>
      <c r="BQ49" s="60" t="str">
        <f t="shared" si="45"/>
        <v>Ensino superior completo</v>
      </c>
      <c r="BR49" s="52">
        <f>COUNTIFS(Respostas_Formatadas!$C:$C,CaractAmostra!$BQ$42,Respostas_Formatadas!$EV:$EV,CaractAmostra!$BQ49)</f>
        <v>9</v>
      </c>
      <c r="BS49" s="53">
        <f t="shared" si="46"/>
        <v>0.2</v>
      </c>
      <c r="BT49" s="48"/>
      <c r="BU49" s="48"/>
      <c r="BV49" s="60">
        <f t="shared" si="47"/>
        <v>2007</v>
      </c>
      <c r="BW49" s="52">
        <f>COUNTIFS(Respostas_Formatadas!$C:$C,CaractAmostra!$BV$45,Respostas_Formatadas!$FE:$FE,CaractAmostra!$BV49)</f>
        <v>1</v>
      </c>
      <c r="BX49" s="53">
        <f t="shared" si="48"/>
        <v>2.2222222222222223E-2</v>
      </c>
      <c r="BY49" s="48"/>
      <c r="BZ49" s="48"/>
    </row>
    <row r="50" spans="2:78" x14ac:dyDescent="0.2">
      <c r="B50" s="144"/>
      <c r="C50"/>
      <c r="D50" s="144"/>
      <c r="E50" s="48"/>
      <c r="F50" s="48"/>
      <c r="G50" s="48"/>
      <c r="H50" s="48"/>
      <c r="I50" s="48"/>
      <c r="J50" s="48"/>
      <c r="K50" s="48"/>
      <c r="L50" s="48"/>
      <c r="M50" s="48"/>
      <c r="N50" s="48"/>
      <c r="O50" s="48"/>
      <c r="P50" s="48"/>
      <c r="Q50" s="60" t="str">
        <f>Tabulacao!MD44</f>
        <v>Itaporanga D'Ajuda</v>
      </c>
      <c r="R50" s="52">
        <f>COUNTIF(Tabulacao!$MC:$MC,CaractAmostra!Q50)</f>
        <v>1</v>
      </c>
      <c r="S50" s="53">
        <f t="shared" si="3"/>
        <v>3.6900369003690036E-3</v>
      </c>
      <c r="T50" s="48"/>
      <c r="U50" s="52">
        <v>42</v>
      </c>
      <c r="V50" s="60" t="str">
        <f t="array" ref="V50">INDEX($Q$80:$Q$143,SMALL(IF($R$80:$R$143=W50,ROW($R$80:$R$143)-79),COUNTIF($W$9:W50,W50)))</f>
        <v>Cedro de São João</v>
      </c>
      <c r="W50" s="52">
        <f t="shared" si="4"/>
        <v>0</v>
      </c>
      <c r="X50" s="53">
        <f t="shared" si="5"/>
        <v>0</v>
      </c>
      <c r="Y50" s="48"/>
      <c r="Z50" s="60" t="str">
        <f>Tabulacao!MH44</f>
        <v>Cedro de São João</v>
      </c>
      <c r="AA50" s="52">
        <f>COUNTIF(Tabulacao!$MG:$MG,CaractAmostra!Z50)</f>
        <v>0</v>
      </c>
      <c r="AB50" s="53">
        <f t="shared" si="6"/>
        <v>0</v>
      </c>
      <c r="AC50" s="48"/>
      <c r="AD50" s="52">
        <v>42</v>
      </c>
      <c r="AE50" s="60" t="str">
        <f t="array" ref="AE50">INDEX($Z$80:$Z$143,SMALL(IF($AA$80:$AA$143=AF50,ROW($AA$80:$AA$143)-79),COUNTIF($AF$9:AF50,AF50)))</f>
        <v>Cedro de São João</v>
      </c>
      <c r="AF50" s="52">
        <f t="shared" si="7"/>
        <v>0</v>
      </c>
      <c r="AG50" s="53">
        <f t="shared" si="8"/>
        <v>0</v>
      </c>
      <c r="AH50" s="48"/>
      <c r="AI50" s="60" t="str">
        <f>Tabulacao!ML44</f>
        <v>Macapá - AP</v>
      </c>
      <c r="AJ50" s="52">
        <f>COUNTIF(Tabulacao!$MK:$MK,CaractAmostra!AI50)</f>
        <v>1</v>
      </c>
      <c r="AK50" s="53">
        <f t="shared" si="9"/>
        <v>3.6900369003690036E-3</v>
      </c>
      <c r="AL50" s="48"/>
      <c r="AM50" s="52">
        <v>42</v>
      </c>
      <c r="AN50" s="60" t="str">
        <f t="array" ref="AN50">INDEX($AI$93:$AI$169,SMALL(IF($AJ$93:$AJ$169=AO50,ROW($AJ$93:$AJ$169)-92),COUNTIF($AO$9:AO50,AO50)))</f>
        <v>Curitiba - PR</v>
      </c>
      <c r="AO50" s="52">
        <f t="shared" si="10"/>
        <v>0</v>
      </c>
      <c r="AP50" s="53">
        <f t="shared" si="11"/>
        <v>0</v>
      </c>
      <c r="AQ50" s="48"/>
      <c r="AR50" s="48"/>
      <c r="AS50" s="48"/>
      <c r="AT50" s="48"/>
      <c r="AU50" s="48"/>
      <c r="AV50" s="48"/>
      <c r="AW50" s="48"/>
      <c r="AX50" s="48"/>
      <c r="AY50" s="48"/>
      <c r="AZ50" s="48"/>
      <c r="BA50" s="48"/>
      <c r="BB50" s="48"/>
      <c r="BC50" s="48"/>
      <c r="BD50" s="48"/>
      <c r="BE50" s="48"/>
      <c r="BF50" s="48"/>
      <c r="BG50" s="48"/>
      <c r="BH50" s="48"/>
      <c r="BI50" s="48"/>
      <c r="BJ50" s="48"/>
      <c r="BK50" s="48"/>
      <c r="BL50" s="48"/>
      <c r="BM50" s="48"/>
      <c r="BN50" s="48"/>
      <c r="BO50" s="48"/>
      <c r="BP50" s="48"/>
      <c r="BQ50" s="60" t="str">
        <f t="shared" si="45"/>
        <v>Pós-graduação</v>
      </c>
      <c r="BR50" s="52">
        <f>COUNTIFS(Respostas_Formatadas!$C:$C,CaractAmostra!$BQ$42,Respostas_Formatadas!$EV:$EV,CaractAmostra!$BQ50)</f>
        <v>7</v>
      </c>
      <c r="BS50" s="53">
        <f t="shared" si="46"/>
        <v>0.15555555555555556</v>
      </c>
      <c r="BT50" s="48"/>
      <c r="BU50" s="48"/>
      <c r="BV50" s="60">
        <f t="shared" si="47"/>
        <v>2008</v>
      </c>
      <c r="BW50" s="52">
        <f>COUNTIFS(Respostas_Formatadas!$C:$C,CaractAmostra!$BV$45,Respostas_Formatadas!$FE:$FE,CaractAmostra!$BV50)</f>
        <v>1</v>
      </c>
      <c r="BX50" s="53">
        <f t="shared" si="48"/>
        <v>2.2222222222222223E-2</v>
      </c>
      <c r="BY50" s="48"/>
      <c r="BZ50" s="48"/>
    </row>
    <row r="51" spans="2:78" x14ac:dyDescent="0.2">
      <c r="B51" s="144"/>
      <c r="C51"/>
      <c r="D51" s="144"/>
      <c r="E51" s="48"/>
      <c r="F51" s="48"/>
      <c r="G51" s="48"/>
      <c r="H51" s="48"/>
      <c r="I51" s="48"/>
      <c r="J51" s="48"/>
      <c r="K51" s="48"/>
      <c r="L51" s="48"/>
      <c r="M51" s="48"/>
      <c r="N51" s="48"/>
      <c r="O51" s="48"/>
      <c r="P51" s="48"/>
      <c r="Q51" s="60" t="str">
        <f>Tabulacao!MD45</f>
        <v>Jandaira - BA</v>
      </c>
      <c r="R51" s="52">
        <f>COUNTIF(Tabulacao!$MC:$MC,CaractAmostra!Q51)</f>
        <v>1</v>
      </c>
      <c r="S51" s="53">
        <f t="shared" si="3"/>
        <v>3.6900369003690036E-3</v>
      </c>
      <c r="T51" s="48"/>
      <c r="U51" s="52">
        <v>43</v>
      </c>
      <c r="V51" s="60" t="str">
        <f t="array" ref="V51">INDEX($Q$80:$Q$143,SMALL(IF($R$80:$R$143=W51,ROW($R$80:$R$143)-79),COUNTIF($W$9:W51,W51)))</f>
        <v>Entre Rios - BA</v>
      </c>
      <c r="W51" s="52">
        <f t="shared" si="4"/>
        <v>0</v>
      </c>
      <c r="X51" s="53">
        <f t="shared" si="5"/>
        <v>0</v>
      </c>
      <c r="Y51" s="48"/>
      <c r="Z51" s="60" t="str">
        <f>Tabulacao!MH45</f>
        <v>Entre Rios - BA</v>
      </c>
      <c r="AA51" s="52">
        <f>COUNTIF(Tabulacao!$MG:$MG,CaractAmostra!Z51)</f>
        <v>0</v>
      </c>
      <c r="AB51" s="53">
        <f t="shared" si="6"/>
        <v>0</v>
      </c>
      <c r="AC51" s="48"/>
      <c r="AD51" s="52">
        <v>43</v>
      </c>
      <c r="AE51" s="60" t="str">
        <f t="array" ref="AE51">INDEX($Z$80:$Z$143,SMALL(IF($AA$80:$AA$143=AF51,ROW($AA$80:$AA$143)-79),COUNTIF($AF$9:AF51,AF51)))</f>
        <v>Entre Rios - BA</v>
      </c>
      <c r="AF51" s="52">
        <f t="shared" si="7"/>
        <v>0</v>
      </c>
      <c r="AG51" s="53">
        <f t="shared" si="8"/>
        <v>0</v>
      </c>
      <c r="AH51" s="48"/>
      <c r="AI51" s="60" t="str">
        <f>Tabulacao!ML45</f>
        <v>Niterói - RJ</v>
      </c>
      <c r="AJ51" s="52">
        <f>COUNTIF(Tabulacao!$MK:$MK,CaractAmostra!AI51)</f>
        <v>1</v>
      </c>
      <c r="AK51" s="53">
        <f t="shared" si="9"/>
        <v>3.6900369003690036E-3</v>
      </c>
      <c r="AL51" s="48"/>
      <c r="AM51" s="52">
        <v>43</v>
      </c>
      <c r="AN51" s="60" t="str">
        <f t="array" ref="AN51">INDEX($AI$93:$AI$169,SMALL(IF($AJ$93:$AJ$169=AO51,ROW($AJ$93:$AJ$169)-92),COUNTIF($AO$9:AO51,AO51)))</f>
        <v>Blumenau - SC</v>
      </c>
      <c r="AO51" s="52">
        <f t="shared" si="10"/>
        <v>0</v>
      </c>
      <c r="AP51" s="53">
        <f t="shared" si="11"/>
        <v>0</v>
      </c>
      <c r="AQ51" s="48"/>
      <c r="AR51" s="48"/>
      <c r="AS51" s="48"/>
      <c r="AT51" s="48"/>
      <c r="AU51" s="48"/>
      <c r="AV51" s="48"/>
      <c r="AW51" s="48"/>
      <c r="AX51" s="48"/>
      <c r="AY51" s="48"/>
      <c r="AZ51" s="48"/>
      <c r="BA51" s="48"/>
      <c r="BB51" s="48"/>
      <c r="BC51" s="48"/>
      <c r="BD51" s="48"/>
      <c r="BE51" s="48"/>
      <c r="BF51" s="48"/>
      <c r="BG51" s="48"/>
      <c r="BH51" s="48"/>
      <c r="BI51" s="48"/>
      <c r="BJ51" s="48"/>
      <c r="BK51" s="48"/>
      <c r="BL51" s="48"/>
      <c r="BM51" s="48"/>
      <c r="BN51" s="48"/>
      <c r="BO51" s="48"/>
      <c r="BP51" s="48"/>
      <c r="BQ51" s="191" t="s">
        <v>621</v>
      </c>
      <c r="BR51" s="192">
        <f>SUM(BR44:BR50)</f>
        <v>45</v>
      </c>
      <c r="BS51" s="193">
        <f>SUM(BS44:BS50)</f>
        <v>0.99999999999999989</v>
      </c>
      <c r="BT51" s="48"/>
      <c r="BU51" s="48"/>
      <c r="BV51" s="60">
        <f t="shared" si="47"/>
        <v>2009</v>
      </c>
      <c r="BW51" s="52">
        <f>COUNTIFS(Respostas_Formatadas!$C:$C,CaractAmostra!$BV$45,Respostas_Formatadas!$FE:$FE,CaractAmostra!$BV51)</f>
        <v>7</v>
      </c>
      <c r="BX51" s="53">
        <f t="shared" si="48"/>
        <v>0.15555555555555556</v>
      </c>
      <c r="BY51" s="48"/>
      <c r="BZ51" s="48"/>
    </row>
    <row r="52" spans="2:78" x14ac:dyDescent="0.2">
      <c r="B52" s="144"/>
      <c r="C52" s="144"/>
      <c r="D52" s="144"/>
      <c r="E52" s="48"/>
      <c r="F52" s="48"/>
      <c r="G52" s="48"/>
      <c r="H52" s="48"/>
      <c r="I52" s="48"/>
      <c r="J52" s="48"/>
      <c r="K52" s="48"/>
      <c r="L52" s="48"/>
      <c r="M52" s="48"/>
      <c r="N52" s="48"/>
      <c r="O52" s="48"/>
      <c r="P52" s="48"/>
      <c r="Q52" s="60" t="str">
        <f>Tabulacao!MD46</f>
        <v>Jeremoabo - BA</v>
      </c>
      <c r="R52" s="52">
        <f>COUNTIF(Tabulacao!$MC:$MC,CaractAmostra!Q52)</f>
        <v>1</v>
      </c>
      <c r="S52" s="53">
        <f t="shared" si="3"/>
        <v>3.6900369003690036E-3</v>
      </c>
      <c r="T52" s="48"/>
      <c r="U52" s="52">
        <v>44</v>
      </c>
      <c r="V52" s="60" t="str">
        <f t="array" ref="V52">INDEX($Q$80:$Q$143,SMALL(IF($R$80:$R$143=W52,ROW($R$80:$R$143)-79),COUNTIF($W$9:W52,W52)))</f>
        <v>Feira de Santana - BA</v>
      </c>
      <c r="W52" s="52">
        <f t="shared" si="4"/>
        <v>0</v>
      </c>
      <c r="X52" s="53">
        <f t="shared" si="5"/>
        <v>0</v>
      </c>
      <c r="Y52" s="48"/>
      <c r="Z52" s="60" t="str">
        <f>Tabulacao!MH46</f>
        <v>Feira de Santana - BA</v>
      </c>
      <c r="AA52" s="52">
        <f>COUNTIF(Tabulacao!$MG:$MG,CaractAmostra!Z52)</f>
        <v>0</v>
      </c>
      <c r="AB52" s="53">
        <f t="shared" si="6"/>
        <v>0</v>
      </c>
      <c r="AC52" s="48"/>
      <c r="AD52" s="52">
        <v>44</v>
      </c>
      <c r="AE52" s="60" t="str">
        <f t="array" ref="AE52">INDEX($Z$80:$Z$143,SMALL(IF($AA$80:$AA$143=AF52,ROW($AA$80:$AA$143)-79),COUNTIF($AF$9:AF52,AF52)))</f>
        <v>Feira de Santana - BA</v>
      </c>
      <c r="AF52" s="52">
        <f t="shared" si="7"/>
        <v>0</v>
      </c>
      <c r="AG52" s="53">
        <f t="shared" si="8"/>
        <v>0</v>
      </c>
      <c r="AH52" s="48"/>
      <c r="AI52" s="60" t="str">
        <f>Tabulacao!ML46</f>
        <v>Palmas - TO</v>
      </c>
      <c r="AJ52" s="52">
        <f>COUNTIF(Tabulacao!$MK:$MK,CaractAmostra!AI52)</f>
        <v>1</v>
      </c>
      <c r="AK52" s="53">
        <f t="shared" si="9"/>
        <v>3.6900369003690036E-3</v>
      </c>
      <c r="AL52" s="48"/>
      <c r="AM52" s="52">
        <v>44</v>
      </c>
      <c r="AN52" s="60" t="str">
        <f t="array" ref="AN52">INDEX($AI$93:$AI$169,SMALL(IF($AJ$93:$AJ$169=AO52,ROW($AJ$93:$AJ$169)-92),COUNTIF($AO$9:AO52,AO52)))</f>
        <v>Niterói - RJ</v>
      </c>
      <c r="AO52" s="52">
        <f t="shared" si="10"/>
        <v>0</v>
      </c>
      <c r="AP52" s="53">
        <f t="shared" si="11"/>
        <v>0</v>
      </c>
      <c r="AQ52" s="48"/>
      <c r="AR52" s="48"/>
      <c r="AS52" s="48"/>
      <c r="AT52" s="48"/>
      <c r="AU52" s="48"/>
      <c r="AV52" s="48"/>
      <c r="AW52" s="48"/>
      <c r="AX52" s="48"/>
      <c r="AY52" s="48"/>
      <c r="AZ52" s="48"/>
      <c r="BA52" s="48"/>
      <c r="BB52" s="48"/>
      <c r="BC52" s="48"/>
      <c r="BD52" s="48"/>
      <c r="BE52" s="48"/>
      <c r="BF52" s="48"/>
      <c r="BG52" s="48"/>
      <c r="BH52" s="48"/>
      <c r="BI52" s="48"/>
      <c r="BJ52" s="48"/>
      <c r="BK52" s="48"/>
      <c r="BL52" s="48"/>
      <c r="BM52" s="48"/>
      <c r="BN52" s="48"/>
      <c r="BO52" s="48"/>
      <c r="BP52" s="48"/>
      <c r="BQ52" s="48"/>
      <c r="BR52" s="48"/>
      <c r="BS52" s="48"/>
      <c r="BT52" s="48"/>
      <c r="BU52" s="48"/>
      <c r="BV52" s="60">
        <f t="shared" si="47"/>
        <v>2010</v>
      </c>
      <c r="BW52" s="52">
        <f>COUNTIFS(Respostas_Formatadas!$C:$C,CaractAmostra!$BV$45,Respostas_Formatadas!$FE:$FE,CaractAmostra!$BV52)</f>
        <v>3</v>
      </c>
      <c r="BX52" s="53">
        <f t="shared" si="48"/>
        <v>6.6666666666666666E-2</v>
      </c>
      <c r="BY52" s="48"/>
      <c r="BZ52" s="48"/>
    </row>
    <row r="53" spans="2:78" x14ac:dyDescent="0.2">
      <c r="B53" s="144"/>
      <c r="C53" s="144"/>
      <c r="D53" s="144"/>
      <c r="E53" s="48"/>
      <c r="F53" s="48"/>
      <c r="G53" s="48"/>
      <c r="H53" s="48"/>
      <c r="I53" s="48"/>
      <c r="J53" s="48"/>
      <c r="K53" s="48"/>
      <c r="L53" s="48"/>
      <c r="M53" s="48"/>
      <c r="N53" s="48"/>
      <c r="O53" s="48"/>
      <c r="P53" s="48"/>
      <c r="Q53" s="60" t="str">
        <f>Tabulacao!MD47</f>
        <v>Laranjeiras</v>
      </c>
      <c r="R53" s="52">
        <f>COUNTIF(Tabulacao!$MC:$MC,CaractAmostra!Q53)</f>
        <v>1</v>
      </c>
      <c r="S53" s="53">
        <f t="shared" si="3"/>
        <v>3.6900369003690036E-3</v>
      </c>
      <c r="T53" s="48"/>
      <c r="U53" s="52">
        <v>45</v>
      </c>
      <c r="V53" s="60" t="str">
        <f t="array" ref="V53">INDEX($Q$80:$Q$143,SMALL(IF($R$80:$R$143=W53,ROW($R$80:$R$143)-79),COUNTIF($W$9:W53,W53)))</f>
        <v>Graccho Cardoso</v>
      </c>
      <c r="W53" s="52">
        <f t="shared" si="4"/>
        <v>0</v>
      </c>
      <c r="X53" s="53">
        <f t="shared" si="5"/>
        <v>0</v>
      </c>
      <c r="Y53" s="48"/>
      <c r="Z53" s="60" t="str">
        <f>Tabulacao!MH47</f>
        <v>Floriano - PI</v>
      </c>
      <c r="AA53" s="52">
        <f>COUNTIF(Tabulacao!$MG:$MG,CaractAmostra!Z53)</f>
        <v>0</v>
      </c>
      <c r="AB53" s="53">
        <f t="shared" si="6"/>
        <v>0</v>
      </c>
      <c r="AC53" s="48"/>
      <c r="AD53" s="52">
        <v>45</v>
      </c>
      <c r="AE53" s="60" t="str">
        <f t="array" ref="AE53">INDEX($Z$80:$Z$143,SMALL(IF($AA$80:$AA$143=AF53,ROW($AA$80:$AA$143)-79),COUNTIF($AF$9:AF53,AF53)))</f>
        <v>Floriano - PI</v>
      </c>
      <c r="AF53" s="52">
        <f t="shared" si="7"/>
        <v>0</v>
      </c>
      <c r="AG53" s="53">
        <f t="shared" si="8"/>
        <v>0</v>
      </c>
      <c r="AH53" s="48"/>
      <c r="AI53" s="60" t="str">
        <f>Tabulacao!ML47</f>
        <v>Penedo - AL</v>
      </c>
      <c r="AJ53" s="52">
        <f>COUNTIF(Tabulacao!$MK:$MK,CaractAmostra!AI53)</f>
        <v>1</v>
      </c>
      <c r="AK53" s="53">
        <f t="shared" si="9"/>
        <v>3.6900369003690036E-3</v>
      </c>
      <c r="AL53" s="48"/>
      <c r="AM53" s="52">
        <v>45</v>
      </c>
      <c r="AN53" s="60" t="str">
        <f t="array" ref="AN53">INDEX($AI$93:$AI$169,SMALL(IF($AJ$93:$AJ$169=AO53,ROW($AJ$93:$AJ$169)-92),COUNTIF($AO$9:AO53,AO53)))</f>
        <v>Palmas - TO</v>
      </c>
      <c r="AO53" s="52">
        <f t="shared" si="10"/>
        <v>0</v>
      </c>
      <c r="AP53" s="53">
        <f t="shared" si="11"/>
        <v>0</v>
      </c>
      <c r="AQ53" s="48"/>
      <c r="AR53" s="48"/>
      <c r="AS53" s="48"/>
      <c r="AT53" s="48"/>
      <c r="AU53" s="48"/>
      <c r="AV53" s="48"/>
      <c r="AW53" s="48"/>
      <c r="AX53" s="48"/>
      <c r="AY53" s="48"/>
      <c r="AZ53" s="48"/>
      <c r="BA53" s="48"/>
      <c r="BB53" s="48"/>
      <c r="BC53" s="48"/>
      <c r="BD53" s="48"/>
      <c r="BE53" s="48"/>
      <c r="BF53" s="48"/>
      <c r="BG53" s="48"/>
      <c r="BH53" s="48"/>
      <c r="BI53" s="48"/>
      <c r="BJ53" s="48"/>
      <c r="BK53" s="48"/>
      <c r="BL53" s="48"/>
      <c r="BM53" s="48"/>
      <c r="BN53" s="48"/>
      <c r="BO53" s="48"/>
      <c r="BP53" s="48"/>
      <c r="BQ53" s="194" t="str">
        <f>BQ20</f>
        <v>Grau de Instrução da Mãe</v>
      </c>
      <c r="BR53" s="187" t="str">
        <f>BR20</f>
        <v>f</v>
      </c>
      <c r="BS53" s="187" t="str">
        <f>BS20</f>
        <v>%</v>
      </c>
      <c r="BT53" s="48"/>
      <c r="BU53" s="48"/>
      <c r="BV53" s="60">
        <f t="shared" si="47"/>
        <v>2011</v>
      </c>
      <c r="BW53" s="52">
        <f>COUNTIFS(Respostas_Formatadas!$C:$C,CaractAmostra!$BV$45,Respostas_Formatadas!$FE:$FE,CaractAmostra!$BV53)</f>
        <v>4</v>
      </c>
      <c r="BX53" s="53">
        <f t="shared" si="48"/>
        <v>8.8888888888888892E-2</v>
      </c>
      <c r="BY53" s="48"/>
      <c r="BZ53" s="48"/>
    </row>
    <row r="54" spans="2:78" x14ac:dyDescent="0.2">
      <c r="B54" s="144"/>
      <c r="C54" s="144"/>
      <c r="D54" s="144"/>
      <c r="E54" s="48"/>
      <c r="F54" s="48"/>
      <c r="G54" s="48"/>
      <c r="H54" s="48"/>
      <c r="I54" s="48"/>
      <c r="J54" s="48"/>
      <c r="K54" s="48"/>
      <c r="L54" s="48"/>
      <c r="M54" s="48"/>
      <c r="N54" s="48"/>
      <c r="O54" s="48"/>
      <c r="P54" s="48"/>
      <c r="Q54" s="60" t="str">
        <f>Tabulacao!MD48</f>
        <v>Moita Bonita</v>
      </c>
      <c r="R54" s="52">
        <f>COUNTIF(Tabulacao!$MC:$MC,CaractAmostra!Q54)</f>
        <v>1</v>
      </c>
      <c r="S54" s="53">
        <f t="shared" si="3"/>
        <v>3.6900369003690036E-3</v>
      </c>
      <c r="T54" s="48"/>
      <c r="U54" s="52">
        <v>46</v>
      </c>
      <c r="V54" s="60" t="str">
        <f t="array" ref="V54">INDEX($Q$80:$Q$143,SMALL(IF($R$80:$R$143=W54,ROW($R$80:$R$143)-79),COUNTIF($W$9:W54,W54)))</f>
        <v>Indiaroba</v>
      </c>
      <c r="W54" s="52">
        <f t="shared" si="4"/>
        <v>0</v>
      </c>
      <c r="X54" s="53">
        <f t="shared" si="5"/>
        <v>0</v>
      </c>
      <c r="Y54" s="48"/>
      <c r="Z54" s="60" t="str">
        <f>Tabulacao!MH48</f>
        <v>Indiaroba</v>
      </c>
      <c r="AA54" s="52">
        <f>COUNTIF(Tabulacao!$MG:$MG,CaractAmostra!Z54)</f>
        <v>0</v>
      </c>
      <c r="AB54" s="53">
        <f t="shared" si="6"/>
        <v>0</v>
      </c>
      <c r="AC54" s="48"/>
      <c r="AD54" s="52">
        <v>46</v>
      </c>
      <c r="AE54" s="60" t="str">
        <f t="array" ref="AE54">INDEX($Z$80:$Z$143,SMALL(IF($AA$80:$AA$143=AF54,ROW($AA$80:$AA$143)-79),COUNTIF($AF$9:AF54,AF54)))</f>
        <v>Indiaroba</v>
      </c>
      <c r="AF54" s="52">
        <f t="shared" si="7"/>
        <v>0</v>
      </c>
      <c r="AG54" s="53">
        <f t="shared" si="8"/>
        <v>0</v>
      </c>
      <c r="AH54" s="48"/>
      <c r="AI54" s="60" t="str">
        <f>Tabulacao!ML48</f>
        <v>Barra do Rio Grande - BA</v>
      </c>
      <c r="AJ54" s="52">
        <f>COUNTIF(Tabulacao!$MK:$MK,CaractAmostra!AI54)</f>
        <v>1</v>
      </c>
      <c r="AK54" s="53">
        <f t="shared" si="9"/>
        <v>3.6900369003690036E-3</v>
      </c>
      <c r="AL54" s="48"/>
      <c r="AM54" s="52">
        <v>46</v>
      </c>
      <c r="AN54" s="60" t="str">
        <f t="array" ref="AN54">INDEX($AI$93:$AI$169,SMALL(IF($AJ$93:$AJ$169=AO54,ROW($AJ$93:$AJ$169)-92),COUNTIF($AO$9:AO54,AO54)))</f>
        <v>Penedo - AL</v>
      </c>
      <c r="AO54" s="52">
        <f t="shared" si="10"/>
        <v>0</v>
      </c>
      <c r="AP54" s="53">
        <f t="shared" si="11"/>
        <v>0</v>
      </c>
      <c r="AQ54" s="48"/>
      <c r="AR54" s="48"/>
      <c r="AS54" s="48"/>
      <c r="AT54" s="48"/>
      <c r="AU54" s="48"/>
      <c r="AV54" s="48"/>
      <c r="AW54" s="48"/>
      <c r="AX54" s="48"/>
      <c r="AY54" s="48"/>
      <c r="AZ54" s="48"/>
      <c r="BA54" s="48"/>
      <c r="BB54" s="48"/>
      <c r="BC54" s="48"/>
      <c r="BD54" s="48"/>
      <c r="BE54" s="48"/>
      <c r="BF54" s="48"/>
      <c r="BG54" s="48"/>
      <c r="BH54" s="48"/>
      <c r="BI54" s="48"/>
      <c r="BJ54" s="48"/>
      <c r="BK54" s="48"/>
      <c r="BL54" s="48"/>
      <c r="BM54" s="48"/>
      <c r="BN54" s="48"/>
      <c r="BO54" s="48"/>
      <c r="BP54" s="48"/>
      <c r="BQ54" s="60" t="str">
        <f t="shared" ref="BQ54:BQ60" si="49">BQ21</f>
        <v>Ensino fundamental incompleto</v>
      </c>
      <c r="BR54" s="52">
        <f>COUNTIFS(Respostas_Formatadas!$C:$C,CaractAmostra!$BQ$42,Respostas_Formatadas!$EW:$EW,CaractAmostra!$BQ54)</f>
        <v>6</v>
      </c>
      <c r="BS54" s="53">
        <f>BR54/$BR$61</f>
        <v>0.13333333333333333</v>
      </c>
      <c r="BT54" s="48"/>
      <c r="BU54" s="48"/>
      <c r="BV54" s="60">
        <f t="shared" si="47"/>
        <v>2012</v>
      </c>
      <c r="BW54" s="52">
        <f>COUNTIFS(Respostas_Formatadas!$C:$C,CaractAmostra!$BV$45,Respostas_Formatadas!$FE:$FE,CaractAmostra!$BV54)</f>
        <v>0</v>
      </c>
      <c r="BX54" s="53">
        <f t="shared" si="48"/>
        <v>0</v>
      </c>
      <c r="BY54" s="48"/>
      <c r="BZ54" s="48"/>
    </row>
    <row r="55" spans="2:78" x14ac:dyDescent="0.2">
      <c r="B55" s="144"/>
      <c r="C55" s="144"/>
      <c r="D55" s="144"/>
      <c r="E55" s="48"/>
      <c r="F55" s="48"/>
      <c r="G55" s="48"/>
      <c r="H55" s="48"/>
      <c r="I55" s="48"/>
      <c r="J55" s="48"/>
      <c r="K55" s="48"/>
      <c r="L55" s="48"/>
      <c r="M55" s="48"/>
      <c r="N55" s="48"/>
      <c r="O55" s="48"/>
      <c r="P55" s="48"/>
      <c r="Q55" s="60" t="str">
        <f>Tabulacao!MD49</f>
        <v>Pacatuba</v>
      </c>
      <c r="R55" s="52">
        <f>COUNTIF(Tabulacao!$MC:$MC,CaractAmostra!Q55)</f>
        <v>1</v>
      </c>
      <c r="S55" s="53">
        <f t="shared" si="3"/>
        <v>3.6900369003690036E-3</v>
      </c>
      <c r="T55" s="48"/>
      <c r="U55" s="52">
        <v>47</v>
      </c>
      <c r="V55" s="60" t="str">
        <f t="array" ref="V55">INDEX($Q$80:$Q$143,SMALL(IF($R$80:$R$143=W55,ROW($R$80:$R$143)-79),COUNTIF($W$9:W55,W55)))</f>
        <v>Itabaianinha</v>
      </c>
      <c r="W55" s="52">
        <f t="shared" si="4"/>
        <v>0</v>
      </c>
      <c r="X55" s="53">
        <f t="shared" si="5"/>
        <v>0</v>
      </c>
      <c r="Y55" s="48"/>
      <c r="Z55" s="60" t="str">
        <f>Tabulacao!MH49</f>
        <v>Itabaianinha</v>
      </c>
      <c r="AA55" s="52">
        <f>COUNTIF(Tabulacao!$MG:$MG,CaractAmostra!Z55)</f>
        <v>0</v>
      </c>
      <c r="AB55" s="53">
        <f t="shared" si="6"/>
        <v>0</v>
      </c>
      <c r="AC55" s="48"/>
      <c r="AD55" s="52">
        <v>47</v>
      </c>
      <c r="AE55" s="60" t="str">
        <f t="array" ref="AE55">INDEX($Z$80:$Z$143,SMALL(IF($AA$80:$AA$143=AF55,ROW($AA$80:$AA$143)-79),COUNTIF($AF$9:AF55,AF55)))</f>
        <v>Itabaianinha</v>
      </c>
      <c r="AF55" s="52">
        <f t="shared" si="7"/>
        <v>0</v>
      </c>
      <c r="AG55" s="53">
        <f t="shared" si="8"/>
        <v>0</v>
      </c>
      <c r="AH55" s="48"/>
      <c r="AI55" s="60" t="str">
        <f>Tabulacao!ML49</f>
        <v>Umbaúba</v>
      </c>
      <c r="AJ55" s="52">
        <f>COUNTIF(Tabulacao!$MK:$MK,CaractAmostra!AI55)</f>
        <v>1</v>
      </c>
      <c r="AK55" s="53">
        <f t="shared" si="9"/>
        <v>3.6900369003690036E-3</v>
      </c>
      <c r="AL55" s="48"/>
      <c r="AM55" s="52">
        <v>47</v>
      </c>
      <c r="AN55" s="60" t="str">
        <f t="array" ref="AN55">INDEX($AI$93:$AI$169,SMALL(IF($AJ$93:$AJ$169=AO55,ROW($AJ$93:$AJ$169)-92),COUNTIF($AO$9:AO55,AO55)))</f>
        <v>Barra do Rio Grande - BA</v>
      </c>
      <c r="AO55" s="52">
        <f t="shared" si="10"/>
        <v>0</v>
      </c>
      <c r="AP55" s="53">
        <f t="shared" si="11"/>
        <v>0</v>
      </c>
      <c r="AQ55" s="48"/>
      <c r="AR55" s="48"/>
      <c r="AS55" s="48"/>
      <c r="AT55" s="48"/>
      <c r="AU55" s="48"/>
      <c r="AV55" s="48"/>
      <c r="AW55" s="48"/>
      <c r="AX55" s="48"/>
      <c r="AY55" s="48"/>
      <c r="AZ55" s="48"/>
      <c r="BA55" s="48"/>
      <c r="BB55" s="48"/>
      <c r="BC55" s="48"/>
      <c r="BD55" s="48"/>
      <c r="BE55" s="48"/>
      <c r="BF55" s="48"/>
      <c r="BG55" s="48"/>
      <c r="BH55" s="48"/>
      <c r="BI55" s="48"/>
      <c r="BJ55" s="48"/>
      <c r="BK55" s="48"/>
      <c r="BL55" s="48"/>
      <c r="BM55" s="48"/>
      <c r="BN55" s="48"/>
      <c r="BO55" s="48"/>
      <c r="BP55" s="48"/>
      <c r="BQ55" s="60" t="str">
        <f t="shared" si="49"/>
        <v>Ensino fundamental completo</v>
      </c>
      <c r="BR55" s="52">
        <f>COUNTIFS(Respostas_Formatadas!$C:$C,CaractAmostra!$BQ$42,Respostas_Formatadas!$EW:$EW,CaractAmostra!$BQ55)</f>
        <v>4</v>
      </c>
      <c r="BS55" s="53">
        <f t="shared" ref="BS55:BS60" si="50">BR55/$BR$61</f>
        <v>8.8888888888888892E-2</v>
      </c>
      <c r="BT55" s="48"/>
      <c r="BU55" s="48"/>
      <c r="BV55" s="60">
        <f t="shared" si="47"/>
        <v>2013</v>
      </c>
      <c r="BW55" s="52">
        <f>COUNTIFS(Respostas_Formatadas!$C:$C,CaractAmostra!$BV$45,Respostas_Formatadas!$FE:$FE,CaractAmostra!$BV55)</f>
        <v>4</v>
      </c>
      <c r="BX55" s="53">
        <f t="shared" si="48"/>
        <v>8.8888888888888892E-2</v>
      </c>
      <c r="BY55" s="48"/>
      <c r="BZ55" s="48"/>
    </row>
    <row r="56" spans="2:78" x14ac:dyDescent="0.2">
      <c r="B56" s="144"/>
      <c r="C56" s="144"/>
      <c r="D56" s="144"/>
      <c r="E56" s="48"/>
      <c r="F56" s="48"/>
      <c r="G56" s="48"/>
      <c r="H56" s="48"/>
      <c r="I56" s="48"/>
      <c r="J56" s="48"/>
      <c r="K56" s="48"/>
      <c r="L56" s="48"/>
      <c r="M56" s="48"/>
      <c r="N56" s="48"/>
      <c r="O56" s="48"/>
      <c r="P56" s="48"/>
      <c r="Q56" s="60" t="str">
        <f>Tabulacao!MD50</f>
        <v>Paripiranga - BA</v>
      </c>
      <c r="R56" s="52">
        <f>COUNTIF(Tabulacao!$MC:$MC,CaractAmostra!Q56)</f>
        <v>1</v>
      </c>
      <c r="S56" s="53">
        <f t="shared" si="3"/>
        <v>3.6900369003690036E-3</v>
      </c>
      <c r="T56" s="48"/>
      <c r="U56" s="52">
        <v>48</v>
      </c>
      <c r="V56" s="60" t="str">
        <f t="array" ref="V56">INDEX($Q$80:$Q$143,SMALL(IF($R$80:$R$143=W56,ROW($R$80:$R$143)-79),COUNTIF($W$9:W56,W56)))</f>
        <v>Itaporanga D'Ajuda</v>
      </c>
      <c r="W56" s="52">
        <f t="shared" si="4"/>
        <v>0</v>
      </c>
      <c r="X56" s="53">
        <f t="shared" si="5"/>
        <v>0</v>
      </c>
      <c r="Y56" s="48"/>
      <c r="Z56" s="60" t="str">
        <f>Tabulacao!MH50</f>
        <v>Jandaira - BA</v>
      </c>
      <c r="AA56" s="52">
        <f>COUNTIF(Tabulacao!$MG:$MG,CaractAmostra!Z56)</f>
        <v>0</v>
      </c>
      <c r="AB56" s="53">
        <f t="shared" si="6"/>
        <v>0</v>
      </c>
      <c r="AC56" s="48"/>
      <c r="AD56" s="52">
        <v>48</v>
      </c>
      <c r="AE56" s="60" t="str">
        <f t="array" ref="AE56">INDEX($Z$80:$Z$143,SMALL(IF($AA$80:$AA$143=AF56,ROW($AA$80:$AA$143)-79),COUNTIF($AF$9:AF56,AF56)))</f>
        <v>Jandaira - BA</v>
      </c>
      <c r="AF56" s="52">
        <f t="shared" si="7"/>
        <v>0</v>
      </c>
      <c r="AG56" s="53">
        <f t="shared" si="8"/>
        <v>0</v>
      </c>
      <c r="AH56" s="48"/>
      <c r="AI56" s="60" t="str">
        <f>Tabulacao!ML50</f>
        <v>Tobias Barreto</v>
      </c>
      <c r="AJ56" s="52">
        <f>COUNTIF(Tabulacao!$MK:$MK,CaractAmostra!AI56)</f>
        <v>0</v>
      </c>
      <c r="AK56" s="53">
        <f t="shared" si="9"/>
        <v>0</v>
      </c>
      <c r="AL56" s="48"/>
      <c r="AM56" s="52">
        <v>48</v>
      </c>
      <c r="AN56" s="60" t="str">
        <f t="array" ref="AN56">INDEX($AI$93:$AI$169,SMALL(IF($AJ$93:$AJ$169=AO56,ROW($AJ$93:$AJ$169)-92),COUNTIF($AO$9:AO56,AO56)))</f>
        <v>Tobias Barreto</v>
      </c>
      <c r="AO56" s="52">
        <f t="shared" si="10"/>
        <v>0</v>
      </c>
      <c r="AP56" s="53">
        <f t="shared" si="11"/>
        <v>0</v>
      </c>
      <c r="AQ56" s="48"/>
      <c r="AR56" s="48"/>
      <c r="AS56" s="48"/>
      <c r="AT56" s="48"/>
      <c r="AU56" s="48"/>
      <c r="AV56" s="48"/>
      <c r="AW56" s="48"/>
      <c r="AX56" s="48"/>
      <c r="AY56" s="48"/>
      <c r="AZ56" s="48"/>
      <c r="BA56" s="48"/>
      <c r="BB56" s="48"/>
      <c r="BC56" s="48"/>
      <c r="BD56" s="48"/>
      <c r="BE56" s="48"/>
      <c r="BF56" s="48"/>
      <c r="BG56" s="48"/>
      <c r="BH56" s="48"/>
      <c r="BI56" s="48"/>
      <c r="BJ56" s="48"/>
      <c r="BK56" s="48"/>
      <c r="BL56" s="48"/>
      <c r="BM56" s="48"/>
      <c r="BN56" s="48"/>
      <c r="BO56" s="48"/>
      <c r="BP56" s="48"/>
      <c r="BQ56" s="60" t="str">
        <f t="shared" si="49"/>
        <v>Ensino médio incompleto</v>
      </c>
      <c r="BR56" s="52">
        <f>COUNTIFS(Respostas_Formatadas!$C:$C,CaractAmostra!$BQ$42,Respostas_Formatadas!$EW:$EW,CaractAmostra!$BQ56)</f>
        <v>3</v>
      </c>
      <c r="BS56" s="53">
        <f t="shared" si="50"/>
        <v>6.6666666666666666E-2</v>
      </c>
      <c r="BT56" s="48"/>
      <c r="BU56" s="48"/>
      <c r="BV56" s="60">
        <f t="shared" si="47"/>
        <v>2014</v>
      </c>
      <c r="BW56" s="52">
        <f>COUNTIFS(Respostas_Formatadas!$C:$C,CaractAmostra!$BV$45,Respostas_Formatadas!$FE:$FE,CaractAmostra!$BV56)</f>
        <v>4</v>
      </c>
      <c r="BX56" s="53">
        <f t="shared" si="48"/>
        <v>8.8888888888888892E-2</v>
      </c>
      <c r="BY56" s="48"/>
      <c r="BZ56" s="48"/>
    </row>
    <row r="57" spans="2:78" x14ac:dyDescent="0.2">
      <c r="B57" s="144"/>
      <c r="C57" s="144"/>
      <c r="D57" s="144"/>
      <c r="E57" s="48"/>
      <c r="F57" s="48"/>
      <c r="G57" s="48"/>
      <c r="H57" s="48"/>
      <c r="I57" s="48"/>
      <c r="J57" s="48"/>
      <c r="K57" s="48"/>
      <c r="L57" s="48"/>
      <c r="M57" s="48"/>
      <c r="N57" s="48"/>
      <c r="O57" s="48"/>
      <c r="P57" s="48"/>
      <c r="Q57" s="60" t="str">
        <f>Tabulacao!MD51</f>
        <v>Paulo Afonso - BA</v>
      </c>
      <c r="R57" s="52">
        <f>COUNTIF(Tabulacao!$MC:$MC,CaractAmostra!Q57)</f>
        <v>1</v>
      </c>
      <c r="S57" s="53">
        <f t="shared" si="3"/>
        <v>3.6900369003690036E-3</v>
      </c>
      <c r="T57" s="48"/>
      <c r="U57" s="52">
        <v>49</v>
      </c>
      <c r="V57" s="60" t="str">
        <f t="array" ref="V57">INDEX($Q$80:$Q$143,SMALL(IF($R$80:$R$143=W57,ROW($R$80:$R$143)-79),COUNTIF($W$9:W57,W57)))</f>
        <v>Jandaira - BA</v>
      </c>
      <c r="W57" s="52">
        <f t="shared" si="4"/>
        <v>0</v>
      </c>
      <c r="X57" s="53">
        <f t="shared" si="5"/>
        <v>0</v>
      </c>
      <c r="Y57" s="48"/>
      <c r="Z57" s="60" t="str">
        <f>Tabulacao!MH51</f>
        <v>Jeremoabo - BA</v>
      </c>
      <c r="AA57" s="52">
        <f>COUNTIF(Tabulacao!$MG:$MG,CaractAmostra!Z57)</f>
        <v>0</v>
      </c>
      <c r="AB57" s="53">
        <f t="shared" si="6"/>
        <v>0</v>
      </c>
      <c r="AC57" s="48"/>
      <c r="AD57" s="52">
        <v>49</v>
      </c>
      <c r="AE57" s="60" t="str">
        <f t="array" ref="AE57">INDEX($Z$80:$Z$143,SMALL(IF($AA$80:$AA$143=AF57,ROW($AA$80:$AA$143)-79),COUNTIF($AF$9:AF57,AF57)))</f>
        <v>Jeremoabo - BA</v>
      </c>
      <c r="AF57" s="52">
        <f t="shared" si="7"/>
        <v>0</v>
      </c>
      <c r="AG57" s="53">
        <f t="shared" si="8"/>
        <v>0</v>
      </c>
      <c r="AH57" s="48"/>
      <c r="AI57" s="60" t="str">
        <f>Tabulacao!ML51</f>
        <v>Graccho Cardoso</v>
      </c>
      <c r="AJ57" s="52">
        <f>COUNTIF(Tabulacao!$MK:$MK,CaractAmostra!AI57)</f>
        <v>0</v>
      </c>
      <c r="AK57" s="53">
        <f t="shared" si="9"/>
        <v>0</v>
      </c>
      <c r="AL57" s="48"/>
      <c r="AM57" s="52">
        <v>49</v>
      </c>
      <c r="AN57" s="60" t="str">
        <f t="array" ref="AN57">INDEX($AI$93:$AI$169,SMALL(IF($AJ$93:$AJ$169=AO57,ROW($AJ$93:$AJ$169)-92),COUNTIF($AO$9:AO57,AO57)))</f>
        <v>Graccho Cardoso</v>
      </c>
      <c r="AO57" s="52">
        <f t="shared" si="10"/>
        <v>0</v>
      </c>
      <c r="AP57" s="53">
        <f t="shared" si="11"/>
        <v>0</v>
      </c>
      <c r="AQ57" s="48"/>
      <c r="AR57" s="48"/>
      <c r="AS57" s="48"/>
      <c r="AT57" s="48"/>
      <c r="AU57" s="48"/>
      <c r="AV57" s="48"/>
      <c r="AW57" s="48"/>
      <c r="AX57" s="48"/>
      <c r="AY57" s="48"/>
      <c r="AZ57" s="48"/>
      <c r="BA57" s="48"/>
      <c r="BB57" s="48"/>
      <c r="BC57" s="48"/>
      <c r="BD57" s="48"/>
      <c r="BE57" s="48"/>
      <c r="BF57" s="48"/>
      <c r="BG57" s="48"/>
      <c r="BH57" s="48"/>
      <c r="BI57" s="48"/>
      <c r="BJ57" s="48"/>
      <c r="BK57" s="48"/>
      <c r="BL57" s="48"/>
      <c r="BM57" s="48"/>
      <c r="BN57" s="48"/>
      <c r="BO57" s="48"/>
      <c r="BP57" s="48"/>
      <c r="BQ57" s="60" t="str">
        <f t="shared" si="49"/>
        <v>Ensino médio completo</v>
      </c>
      <c r="BR57" s="52">
        <f>COUNTIFS(Respostas_Formatadas!$C:$C,CaractAmostra!$BQ$42,Respostas_Formatadas!$EW:$EW,CaractAmostra!$BQ57)</f>
        <v>14</v>
      </c>
      <c r="BS57" s="53">
        <f t="shared" si="50"/>
        <v>0.31111111111111112</v>
      </c>
      <c r="BT57" s="48"/>
      <c r="BU57" s="48"/>
      <c r="BV57" s="60">
        <f t="shared" si="47"/>
        <v>2015</v>
      </c>
      <c r="BW57" s="52">
        <f>COUNTIFS(Respostas_Formatadas!$C:$C,CaractAmostra!$BV$45,Respostas_Formatadas!$FE:$FE,CaractAmostra!$BV57)</f>
        <v>5</v>
      </c>
      <c r="BX57" s="53">
        <f t="shared" si="48"/>
        <v>0.1111111111111111</v>
      </c>
      <c r="BY57" s="48"/>
      <c r="BZ57" s="48"/>
    </row>
    <row r="58" spans="2:78" x14ac:dyDescent="0.2">
      <c r="B58" s="144"/>
      <c r="C58" s="144"/>
      <c r="D58" s="144"/>
      <c r="E58" s="48"/>
      <c r="F58" s="48"/>
      <c r="G58" s="48"/>
      <c r="H58" s="48"/>
      <c r="I58" s="48"/>
      <c r="J58" s="48"/>
      <c r="K58" s="48"/>
      <c r="L58" s="48"/>
      <c r="M58" s="48"/>
      <c r="N58" s="48"/>
      <c r="O58" s="48"/>
      <c r="P58" s="48"/>
      <c r="Q58" s="60" t="str">
        <f>Tabulacao!MD52</f>
        <v>Piranhas - AL</v>
      </c>
      <c r="R58" s="52">
        <f>COUNTIF(Tabulacao!$MC:$MC,CaractAmostra!Q58)</f>
        <v>1</v>
      </c>
      <c r="S58" s="53">
        <f t="shared" si="3"/>
        <v>3.6900369003690036E-3</v>
      </c>
      <c r="T58" s="48"/>
      <c r="U58" s="52">
        <v>50</v>
      </c>
      <c r="V58" s="60" t="str">
        <f t="array" ref="V58">INDEX($Q$80:$Q$143,SMALL(IF($R$80:$R$143=W58,ROW($R$80:$R$143)-79),COUNTIF($W$9:W58,W58)))</f>
        <v>Laranjeiras</v>
      </c>
      <c r="W58" s="52">
        <f t="shared" si="4"/>
        <v>0</v>
      </c>
      <c r="X58" s="53">
        <f t="shared" si="5"/>
        <v>0</v>
      </c>
      <c r="Y58" s="48"/>
      <c r="Z58" s="60" t="str">
        <f>Tabulacao!MH52</f>
        <v>Pacatuba</v>
      </c>
      <c r="AA58" s="52">
        <f>COUNTIF(Tabulacao!$MG:$MG,CaractAmostra!Z58)</f>
        <v>0</v>
      </c>
      <c r="AB58" s="53">
        <f t="shared" si="6"/>
        <v>0</v>
      </c>
      <c r="AC58" s="48"/>
      <c r="AD58" s="52">
        <v>50</v>
      </c>
      <c r="AE58" s="60" t="str">
        <f t="array" ref="AE58">INDEX($Z$80:$Z$143,SMALL(IF($AA$80:$AA$143=AF58,ROW($AA$80:$AA$143)-79),COUNTIF($AF$9:AF58,AF58)))</f>
        <v>Pacatuba</v>
      </c>
      <c r="AF58" s="52">
        <f t="shared" si="7"/>
        <v>0</v>
      </c>
      <c r="AG58" s="53">
        <f t="shared" si="8"/>
        <v>0</v>
      </c>
      <c r="AH58" s="48"/>
      <c r="AI58" s="60" t="str">
        <f>Tabulacao!ML52</f>
        <v>Laranjeiras</v>
      </c>
      <c r="AJ58" s="52">
        <f>COUNTIF(Tabulacao!$MK:$MK,CaractAmostra!AI58)</f>
        <v>0</v>
      </c>
      <c r="AK58" s="53">
        <f t="shared" si="9"/>
        <v>0</v>
      </c>
      <c r="AL58" s="48"/>
      <c r="AM58" s="52">
        <v>50</v>
      </c>
      <c r="AN58" s="60" t="str">
        <f t="array" ref="AN58">INDEX($AI$93:$AI$169,SMALL(IF($AJ$93:$AJ$169=AO58,ROW($AJ$93:$AJ$169)-92),COUNTIF($AO$9:AO58,AO58)))</f>
        <v>Laranjeiras</v>
      </c>
      <c r="AO58" s="52">
        <f t="shared" si="10"/>
        <v>0</v>
      </c>
      <c r="AP58" s="53">
        <f t="shared" si="11"/>
        <v>0</v>
      </c>
      <c r="AQ58" s="48"/>
      <c r="AR58" s="48"/>
      <c r="AS58" s="48"/>
      <c r="AT58" s="48"/>
      <c r="AU58" s="48"/>
      <c r="AV58" s="48"/>
      <c r="AW58" s="48"/>
      <c r="AX58" s="48"/>
      <c r="AY58" s="48"/>
      <c r="AZ58" s="48"/>
      <c r="BA58" s="48"/>
      <c r="BB58" s="48"/>
      <c r="BC58" s="48"/>
      <c r="BD58" s="48"/>
      <c r="BE58" s="48"/>
      <c r="BF58" s="48"/>
      <c r="BG58" s="48"/>
      <c r="BH58" s="48"/>
      <c r="BI58" s="48"/>
      <c r="BJ58" s="48"/>
      <c r="BK58" s="48"/>
      <c r="BL58" s="48"/>
      <c r="BM58" s="48"/>
      <c r="BN58" s="48"/>
      <c r="BO58" s="48"/>
      <c r="BP58" s="48"/>
      <c r="BQ58" s="60" t="str">
        <f t="shared" si="49"/>
        <v>Ensino superior incompleto</v>
      </c>
      <c r="BR58" s="52">
        <f>COUNTIFS(Respostas_Formatadas!$C:$C,CaractAmostra!$BQ$42,Respostas_Formatadas!$EW:$EW,CaractAmostra!$BQ58)</f>
        <v>1</v>
      </c>
      <c r="BS58" s="53">
        <f t="shared" si="50"/>
        <v>2.2222222222222223E-2</v>
      </c>
      <c r="BT58" s="48"/>
      <c r="BU58" s="48"/>
      <c r="BV58" s="60">
        <f t="shared" si="47"/>
        <v>2016</v>
      </c>
      <c r="BW58" s="52">
        <f>COUNTIFS(Respostas_Formatadas!$C:$C,CaractAmostra!$BV$45,Respostas_Formatadas!$FE:$FE,CaractAmostra!$BV58)</f>
        <v>3</v>
      </c>
      <c r="BX58" s="53">
        <f t="shared" si="48"/>
        <v>6.6666666666666666E-2</v>
      </c>
      <c r="BY58" s="48"/>
      <c r="BZ58" s="48"/>
    </row>
    <row r="59" spans="2:78" x14ac:dyDescent="0.2">
      <c r="B59" s="144"/>
      <c r="C59" s="144"/>
      <c r="D59" s="144"/>
      <c r="E59" s="48"/>
      <c r="F59" s="48"/>
      <c r="G59" s="48"/>
      <c r="H59" s="48"/>
      <c r="I59" s="48"/>
      <c r="J59" s="48"/>
      <c r="K59" s="48"/>
      <c r="L59" s="48"/>
      <c r="M59" s="48"/>
      <c r="N59" s="48"/>
      <c r="O59" s="48"/>
      <c r="P59" s="48"/>
      <c r="Q59" s="60" t="str">
        <f>Tabulacao!MD53</f>
        <v>Poço Verde</v>
      </c>
      <c r="R59" s="52">
        <f>COUNTIF(Tabulacao!$MC:$MC,CaractAmostra!Q59)</f>
        <v>1</v>
      </c>
      <c r="S59" s="53">
        <f t="shared" si="3"/>
        <v>3.6900369003690036E-3</v>
      </c>
      <c r="T59" s="48"/>
      <c r="U59" s="52">
        <v>51</v>
      </c>
      <c r="V59" s="60" t="str">
        <f t="array" ref="V59">INDEX($Q$80:$Q$143,SMALL(IF($R$80:$R$143=W59,ROW($R$80:$R$143)-79),COUNTIF($W$9:W59,W59)))</f>
        <v>Moita Bonita</v>
      </c>
      <c r="W59" s="52">
        <f t="shared" si="4"/>
        <v>0</v>
      </c>
      <c r="X59" s="53">
        <f t="shared" si="5"/>
        <v>0</v>
      </c>
      <c r="Y59" s="48"/>
      <c r="Z59" s="60" t="str">
        <f>Tabulacao!MH53</f>
        <v>Paripiranga - BA</v>
      </c>
      <c r="AA59" s="52">
        <f>COUNTIF(Tabulacao!$MG:$MG,CaractAmostra!Z59)</f>
        <v>0</v>
      </c>
      <c r="AB59" s="53">
        <f t="shared" si="6"/>
        <v>0</v>
      </c>
      <c r="AC59" s="48"/>
      <c r="AD59" s="52">
        <v>51</v>
      </c>
      <c r="AE59" s="60" t="str">
        <f t="array" ref="AE59">INDEX($Z$80:$Z$143,SMALL(IF($AA$80:$AA$143=AF59,ROW($AA$80:$AA$143)-79),COUNTIF($AF$9:AF59,AF59)))</f>
        <v>Paripiranga - BA</v>
      </c>
      <c r="AF59" s="52">
        <f t="shared" si="7"/>
        <v>0</v>
      </c>
      <c r="AG59" s="53">
        <f t="shared" si="8"/>
        <v>0</v>
      </c>
      <c r="AH59" s="48"/>
      <c r="AI59" s="60" t="str">
        <f>Tabulacao!ML53</f>
        <v>Moita Bonita</v>
      </c>
      <c r="AJ59" s="52">
        <f>COUNTIF(Tabulacao!$MK:$MK,CaractAmostra!AI59)</f>
        <v>0</v>
      </c>
      <c r="AK59" s="53">
        <f t="shared" si="9"/>
        <v>0</v>
      </c>
      <c r="AL59" s="48"/>
      <c r="AM59" s="52">
        <v>51</v>
      </c>
      <c r="AN59" s="60" t="str">
        <f t="array" ref="AN59">INDEX($AI$93:$AI$169,SMALL(IF($AJ$93:$AJ$169=AO59,ROW($AJ$93:$AJ$169)-92),COUNTIF($AO$9:AO59,AO59)))</f>
        <v>Moita Bonita</v>
      </c>
      <c r="AO59" s="52">
        <f t="shared" si="10"/>
        <v>0</v>
      </c>
      <c r="AP59" s="53">
        <f t="shared" si="11"/>
        <v>0</v>
      </c>
      <c r="AQ59" s="48"/>
      <c r="AR59" s="48"/>
      <c r="AS59" s="48"/>
      <c r="AT59" s="48"/>
      <c r="AU59" s="48"/>
      <c r="AV59" s="48"/>
      <c r="AW59" s="48"/>
      <c r="AX59" s="48"/>
      <c r="AY59" s="48"/>
      <c r="AZ59" s="48"/>
      <c r="BA59" s="48"/>
      <c r="BB59" s="48"/>
      <c r="BC59" s="48"/>
      <c r="BD59" s="48"/>
      <c r="BE59" s="48"/>
      <c r="BF59" s="48"/>
      <c r="BG59" s="48"/>
      <c r="BH59" s="48"/>
      <c r="BI59" s="48"/>
      <c r="BJ59" s="48"/>
      <c r="BK59" s="48"/>
      <c r="BL59" s="48"/>
      <c r="BM59" s="48"/>
      <c r="BN59" s="48"/>
      <c r="BO59" s="48"/>
      <c r="BP59" s="48"/>
      <c r="BQ59" s="60" t="str">
        <f t="shared" si="49"/>
        <v>Ensino superior completo</v>
      </c>
      <c r="BR59" s="52">
        <f>COUNTIFS(Respostas_Formatadas!$C:$C,CaractAmostra!$BQ$42,Respostas_Formatadas!$EW:$EW,CaractAmostra!$BQ59)</f>
        <v>13</v>
      </c>
      <c r="BS59" s="53">
        <f t="shared" si="50"/>
        <v>0.28888888888888886</v>
      </c>
      <c r="BT59" s="48"/>
      <c r="BU59" s="48"/>
      <c r="BV59" s="60">
        <f t="shared" si="47"/>
        <v>2017</v>
      </c>
      <c r="BW59" s="52">
        <f>COUNTIFS(Respostas_Formatadas!$C:$C,CaractAmostra!$BV$45,Respostas_Formatadas!$FE:$FE,CaractAmostra!$BV59)</f>
        <v>6</v>
      </c>
      <c r="BX59" s="53">
        <f t="shared" si="48"/>
        <v>0.13333333333333333</v>
      </c>
      <c r="BY59" s="48"/>
      <c r="BZ59" s="48"/>
    </row>
    <row r="60" spans="2:78" x14ac:dyDescent="0.2">
      <c r="B60" s="144"/>
      <c r="C60" s="144"/>
      <c r="D60" s="144"/>
      <c r="E60" s="48"/>
      <c r="F60" s="48"/>
      <c r="G60" s="48"/>
      <c r="H60" s="48"/>
      <c r="I60" s="48"/>
      <c r="J60" s="48"/>
      <c r="K60" s="48"/>
      <c r="L60" s="48"/>
      <c r="M60" s="48"/>
      <c r="N60" s="48"/>
      <c r="O60" s="48"/>
      <c r="P60" s="48"/>
      <c r="Q60" s="60" t="str">
        <f>Tabulacao!MD54</f>
        <v>Porto da Folha</v>
      </c>
      <c r="R60" s="52">
        <f>COUNTIF(Tabulacao!$MC:$MC,CaractAmostra!Q60)</f>
        <v>1</v>
      </c>
      <c r="S60" s="53">
        <f t="shared" si="3"/>
        <v>3.6900369003690036E-3</v>
      </c>
      <c r="T60" s="48"/>
      <c r="U60" s="52">
        <v>52</v>
      </c>
      <c r="V60" s="60" t="str">
        <f t="array" ref="V60">INDEX($Q$80:$Q$143,SMALL(IF($R$80:$R$143=W60,ROW($R$80:$R$143)-79),COUNTIF($W$9:W60,W60)))</f>
        <v>Pacatuba</v>
      </c>
      <c r="W60" s="52">
        <f t="shared" si="4"/>
        <v>0</v>
      </c>
      <c r="X60" s="53">
        <f t="shared" si="5"/>
        <v>0</v>
      </c>
      <c r="Y60" s="48"/>
      <c r="Z60" s="60" t="str">
        <f>Tabulacao!MH54</f>
        <v>Paulo Afonso - BA</v>
      </c>
      <c r="AA60" s="52">
        <f>COUNTIF(Tabulacao!$MG:$MG,CaractAmostra!Z60)</f>
        <v>0</v>
      </c>
      <c r="AB60" s="53">
        <f t="shared" si="6"/>
        <v>0</v>
      </c>
      <c r="AC60" s="48"/>
      <c r="AD60" s="52">
        <v>52</v>
      </c>
      <c r="AE60" s="60" t="str">
        <f t="array" ref="AE60">INDEX($Z$80:$Z$143,SMALL(IF($AA$80:$AA$143=AF60,ROW($AA$80:$AA$143)-79),COUNTIF($AF$9:AF60,AF60)))</f>
        <v>Paulo Afonso - BA</v>
      </c>
      <c r="AF60" s="52">
        <f t="shared" si="7"/>
        <v>0</v>
      </c>
      <c r="AG60" s="53">
        <f t="shared" si="8"/>
        <v>0</v>
      </c>
      <c r="AH60" s="48"/>
      <c r="AI60" s="60" t="str">
        <f>Tabulacao!ML54</f>
        <v>Rosário do Catete</v>
      </c>
      <c r="AJ60" s="52">
        <f>COUNTIF(Tabulacao!$MK:$MK,CaractAmostra!AI60)</f>
        <v>0</v>
      </c>
      <c r="AK60" s="53">
        <f t="shared" si="9"/>
        <v>0</v>
      </c>
      <c r="AL60" s="48"/>
      <c r="AM60" s="52">
        <v>52</v>
      </c>
      <c r="AN60" s="60" t="str">
        <f t="array" ref="AN60">INDEX($AI$93:$AI$169,SMALL(IF($AJ$93:$AJ$169=AO60,ROW($AJ$93:$AJ$169)-92),COUNTIF($AO$9:AO60,AO60)))</f>
        <v>Rosário do Catete</v>
      </c>
      <c r="AO60" s="52">
        <f t="shared" si="10"/>
        <v>0</v>
      </c>
      <c r="AP60" s="53">
        <f t="shared" si="11"/>
        <v>0</v>
      </c>
      <c r="AQ60" s="48"/>
      <c r="AR60" s="48"/>
      <c r="AS60" s="48"/>
      <c r="AT60" s="48"/>
      <c r="AU60" s="48"/>
      <c r="AV60" s="48"/>
      <c r="AW60" s="48"/>
      <c r="AX60" s="48"/>
      <c r="AY60" s="48"/>
      <c r="AZ60" s="48"/>
      <c r="BA60" s="48"/>
      <c r="BB60" s="48"/>
      <c r="BC60" s="48"/>
      <c r="BD60" s="48"/>
      <c r="BE60" s="48"/>
      <c r="BF60" s="48"/>
      <c r="BG60" s="48"/>
      <c r="BH60" s="48"/>
      <c r="BI60" s="48"/>
      <c r="BJ60" s="48"/>
      <c r="BK60" s="48"/>
      <c r="BL60" s="48"/>
      <c r="BM60" s="48"/>
      <c r="BN60" s="48"/>
      <c r="BO60" s="48"/>
      <c r="BP60" s="48"/>
      <c r="BQ60" s="60" t="str">
        <f t="shared" si="49"/>
        <v>Pós-graduação</v>
      </c>
      <c r="BR60" s="52">
        <f>COUNTIFS(Respostas_Formatadas!$C:$C,CaractAmostra!$BQ$42,Respostas_Formatadas!$EW:$EW,CaractAmostra!$BQ60)</f>
        <v>4</v>
      </c>
      <c r="BS60" s="53">
        <f t="shared" si="50"/>
        <v>8.8888888888888892E-2</v>
      </c>
      <c r="BT60" s="48"/>
      <c r="BU60" s="48"/>
      <c r="BV60" s="60">
        <f t="shared" si="47"/>
        <v>2018</v>
      </c>
      <c r="BW60" s="52">
        <f>COUNTIFS(Respostas_Formatadas!$C:$C,CaractAmostra!$BV$45,Respostas_Formatadas!$FE:$FE,CaractAmostra!$BV60)</f>
        <v>4</v>
      </c>
      <c r="BX60" s="53">
        <f t="shared" si="48"/>
        <v>8.8888888888888892E-2</v>
      </c>
      <c r="BY60" s="48"/>
      <c r="BZ60" s="48"/>
    </row>
    <row r="61" spans="2:78" x14ac:dyDescent="0.2">
      <c r="B61" s="144"/>
      <c r="C61" s="144"/>
      <c r="D61" s="144"/>
      <c r="E61" s="48"/>
      <c r="F61" s="48"/>
      <c r="G61" s="48"/>
      <c r="H61" s="48"/>
      <c r="I61" s="48"/>
      <c r="J61" s="48"/>
      <c r="K61" s="48"/>
      <c r="L61" s="48"/>
      <c r="M61" s="48"/>
      <c r="N61" s="48"/>
      <c r="O61" s="48"/>
      <c r="P61" s="48"/>
      <c r="Q61" s="60" t="str">
        <f>Tabulacao!MD55</f>
        <v>Recife - PE</v>
      </c>
      <c r="R61" s="52">
        <f>COUNTIF(Tabulacao!$MC:$MC,CaractAmostra!Q61)</f>
        <v>1</v>
      </c>
      <c r="S61" s="53">
        <f t="shared" si="3"/>
        <v>3.6900369003690036E-3</v>
      </c>
      <c r="T61" s="48"/>
      <c r="U61" s="52">
        <v>53</v>
      </c>
      <c r="V61" s="60" t="str">
        <f t="array" ref="V61">INDEX($Q$80:$Q$143,SMALL(IF($R$80:$R$143=W61,ROW($R$80:$R$143)-79),COUNTIF($W$9:W61,W61)))</f>
        <v>Paripiranga - BA</v>
      </c>
      <c r="W61" s="52">
        <f t="shared" si="4"/>
        <v>0</v>
      </c>
      <c r="X61" s="53">
        <f t="shared" si="5"/>
        <v>0</v>
      </c>
      <c r="Y61" s="48"/>
      <c r="Z61" s="60" t="str">
        <f>Tabulacao!MH55</f>
        <v>Piranhas - AL</v>
      </c>
      <c r="AA61" s="52">
        <f>COUNTIF(Tabulacao!$MG:$MG,CaractAmostra!Z61)</f>
        <v>0</v>
      </c>
      <c r="AB61" s="53">
        <f t="shared" si="6"/>
        <v>0</v>
      </c>
      <c r="AC61" s="48"/>
      <c r="AD61" s="52">
        <v>53</v>
      </c>
      <c r="AE61" s="60" t="str">
        <f t="array" ref="AE61">INDEX($Z$80:$Z$143,SMALL(IF($AA$80:$AA$143=AF61,ROW($AA$80:$AA$143)-79),COUNTIF($AF$9:AF61,AF61)))</f>
        <v>Piranhas - AL</v>
      </c>
      <c r="AF61" s="52">
        <f t="shared" si="7"/>
        <v>0</v>
      </c>
      <c r="AG61" s="53">
        <f t="shared" si="8"/>
        <v>0</v>
      </c>
      <c r="AH61" s="48"/>
      <c r="AI61" s="60" t="str">
        <f>Tabulacao!ML55</f>
        <v>Santo Amaro das Brotas</v>
      </c>
      <c r="AJ61" s="52">
        <f>COUNTIF(Tabulacao!$MK:$MK,CaractAmostra!AI61)</f>
        <v>0</v>
      </c>
      <c r="AK61" s="53">
        <f t="shared" si="9"/>
        <v>0</v>
      </c>
      <c r="AL61" s="48"/>
      <c r="AM61" s="52">
        <v>53</v>
      </c>
      <c r="AN61" s="60" t="str">
        <f t="array" ref="AN61">INDEX($AI$93:$AI$169,SMALL(IF($AJ$93:$AJ$169=AO61,ROW($AJ$93:$AJ$169)-92),COUNTIF($AO$9:AO61,AO61)))</f>
        <v>Santo Amaro das Brotas</v>
      </c>
      <c r="AO61" s="52">
        <f t="shared" si="10"/>
        <v>0</v>
      </c>
      <c r="AP61" s="53">
        <f t="shared" si="11"/>
        <v>0</v>
      </c>
      <c r="AQ61" s="48"/>
      <c r="AR61" s="48"/>
      <c r="AS61" s="48"/>
      <c r="AT61" s="48"/>
      <c r="AU61" s="48"/>
      <c r="AV61" s="48"/>
      <c r="AW61" s="48"/>
      <c r="AX61" s="48"/>
      <c r="AY61" s="48"/>
      <c r="AZ61" s="48"/>
      <c r="BA61" s="48"/>
      <c r="BB61" s="48"/>
      <c r="BC61" s="48"/>
      <c r="BD61" s="48"/>
      <c r="BE61" s="48"/>
      <c r="BF61" s="48"/>
      <c r="BG61" s="48"/>
      <c r="BH61" s="48"/>
      <c r="BI61" s="48"/>
      <c r="BJ61" s="48"/>
      <c r="BK61" s="48"/>
      <c r="BL61" s="48"/>
      <c r="BM61" s="48"/>
      <c r="BN61" s="48"/>
      <c r="BO61" s="48"/>
      <c r="BP61" s="48"/>
      <c r="BQ61" s="191" t="s">
        <v>621</v>
      </c>
      <c r="BR61" s="192">
        <f>SUM(BR54:BR60)</f>
        <v>45</v>
      </c>
      <c r="BS61" s="193">
        <f>SUM(BS54:BS60)</f>
        <v>1</v>
      </c>
      <c r="BT61" s="48"/>
      <c r="BU61" s="48"/>
      <c r="BV61" s="191" t="s">
        <v>621</v>
      </c>
      <c r="BW61" s="192">
        <f>SUM(BW47:BW60)</f>
        <v>45</v>
      </c>
      <c r="BX61" s="193">
        <f>SUM(BX54:BX60)</f>
        <v>0.57777777777777772</v>
      </c>
      <c r="BY61" s="48"/>
      <c r="BZ61" s="48"/>
    </row>
    <row r="62" spans="2:78" x14ac:dyDescent="0.2">
      <c r="B62" s="144"/>
      <c r="C62" s="144"/>
      <c r="D62" s="144"/>
      <c r="E62" s="48"/>
      <c r="F62" s="48"/>
      <c r="G62" s="48"/>
      <c r="H62" s="48"/>
      <c r="I62" s="48"/>
      <c r="J62" s="48"/>
      <c r="K62" s="48"/>
      <c r="L62" s="48"/>
      <c r="M62" s="48"/>
      <c r="N62" s="48"/>
      <c r="O62" s="48"/>
      <c r="P62" s="48"/>
      <c r="Q62" s="60" t="str">
        <f>Tabulacao!MD56</f>
        <v>Ribeirópolis</v>
      </c>
      <c r="R62" s="52">
        <f>COUNTIF(Tabulacao!$MC:$MC,CaractAmostra!Q62)</f>
        <v>1</v>
      </c>
      <c r="S62" s="53">
        <f t="shared" si="3"/>
        <v>3.6900369003690036E-3</v>
      </c>
      <c r="T62" s="48"/>
      <c r="U62" s="52">
        <v>54</v>
      </c>
      <c r="V62" s="60" t="str">
        <f t="array" ref="V62">INDEX($Q$80:$Q$143,SMALL(IF($R$80:$R$143=W62,ROW($R$80:$R$143)-79),COUNTIF($W$9:W62,W62)))</f>
        <v>Piranhas - AL</v>
      </c>
      <c r="W62" s="52">
        <f t="shared" si="4"/>
        <v>0</v>
      </c>
      <c r="X62" s="53">
        <f t="shared" si="5"/>
        <v>0</v>
      </c>
      <c r="Y62" s="48"/>
      <c r="Z62" s="60" t="str">
        <f>Tabulacao!MH56</f>
        <v>Poço Verde</v>
      </c>
      <c r="AA62" s="52">
        <f>COUNTIF(Tabulacao!$MG:$MG,CaractAmostra!Z62)</f>
        <v>0</v>
      </c>
      <c r="AB62" s="53">
        <f t="shared" si="6"/>
        <v>0</v>
      </c>
      <c r="AC62" s="48"/>
      <c r="AD62" s="52">
        <v>54</v>
      </c>
      <c r="AE62" s="60" t="str">
        <f t="array" ref="AE62">INDEX($Z$80:$Z$143,SMALL(IF($AA$80:$AA$143=AF62,ROW($AA$80:$AA$143)-79),COUNTIF($AF$9:AF62,AF62)))</f>
        <v>Poço Verde</v>
      </c>
      <c r="AF62" s="52">
        <f t="shared" si="7"/>
        <v>0</v>
      </c>
      <c r="AG62" s="53">
        <f t="shared" si="8"/>
        <v>0</v>
      </c>
      <c r="AH62" s="48"/>
      <c r="AI62" s="60" t="str">
        <f>Tabulacao!ML56</f>
        <v>Cristinápolis</v>
      </c>
      <c r="AJ62" s="52">
        <f>COUNTIF(Tabulacao!$MK:$MK,CaractAmostra!AI62)</f>
        <v>0</v>
      </c>
      <c r="AK62" s="53">
        <f t="shared" si="9"/>
        <v>0</v>
      </c>
      <c r="AL62" s="48"/>
      <c r="AM62" s="52">
        <v>54</v>
      </c>
      <c r="AN62" s="60" t="str">
        <f t="array" ref="AN62">INDEX($AI$93:$AI$169,SMALL(IF($AJ$93:$AJ$169=AO62,ROW($AJ$93:$AJ$169)-92),COUNTIF($AO$9:AO62,AO62)))</f>
        <v>Cristinápolis</v>
      </c>
      <c r="AO62" s="52">
        <f t="shared" si="10"/>
        <v>0</v>
      </c>
      <c r="AP62" s="53">
        <f t="shared" si="11"/>
        <v>0</v>
      </c>
      <c r="AQ62" s="48"/>
      <c r="AR62" s="48"/>
      <c r="AS62" s="48"/>
      <c r="AT62" s="48"/>
      <c r="AU62" s="48"/>
      <c r="AV62" s="48"/>
      <c r="AW62" s="48"/>
      <c r="AX62" s="48"/>
      <c r="AY62" s="48"/>
      <c r="AZ62" s="48"/>
      <c r="BA62" s="48"/>
      <c r="BB62" s="48"/>
      <c r="BC62" s="48"/>
      <c r="BD62" s="48"/>
      <c r="BE62" s="48"/>
      <c r="BF62" s="48"/>
      <c r="BG62" s="48"/>
      <c r="BH62" s="48"/>
      <c r="BI62" s="48"/>
      <c r="BJ62" s="48"/>
      <c r="BK62" s="48"/>
      <c r="BL62" s="48"/>
      <c r="BM62" s="48"/>
      <c r="BN62" s="48"/>
      <c r="BO62" s="48"/>
      <c r="BP62" s="48"/>
      <c r="BQ62" s="48"/>
      <c r="BR62" s="48"/>
      <c r="BS62" s="48"/>
      <c r="BT62" s="48"/>
      <c r="BU62" s="48"/>
      <c r="BV62" s="48"/>
      <c r="BW62" s="48"/>
      <c r="BX62" s="48"/>
      <c r="BY62" s="48"/>
      <c r="BZ62" s="48"/>
    </row>
    <row r="63" spans="2:78" x14ac:dyDescent="0.2">
      <c r="B63" s="144"/>
      <c r="C63" s="144"/>
      <c r="D63" s="144"/>
      <c r="E63" s="48"/>
      <c r="F63" s="48"/>
      <c r="G63" s="48"/>
      <c r="H63" s="48"/>
      <c r="I63" s="48"/>
      <c r="J63" s="48"/>
      <c r="K63" s="48"/>
      <c r="L63" s="48"/>
      <c r="M63" s="48"/>
      <c r="N63" s="48"/>
      <c r="O63" s="48"/>
      <c r="P63" s="48"/>
      <c r="Q63" s="60" t="str">
        <f>Tabulacao!MD57</f>
        <v>Rosário do Catete</v>
      </c>
      <c r="R63" s="52">
        <f>COUNTIF(Tabulacao!$MC:$MC,CaractAmostra!Q63)</f>
        <v>1</v>
      </c>
      <c r="S63" s="53">
        <f t="shared" si="3"/>
        <v>3.6900369003690036E-3</v>
      </c>
      <c r="T63" s="48"/>
      <c r="U63" s="52">
        <v>55</v>
      </c>
      <c r="V63" s="60" t="str">
        <f t="array" ref="V63">INDEX($Q$80:$Q$143,SMALL(IF($R$80:$R$143=W63,ROW($R$80:$R$143)-79),COUNTIF($W$9:W63,W63)))</f>
        <v>Poço Verde</v>
      </c>
      <c r="W63" s="52">
        <f t="shared" si="4"/>
        <v>0</v>
      </c>
      <c r="X63" s="53">
        <f t="shared" si="5"/>
        <v>0</v>
      </c>
      <c r="Y63" s="48"/>
      <c r="Z63" s="60" t="str">
        <f>Tabulacao!MH57</f>
        <v>Porto da Folha</v>
      </c>
      <c r="AA63" s="52">
        <f>COUNTIF(Tabulacao!$MG:$MG,CaractAmostra!Z63)</f>
        <v>0</v>
      </c>
      <c r="AB63" s="53">
        <f t="shared" si="6"/>
        <v>0</v>
      </c>
      <c r="AC63" s="48"/>
      <c r="AD63" s="52">
        <v>55</v>
      </c>
      <c r="AE63" s="60" t="str">
        <f t="array" ref="AE63">INDEX($Z$80:$Z$143,SMALL(IF($AA$80:$AA$143=AF63,ROW($AA$80:$AA$143)-79),COUNTIF($AF$9:AF63,AF63)))</f>
        <v>Porto da Folha</v>
      </c>
      <c r="AF63" s="52">
        <f t="shared" si="7"/>
        <v>0</v>
      </c>
      <c r="AG63" s="53">
        <f t="shared" si="8"/>
        <v>0</v>
      </c>
      <c r="AH63" s="48"/>
      <c r="AI63" s="60" t="str">
        <f>Tabulacao!ML57</f>
        <v>Rio Real - BA</v>
      </c>
      <c r="AJ63" s="52">
        <f>COUNTIF(Tabulacao!$MK:$MK,CaractAmostra!AI63)</f>
        <v>0</v>
      </c>
      <c r="AK63" s="53">
        <f t="shared" si="9"/>
        <v>0</v>
      </c>
      <c r="AL63" s="48"/>
      <c r="AM63" s="52">
        <v>55</v>
      </c>
      <c r="AN63" s="60" t="str">
        <f t="array" ref="AN63">INDEX($AI$93:$AI$169,SMALL(IF($AJ$93:$AJ$169=AO63,ROW($AJ$93:$AJ$169)-92),COUNTIF($AO$9:AO63,AO63)))</f>
        <v>Rio Real - BA</v>
      </c>
      <c r="AO63" s="52">
        <f t="shared" si="10"/>
        <v>0</v>
      </c>
      <c r="AP63" s="53">
        <f t="shared" si="11"/>
        <v>0</v>
      </c>
      <c r="AQ63" s="48"/>
      <c r="AR63" s="48"/>
      <c r="AS63" s="48"/>
      <c r="AT63" s="48"/>
      <c r="AU63" s="48"/>
      <c r="AV63" s="48"/>
      <c r="AW63" s="48"/>
      <c r="AX63" s="48"/>
      <c r="AY63" s="48"/>
      <c r="AZ63" s="48"/>
      <c r="BA63" s="48"/>
      <c r="BB63" s="48"/>
      <c r="BC63" s="48"/>
      <c r="BD63" s="48"/>
      <c r="BE63" s="48"/>
      <c r="BF63" s="48"/>
      <c r="BG63" s="48"/>
      <c r="BH63" s="48"/>
      <c r="BI63" s="48"/>
      <c r="BJ63" s="48"/>
      <c r="BK63" s="48"/>
      <c r="BL63" s="48"/>
      <c r="BM63" s="48"/>
      <c r="BN63" s="48"/>
      <c r="BO63" s="48"/>
      <c r="BP63" s="48"/>
      <c r="BQ63" s="194" t="str">
        <f>BQ30</f>
        <v>Grau de Instrução</v>
      </c>
      <c r="BR63" s="187" t="str">
        <f>BR30</f>
        <v>Pai</v>
      </c>
      <c r="BS63" s="187" t="str">
        <f>BS30</f>
        <v>Mãe</v>
      </c>
      <c r="BT63" s="48"/>
      <c r="BU63" s="48"/>
      <c r="BV63" s="194" t="str">
        <f>BV25</f>
        <v>Ano de conclusão</v>
      </c>
      <c r="BW63" s="187" t="str">
        <f>BW25</f>
        <v>%</v>
      </c>
      <c r="BX63" s="187" t="str">
        <f>BX25</f>
        <v>% Acumul.</v>
      </c>
      <c r="BY63" s="48"/>
      <c r="BZ63" s="48"/>
    </row>
    <row r="64" spans="2:78" x14ac:dyDescent="0.2">
      <c r="B64" s="144"/>
      <c r="C64" s="144"/>
      <c r="D64" s="144"/>
      <c r="E64" s="48"/>
      <c r="F64" s="48"/>
      <c r="G64" s="48"/>
      <c r="H64" s="48"/>
      <c r="I64" s="48"/>
      <c r="J64" s="48"/>
      <c r="K64" s="48"/>
      <c r="L64" s="48"/>
      <c r="M64" s="48"/>
      <c r="N64" s="48"/>
      <c r="O64" s="48"/>
      <c r="P64" s="48"/>
      <c r="Q64" s="60" t="str">
        <f>Tabulacao!MD58</f>
        <v>Santo Amaro das Brotas</v>
      </c>
      <c r="R64" s="52">
        <f>COUNTIF(Tabulacao!$MC:$MC,CaractAmostra!Q64)</f>
        <v>1</v>
      </c>
      <c r="S64" s="53">
        <f t="shared" si="3"/>
        <v>3.6900369003690036E-3</v>
      </c>
      <c r="T64" s="48"/>
      <c r="U64" s="52">
        <v>56</v>
      </c>
      <c r="V64" s="60" t="str">
        <f t="array" ref="V64">INDEX($Q$80:$Q$143,SMALL(IF($R$80:$R$143=W64,ROW($R$80:$R$143)-79),COUNTIF($W$9:W64,W64)))</f>
        <v>Porto da Folha</v>
      </c>
      <c r="W64" s="52">
        <f t="shared" si="4"/>
        <v>0</v>
      </c>
      <c r="X64" s="53">
        <f t="shared" si="5"/>
        <v>0</v>
      </c>
      <c r="Y64" s="48"/>
      <c r="Z64" s="60" t="str">
        <f>Tabulacao!MH58</f>
        <v>Recife - PE</v>
      </c>
      <c r="AA64" s="52">
        <f>COUNTIF(Tabulacao!$MG:$MG,CaractAmostra!Z64)</f>
        <v>0</v>
      </c>
      <c r="AB64" s="53">
        <f t="shared" si="6"/>
        <v>0</v>
      </c>
      <c r="AC64" s="48"/>
      <c r="AD64" s="52">
        <v>56</v>
      </c>
      <c r="AE64" s="60" t="str">
        <f t="array" ref="AE64">INDEX($Z$80:$Z$143,SMALL(IF($AA$80:$AA$143=AF64,ROW($AA$80:$AA$143)-79),COUNTIF($AF$9:AF64,AF64)))</f>
        <v>Recife - PE</v>
      </c>
      <c r="AF64" s="52">
        <f t="shared" si="7"/>
        <v>0</v>
      </c>
      <c r="AG64" s="53">
        <f t="shared" si="8"/>
        <v>0</v>
      </c>
      <c r="AH64" s="48"/>
      <c r="AI64" s="60" t="str">
        <f>Tabulacao!ML58</f>
        <v>Itaberaba - BA</v>
      </c>
      <c r="AJ64" s="52">
        <f>COUNTIF(Tabulacao!$MK:$MK,CaractAmostra!AI64)</f>
        <v>0</v>
      </c>
      <c r="AK64" s="53">
        <f t="shared" si="9"/>
        <v>0</v>
      </c>
      <c r="AL64" s="48"/>
      <c r="AM64" s="52">
        <v>56</v>
      </c>
      <c r="AN64" s="60" t="str">
        <f t="array" ref="AN64">INDEX($AI$93:$AI$169,SMALL(IF($AJ$93:$AJ$169=AO64,ROW($AJ$93:$AJ$169)-92),COUNTIF($AO$9:AO64,AO64)))</f>
        <v>Itaberaba - BA</v>
      </c>
      <c r="AO64" s="52">
        <f t="shared" si="10"/>
        <v>0</v>
      </c>
      <c r="AP64" s="53">
        <f t="shared" si="11"/>
        <v>0</v>
      </c>
      <c r="AQ64" s="48"/>
      <c r="AR64" s="48"/>
      <c r="AS64" s="48"/>
      <c r="AT64" s="48"/>
      <c r="AU64" s="48"/>
      <c r="AV64" s="48"/>
      <c r="AW64" s="48"/>
      <c r="AX64" s="48"/>
      <c r="AY64" s="48"/>
      <c r="AZ64" s="48"/>
      <c r="BA64" s="48"/>
      <c r="BB64" s="48"/>
      <c r="BC64" s="48"/>
      <c r="BD64" s="48"/>
      <c r="BE64" s="48"/>
      <c r="BF64" s="48"/>
      <c r="BG64" s="48"/>
      <c r="BH64" s="48"/>
      <c r="BI64" s="48"/>
      <c r="BJ64" s="48"/>
      <c r="BK64" s="48"/>
      <c r="BL64" s="48"/>
      <c r="BM64" s="48"/>
      <c r="BN64" s="48"/>
      <c r="BO64" s="48"/>
      <c r="BP64" s="48"/>
      <c r="BQ64" s="60" t="str">
        <f t="shared" ref="BQ64:BQ70" si="51">BQ31</f>
        <v>Fund. incompleto</v>
      </c>
      <c r="BR64" s="53">
        <f>BS44</f>
        <v>0.17777777777777778</v>
      </c>
      <c r="BS64" s="53">
        <f>BS54</f>
        <v>0.13333333333333333</v>
      </c>
      <c r="BT64" s="48"/>
      <c r="BU64" s="48"/>
      <c r="BV64" s="60">
        <v>2018</v>
      </c>
      <c r="BW64" s="53">
        <f>VLOOKUP($BV64,$BV$46:$BX$61,3,FALSE)</f>
        <v>8.8888888888888892E-2</v>
      </c>
      <c r="BX64" s="53">
        <f>BW64</f>
        <v>8.8888888888888892E-2</v>
      </c>
      <c r="BY64" s="48"/>
      <c r="BZ64" s="48"/>
    </row>
    <row r="65" spans="2:78" x14ac:dyDescent="0.2">
      <c r="B65" s="144"/>
      <c r="C65" s="144"/>
      <c r="D65" s="144"/>
      <c r="E65" s="48"/>
      <c r="F65" s="48"/>
      <c r="G65" s="48"/>
      <c r="H65" s="48"/>
      <c r="I65" s="48"/>
      <c r="J65" s="48"/>
      <c r="K65" s="48"/>
      <c r="L65" s="48"/>
      <c r="M65" s="48"/>
      <c r="N65" s="48"/>
      <c r="O65" s="48"/>
      <c r="P65" s="48"/>
      <c r="Q65" s="60" t="str">
        <f>Tabulacao!MD59</f>
        <v>Santos - SP</v>
      </c>
      <c r="R65" s="52">
        <f>COUNTIF(Tabulacao!$MC:$MC,CaractAmostra!Q65)</f>
        <v>1</v>
      </c>
      <c r="S65" s="53">
        <f t="shared" si="3"/>
        <v>3.6900369003690036E-3</v>
      </c>
      <c r="T65" s="48"/>
      <c r="U65" s="52">
        <v>57</v>
      </c>
      <c r="V65" s="60" t="str">
        <f t="array" ref="V65">INDEX($Q$80:$Q$143,SMALL(IF($R$80:$R$143=W65,ROW($R$80:$R$143)-79),COUNTIF($W$9:W65,W65)))</f>
        <v>Ribeirópolis</v>
      </c>
      <c r="W65" s="52">
        <f t="shared" si="4"/>
        <v>0</v>
      </c>
      <c r="X65" s="53">
        <f t="shared" si="5"/>
        <v>0</v>
      </c>
      <c r="Y65" s="48"/>
      <c r="Z65" s="60" t="str">
        <f>Tabulacao!MH59</f>
        <v>Ribeirópolis</v>
      </c>
      <c r="AA65" s="52">
        <f>COUNTIF(Tabulacao!$MG:$MG,CaractAmostra!Z65)</f>
        <v>0</v>
      </c>
      <c r="AB65" s="53">
        <f t="shared" si="6"/>
        <v>0</v>
      </c>
      <c r="AC65" s="48"/>
      <c r="AD65" s="52">
        <v>57</v>
      </c>
      <c r="AE65" s="60" t="str">
        <f t="array" ref="AE65">INDEX($Z$80:$Z$143,SMALL(IF($AA$80:$AA$143=AF65,ROW($AA$80:$AA$143)-79),COUNTIF($AF$9:AF65,AF65)))</f>
        <v>Ribeirópolis</v>
      </c>
      <c r="AF65" s="52">
        <f t="shared" si="7"/>
        <v>0</v>
      </c>
      <c r="AG65" s="53">
        <f t="shared" si="8"/>
        <v>0</v>
      </c>
      <c r="AH65" s="48"/>
      <c r="AI65" s="60" t="str">
        <f>Tabulacao!ML59</f>
        <v>Acajutiba - BA</v>
      </c>
      <c r="AJ65" s="52">
        <f>COUNTIF(Tabulacao!$MK:$MK,CaractAmostra!AI65)</f>
        <v>0</v>
      </c>
      <c r="AK65" s="53">
        <f t="shared" si="9"/>
        <v>0</v>
      </c>
      <c r="AL65" s="48"/>
      <c r="AM65" s="52">
        <v>57</v>
      </c>
      <c r="AN65" s="60" t="str">
        <f t="array" ref="AN65">INDEX($AI$93:$AI$169,SMALL(IF($AJ$93:$AJ$169=AO65,ROW($AJ$93:$AJ$169)-92),COUNTIF($AO$9:AO65,AO65)))</f>
        <v>Acajutiba - BA</v>
      </c>
      <c r="AO65" s="52">
        <f t="shared" si="10"/>
        <v>0</v>
      </c>
      <c r="AP65" s="53">
        <f t="shared" si="11"/>
        <v>0</v>
      </c>
      <c r="AQ65" s="48"/>
      <c r="AR65" s="48"/>
      <c r="AS65" s="48"/>
      <c r="AT65" s="48"/>
      <c r="AU65" s="48"/>
      <c r="AV65" s="48"/>
      <c r="AW65" s="48"/>
      <c r="AX65" s="48"/>
      <c r="AY65" s="48"/>
      <c r="AZ65" s="48"/>
      <c r="BA65" s="48"/>
      <c r="BB65" s="48"/>
      <c r="BC65" s="48"/>
      <c r="BD65" s="48"/>
      <c r="BE65" s="48"/>
      <c r="BF65" s="48"/>
      <c r="BG65" s="48"/>
      <c r="BH65" s="48"/>
      <c r="BI65" s="48"/>
      <c r="BJ65" s="48"/>
      <c r="BK65" s="48"/>
      <c r="BL65" s="48"/>
      <c r="BM65" s="48"/>
      <c r="BN65" s="48"/>
      <c r="BO65" s="48"/>
      <c r="BP65" s="48"/>
      <c r="BQ65" s="60" t="str">
        <f t="shared" si="51"/>
        <v>Fund. completo</v>
      </c>
      <c r="BR65" s="53">
        <f t="shared" ref="BR65:BR70" si="52">BS45</f>
        <v>0.13333333333333333</v>
      </c>
      <c r="BS65" s="53">
        <f t="shared" ref="BS65:BS70" si="53">BS55</f>
        <v>8.8888888888888892E-2</v>
      </c>
      <c r="BT65" s="48"/>
      <c r="BU65" s="48"/>
      <c r="BV65" s="60">
        <v>2017</v>
      </c>
      <c r="BW65" s="53">
        <f t="shared" ref="BW65:BW77" si="54">VLOOKUP($BV65,$BV$46:$BX$61,3,FALSE)</f>
        <v>0.13333333333333333</v>
      </c>
      <c r="BX65" s="53">
        <f t="shared" ref="BX65:BX77" si="55">BX64+BW65</f>
        <v>0.22222222222222221</v>
      </c>
      <c r="BY65" s="48"/>
      <c r="BZ65" s="48"/>
    </row>
    <row r="66" spans="2:78" x14ac:dyDescent="0.2">
      <c r="B66" s="144"/>
      <c r="C66" s="144"/>
      <c r="D66" s="144"/>
      <c r="E66" s="48"/>
      <c r="F66" s="48"/>
      <c r="G66" s="48"/>
      <c r="H66" s="48"/>
      <c r="I66" s="48"/>
      <c r="J66" s="48"/>
      <c r="K66" s="48"/>
      <c r="L66" s="48"/>
      <c r="M66" s="48"/>
      <c r="N66" s="48"/>
      <c r="O66" s="48"/>
      <c r="P66" s="48"/>
      <c r="Q66" s="60" t="str">
        <f>Tabulacao!MD60</f>
        <v>São Gonçalo - RJ</v>
      </c>
      <c r="R66" s="52">
        <f>COUNTIF(Tabulacao!$MC:$MC,CaractAmostra!Q66)</f>
        <v>1</v>
      </c>
      <c r="S66" s="53">
        <f t="shared" si="3"/>
        <v>3.6900369003690036E-3</v>
      </c>
      <c r="T66" s="48"/>
      <c r="U66" s="52">
        <v>58</v>
      </c>
      <c r="V66" s="60" t="str">
        <f t="array" ref="V66">INDEX($Q$80:$Q$143,SMALL(IF($R$80:$R$143=W66,ROW($R$80:$R$143)-79),COUNTIF($W$9:W66,W66)))</f>
        <v>Rosário do Catete</v>
      </c>
      <c r="W66" s="52">
        <f t="shared" si="4"/>
        <v>0</v>
      </c>
      <c r="X66" s="53">
        <f t="shared" si="5"/>
        <v>0</v>
      </c>
      <c r="Y66" s="48"/>
      <c r="Z66" s="60" t="str">
        <f>Tabulacao!MH60</f>
        <v>Santos - SP</v>
      </c>
      <c r="AA66" s="52">
        <f>COUNTIF(Tabulacao!$MG:$MG,CaractAmostra!Z66)</f>
        <v>0</v>
      </c>
      <c r="AB66" s="53">
        <f t="shared" si="6"/>
        <v>0</v>
      </c>
      <c r="AC66" s="48"/>
      <c r="AD66" s="52">
        <v>58</v>
      </c>
      <c r="AE66" s="60" t="str">
        <f t="array" ref="AE66">INDEX($Z$80:$Z$143,SMALL(IF($AA$80:$AA$143=AF66,ROW($AA$80:$AA$143)-79),COUNTIF($AF$9:AF66,AF66)))</f>
        <v>Santos - SP</v>
      </c>
      <c r="AF66" s="52">
        <f t="shared" si="7"/>
        <v>0</v>
      </c>
      <c r="AG66" s="53">
        <f t="shared" si="8"/>
        <v>0</v>
      </c>
      <c r="AH66" s="48"/>
      <c r="AI66" s="60" t="str">
        <f>Tabulacao!ML60</f>
        <v>Barbalha - CE</v>
      </c>
      <c r="AJ66" s="52">
        <f>COUNTIF(Tabulacao!$MK:$MK,CaractAmostra!AI66)</f>
        <v>0</v>
      </c>
      <c r="AK66" s="53">
        <f t="shared" si="9"/>
        <v>0</v>
      </c>
      <c r="AL66" s="48"/>
      <c r="AM66" s="52">
        <v>58</v>
      </c>
      <c r="AN66" s="60" t="str">
        <f t="array" ref="AN66">INDEX($AI$93:$AI$169,SMALL(IF($AJ$93:$AJ$169=AO66,ROW($AJ$93:$AJ$169)-92),COUNTIF($AO$9:AO66,AO66)))</f>
        <v>Barbalha - CE</v>
      </c>
      <c r="AO66" s="52">
        <f t="shared" si="10"/>
        <v>0</v>
      </c>
      <c r="AP66" s="53">
        <f t="shared" si="11"/>
        <v>0</v>
      </c>
      <c r="AQ66" s="48"/>
      <c r="AR66" s="48"/>
      <c r="AS66" s="48"/>
      <c r="AT66" s="48"/>
      <c r="AU66" s="48"/>
      <c r="AV66" s="48"/>
      <c r="AW66" s="48"/>
      <c r="AX66" s="48"/>
      <c r="AY66" s="48"/>
      <c r="AZ66" s="48"/>
      <c r="BA66" s="48"/>
      <c r="BB66" s="48"/>
      <c r="BC66" s="48"/>
      <c r="BD66" s="48"/>
      <c r="BE66" s="48"/>
      <c r="BF66" s="48"/>
      <c r="BG66" s="48"/>
      <c r="BH66" s="48"/>
      <c r="BI66" s="48"/>
      <c r="BJ66" s="48"/>
      <c r="BK66" s="48"/>
      <c r="BL66" s="48"/>
      <c r="BM66" s="48"/>
      <c r="BN66" s="48"/>
      <c r="BO66" s="48"/>
      <c r="BP66" s="48"/>
      <c r="BQ66" s="60" t="str">
        <f t="shared" si="51"/>
        <v>Médio incompleto</v>
      </c>
      <c r="BR66" s="53">
        <f t="shared" si="52"/>
        <v>0</v>
      </c>
      <c r="BS66" s="53">
        <f t="shared" si="53"/>
        <v>6.6666666666666666E-2</v>
      </c>
      <c r="BT66" s="48"/>
      <c r="BU66" s="48"/>
      <c r="BV66" s="60">
        <v>2016</v>
      </c>
      <c r="BW66" s="53">
        <f t="shared" si="54"/>
        <v>6.6666666666666666E-2</v>
      </c>
      <c r="BX66" s="53">
        <f t="shared" si="55"/>
        <v>0.28888888888888886</v>
      </c>
      <c r="BY66" s="48"/>
      <c r="BZ66" s="48"/>
    </row>
    <row r="67" spans="2:78" x14ac:dyDescent="0.2">
      <c r="B67" s="144"/>
      <c r="C67" s="144"/>
      <c r="D67" s="144"/>
      <c r="E67" s="48"/>
      <c r="F67" s="48"/>
      <c r="G67" s="48"/>
      <c r="H67" s="48"/>
      <c r="I67" s="48"/>
      <c r="J67" s="48"/>
      <c r="K67" s="48"/>
      <c r="L67" s="48"/>
      <c r="M67" s="48"/>
      <c r="N67" s="48"/>
      <c r="O67" s="48"/>
      <c r="P67" s="48"/>
      <c r="Q67" s="60" t="str">
        <f>Tabulacao!MD61</f>
        <v>Teixeira de Freitas - BA</v>
      </c>
      <c r="R67" s="52">
        <f>COUNTIF(Tabulacao!$MC:$MC,CaractAmostra!Q67)</f>
        <v>1</v>
      </c>
      <c r="S67" s="53">
        <f t="shared" si="3"/>
        <v>3.6900369003690036E-3</v>
      </c>
      <c r="T67" s="48"/>
      <c r="U67" s="52">
        <v>59</v>
      </c>
      <c r="V67" s="60" t="str">
        <f t="array" ref="V67">INDEX($Q$80:$Q$143,SMALL(IF($R$80:$R$143=W67,ROW($R$80:$R$143)-79),COUNTIF($W$9:W67,W67)))</f>
        <v>Santo Amaro das Brotas</v>
      </c>
      <c r="W67" s="52">
        <f t="shared" si="4"/>
        <v>0</v>
      </c>
      <c r="X67" s="53">
        <f t="shared" si="5"/>
        <v>0</v>
      </c>
      <c r="Y67" s="48"/>
      <c r="Z67" s="60" t="str">
        <f>Tabulacao!MH61</f>
        <v>São Gonçalo - RJ</v>
      </c>
      <c r="AA67" s="52">
        <f>COUNTIF(Tabulacao!$MG:$MG,CaractAmostra!Z67)</f>
        <v>0</v>
      </c>
      <c r="AB67" s="53">
        <f t="shared" si="6"/>
        <v>0</v>
      </c>
      <c r="AC67" s="48"/>
      <c r="AD67" s="52">
        <v>59</v>
      </c>
      <c r="AE67" s="60" t="str">
        <f t="array" ref="AE67">INDEX($Z$80:$Z$143,SMALL(IF($AA$80:$AA$143=AF67,ROW($AA$80:$AA$143)-79),COUNTIF($AF$9:AF67,AF67)))</f>
        <v>São Gonçalo - RJ</v>
      </c>
      <c r="AF67" s="52">
        <f t="shared" si="7"/>
        <v>0</v>
      </c>
      <c r="AG67" s="53">
        <f t="shared" si="8"/>
        <v>0</v>
      </c>
      <c r="AH67" s="48"/>
      <c r="AI67" s="60" t="str">
        <f>Tabulacao!ML61</f>
        <v>Capela</v>
      </c>
      <c r="AJ67" s="52">
        <f>COUNTIF(Tabulacao!$MK:$MK,CaractAmostra!AI67)</f>
        <v>0</v>
      </c>
      <c r="AK67" s="53">
        <f t="shared" si="9"/>
        <v>0</v>
      </c>
      <c r="AL67" s="48"/>
      <c r="AM67" s="52">
        <v>59</v>
      </c>
      <c r="AN67" s="60" t="str">
        <f t="array" ref="AN67">INDEX($AI$93:$AI$169,SMALL(IF($AJ$93:$AJ$169=AO67,ROW($AJ$93:$AJ$169)-92),COUNTIF($AO$9:AO67,AO67)))</f>
        <v>Capela</v>
      </c>
      <c r="AO67" s="52">
        <f t="shared" si="10"/>
        <v>0</v>
      </c>
      <c r="AP67" s="53">
        <f t="shared" si="11"/>
        <v>0</v>
      </c>
      <c r="AQ67" s="48"/>
      <c r="AR67" s="48"/>
      <c r="AS67" s="48"/>
      <c r="AT67" s="48"/>
      <c r="AU67" s="48"/>
      <c r="AV67" s="48"/>
      <c r="AW67" s="48"/>
      <c r="AX67" s="48"/>
      <c r="AY67" s="48"/>
      <c r="AZ67" s="48"/>
      <c r="BA67" s="48"/>
      <c r="BB67" s="48"/>
      <c r="BC67" s="48"/>
      <c r="BD67" s="48"/>
      <c r="BE67" s="48"/>
      <c r="BF67" s="48"/>
      <c r="BG67" s="48"/>
      <c r="BH67" s="48"/>
      <c r="BI67" s="48"/>
      <c r="BJ67" s="48"/>
      <c r="BK67" s="48"/>
      <c r="BL67" s="48"/>
      <c r="BM67" s="48"/>
      <c r="BN67" s="48"/>
      <c r="BO67" s="48"/>
      <c r="BP67" s="48"/>
      <c r="BQ67" s="60" t="str">
        <f t="shared" si="51"/>
        <v>Médio completo</v>
      </c>
      <c r="BR67" s="53">
        <f t="shared" si="52"/>
        <v>0.26666666666666666</v>
      </c>
      <c r="BS67" s="53">
        <f t="shared" si="53"/>
        <v>0.31111111111111112</v>
      </c>
      <c r="BT67" s="48"/>
      <c r="BU67" s="48"/>
      <c r="BV67" s="60">
        <v>2015</v>
      </c>
      <c r="BW67" s="53">
        <f t="shared" si="54"/>
        <v>0.1111111111111111</v>
      </c>
      <c r="BX67" s="53">
        <f t="shared" si="55"/>
        <v>0.39999999999999997</v>
      </c>
      <c r="BY67" s="48"/>
      <c r="BZ67" s="48"/>
    </row>
    <row r="68" spans="2:78" x14ac:dyDescent="0.2">
      <c r="B68" s="144"/>
      <c r="C68" s="144"/>
      <c r="D68" s="144"/>
      <c r="E68" s="48"/>
      <c r="F68" s="48"/>
      <c r="G68" s="48"/>
      <c r="H68" s="48"/>
      <c r="I68" s="48"/>
      <c r="J68" s="48"/>
      <c r="K68" s="48"/>
      <c r="L68" s="48"/>
      <c r="M68" s="48"/>
      <c r="N68" s="48"/>
      <c r="O68" s="48"/>
      <c r="P68" s="48"/>
      <c r="Q68" s="60" t="str">
        <f>Tabulacao!MD62</f>
        <v>Verdejante - PE</v>
      </c>
      <c r="R68" s="52">
        <f>COUNTIF(Tabulacao!$MC:$MC,CaractAmostra!Q68)</f>
        <v>1</v>
      </c>
      <c r="S68" s="53">
        <f t="shared" si="3"/>
        <v>3.6900369003690036E-3</v>
      </c>
      <c r="T68" s="48"/>
      <c r="U68" s="52">
        <v>60</v>
      </c>
      <c r="V68" s="60" t="str">
        <f t="array" ref="V68">INDEX($Q$80:$Q$143,SMALL(IF($R$80:$R$143=W68,ROW($R$80:$R$143)-79),COUNTIF($W$9:W68,W68)))</f>
        <v>Santos - SP</v>
      </c>
      <c r="W68" s="52">
        <f t="shared" si="4"/>
        <v>0</v>
      </c>
      <c r="X68" s="53">
        <f t="shared" si="5"/>
        <v>0</v>
      </c>
      <c r="Y68" s="48"/>
      <c r="Z68" s="60" t="str">
        <f>Tabulacao!MH62</f>
        <v>Teixeira de Freitas - BA</v>
      </c>
      <c r="AA68" s="52">
        <f>COUNTIF(Tabulacao!$MG:$MG,CaractAmostra!Z68)</f>
        <v>0</v>
      </c>
      <c r="AB68" s="53">
        <f t="shared" si="6"/>
        <v>0</v>
      </c>
      <c r="AC68" s="48"/>
      <c r="AD68" s="52">
        <v>60</v>
      </c>
      <c r="AE68" s="60" t="str">
        <f t="array" ref="AE68">INDEX($Z$80:$Z$143,SMALL(IF($AA$80:$AA$143=AF68,ROW($AA$80:$AA$143)-79),COUNTIF($AF$9:AF68,AF68)))</f>
        <v>Teixeira de Freitas - BA</v>
      </c>
      <c r="AF68" s="52">
        <f t="shared" si="7"/>
        <v>0</v>
      </c>
      <c r="AG68" s="53">
        <f t="shared" si="8"/>
        <v>0</v>
      </c>
      <c r="AH68" s="48"/>
      <c r="AI68" s="60" t="str">
        <f>Tabulacao!ML62</f>
        <v>Carira</v>
      </c>
      <c r="AJ68" s="52">
        <f>COUNTIF(Tabulacao!$MK:$MK,CaractAmostra!AI68)</f>
        <v>0</v>
      </c>
      <c r="AK68" s="53">
        <f t="shared" si="9"/>
        <v>0</v>
      </c>
      <c r="AL68" s="48"/>
      <c r="AM68" s="52">
        <v>60</v>
      </c>
      <c r="AN68" s="60" t="str">
        <f t="array" ref="AN68">INDEX($AI$93:$AI$169,SMALL(IF($AJ$93:$AJ$169=AO68,ROW($AJ$93:$AJ$169)-92),COUNTIF($AO$9:AO68,AO68)))</f>
        <v>Carira</v>
      </c>
      <c r="AO68" s="52">
        <f t="shared" si="10"/>
        <v>0</v>
      </c>
      <c r="AP68" s="53">
        <f t="shared" si="11"/>
        <v>0</v>
      </c>
      <c r="AQ68" s="48"/>
      <c r="AR68" s="48"/>
      <c r="AS68" s="48"/>
      <c r="AT68" s="48"/>
      <c r="AU68" s="48"/>
      <c r="AV68" s="48"/>
      <c r="AW68" s="48"/>
      <c r="AX68" s="48"/>
      <c r="AY68" s="48"/>
      <c r="AZ68" s="48"/>
      <c r="BA68" s="48"/>
      <c r="BB68" s="48"/>
      <c r="BC68" s="48"/>
      <c r="BD68" s="48"/>
      <c r="BE68" s="48"/>
      <c r="BF68" s="48"/>
      <c r="BG68" s="48"/>
      <c r="BH68" s="48"/>
      <c r="BI68" s="48"/>
      <c r="BJ68" s="48"/>
      <c r="BK68" s="48"/>
      <c r="BL68" s="48"/>
      <c r="BM68" s="48"/>
      <c r="BN68" s="48"/>
      <c r="BO68" s="48"/>
      <c r="BP68" s="48"/>
      <c r="BQ68" s="60" t="str">
        <f t="shared" si="51"/>
        <v>Superior incompleto</v>
      </c>
      <c r="BR68" s="53">
        <f t="shared" si="52"/>
        <v>6.6666666666666666E-2</v>
      </c>
      <c r="BS68" s="53">
        <f t="shared" si="53"/>
        <v>2.2222222222222223E-2</v>
      </c>
      <c r="BT68" s="48"/>
      <c r="BU68" s="48"/>
      <c r="BV68" s="60">
        <v>2014</v>
      </c>
      <c r="BW68" s="53">
        <f t="shared" si="54"/>
        <v>8.8888888888888892E-2</v>
      </c>
      <c r="BX68" s="53">
        <f t="shared" si="55"/>
        <v>0.48888888888888887</v>
      </c>
      <c r="BY68" s="48"/>
      <c r="BZ68" s="48"/>
    </row>
    <row r="69" spans="2:78" x14ac:dyDescent="0.2">
      <c r="B69" s="144"/>
      <c r="C69" s="144"/>
      <c r="D69" s="144"/>
      <c r="E69" s="48"/>
      <c r="F69" s="48"/>
      <c r="G69" s="48"/>
      <c r="H69" s="48"/>
      <c r="I69" s="48"/>
      <c r="J69" s="48"/>
      <c r="K69" s="48"/>
      <c r="L69" s="48"/>
      <c r="M69" s="48"/>
      <c r="N69" s="48"/>
      <c r="O69" s="48"/>
      <c r="P69" s="48"/>
      <c r="Q69" s="60" t="str">
        <f>Tabulacao!MD63</f>
        <v>Vitória da Conquista - BA</v>
      </c>
      <c r="R69" s="52">
        <f>COUNTIF(Tabulacao!$MC:$MC,CaractAmostra!Q69)</f>
        <v>1</v>
      </c>
      <c r="S69" s="53">
        <f t="shared" si="3"/>
        <v>3.6900369003690036E-3</v>
      </c>
      <c r="T69" s="48"/>
      <c r="U69" s="52">
        <v>61</v>
      </c>
      <c r="V69" s="60" t="str">
        <f t="array" ref="V69">INDEX($Q$80:$Q$143,SMALL(IF($R$80:$R$143=W69,ROW($R$80:$R$143)-79),COUNTIF($W$9:W69,W69)))</f>
        <v>São Gonçalo - RJ</v>
      </c>
      <c r="W69" s="52">
        <f t="shared" si="4"/>
        <v>0</v>
      </c>
      <c r="X69" s="53">
        <f t="shared" si="5"/>
        <v>0</v>
      </c>
      <c r="Y69" s="48"/>
      <c r="Z69" s="60" t="str">
        <f>Tabulacao!MH63</f>
        <v>Verdejante - PE</v>
      </c>
      <c r="AA69" s="52">
        <f>COUNTIF(Tabulacao!$MG:$MG,CaractAmostra!Z69)</f>
        <v>0</v>
      </c>
      <c r="AB69" s="53">
        <f t="shared" si="6"/>
        <v>0</v>
      </c>
      <c r="AC69" s="48"/>
      <c r="AD69" s="52">
        <v>61</v>
      </c>
      <c r="AE69" s="60" t="str">
        <f t="array" ref="AE69">INDEX($Z$80:$Z$143,SMALL(IF($AA$80:$AA$143=AF69,ROW($AA$80:$AA$143)-79),COUNTIF($AF$9:AF69,AF69)))</f>
        <v>Verdejante - PE</v>
      </c>
      <c r="AF69" s="52">
        <f t="shared" si="7"/>
        <v>0</v>
      </c>
      <c r="AG69" s="53">
        <f t="shared" si="8"/>
        <v>0</v>
      </c>
      <c r="AH69" s="48"/>
      <c r="AI69" s="60" t="str">
        <f>Tabulacao!ML63</f>
        <v>Cedro de São João</v>
      </c>
      <c r="AJ69" s="52">
        <f>COUNTIF(Tabulacao!$MK:$MK,CaractAmostra!AI69)</f>
        <v>0</v>
      </c>
      <c r="AK69" s="53">
        <f t="shared" si="9"/>
        <v>0</v>
      </c>
      <c r="AL69" s="48"/>
      <c r="AM69" s="52">
        <v>61</v>
      </c>
      <c r="AN69" s="60" t="str">
        <f t="array" ref="AN69">INDEX($AI$93:$AI$169,SMALL(IF($AJ$93:$AJ$169=AO69,ROW($AJ$93:$AJ$169)-92),COUNTIF($AO$9:AO69,AO69)))</f>
        <v>Cedro de São João</v>
      </c>
      <c r="AO69" s="52">
        <f t="shared" si="10"/>
        <v>0</v>
      </c>
      <c r="AP69" s="53">
        <f t="shared" si="11"/>
        <v>0</v>
      </c>
      <c r="AQ69" s="48"/>
      <c r="AR69" s="48"/>
      <c r="AS69" s="48"/>
      <c r="AT69" s="48"/>
      <c r="AU69" s="48"/>
      <c r="AV69" s="48"/>
      <c r="AW69" s="48"/>
      <c r="AX69" s="48"/>
      <c r="AY69" s="48"/>
      <c r="AZ69" s="48"/>
      <c r="BA69" s="48"/>
      <c r="BB69" s="48"/>
      <c r="BC69" s="48"/>
      <c r="BD69" s="48"/>
      <c r="BE69" s="48"/>
      <c r="BF69" s="48"/>
      <c r="BG69" s="48"/>
      <c r="BH69" s="48"/>
      <c r="BI69" s="48"/>
      <c r="BJ69" s="48"/>
      <c r="BK69" s="48"/>
      <c r="BL69" s="48"/>
      <c r="BM69" s="48"/>
      <c r="BN69" s="48"/>
      <c r="BO69" s="48"/>
      <c r="BP69" s="48"/>
      <c r="BQ69" s="60" t="str">
        <f t="shared" si="51"/>
        <v>Superior completo</v>
      </c>
      <c r="BR69" s="53">
        <f t="shared" si="52"/>
        <v>0.2</v>
      </c>
      <c r="BS69" s="53">
        <f t="shared" si="53"/>
        <v>0.28888888888888886</v>
      </c>
      <c r="BT69" s="48"/>
      <c r="BU69" s="48"/>
      <c r="BV69" s="60">
        <v>2013</v>
      </c>
      <c r="BW69" s="53">
        <f t="shared" si="54"/>
        <v>8.8888888888888892E-2</v>
      </c>
      <c r="BX69" s="53">
        <f t="shared" si="55"/>
        <v>0.57777777777777772</v>
      </c>
      <c r="BY69" s="48"/>
      <c r="BZ69" s="48"/>
    </row>
    <row r="70" spans="2:78" x14ac:dyDescent="0.2">
      <c r="B70" s="144"/>
      <c r="C70" s="144"/>
      <c r="D70" s="144"/>
      <c r="E70" s="48"/>
      <c r="F70" s="48"/>
      <c r="G70" s="48"/>
      <c r="H70" s="48"/>
      <c r="I70" s="48"/>
      <c r="J70" s="48"/>
      <c r="K70" s="48"/>
      <c r="L70" s="48"/>
      <c r="M70" s="48"/>
      <c r="N70" s="48"/>
      <c r="O70" s="48"/>
      <c r="P70" s="48"/>
      <c r="Q70" s="60" t="str">
        <f>Tabulacao!MD64</f>
        <v>Monte Alegre de Sergipe</v>
      </c>
      <c r="R70" s="52">
        <f>COUNTIF(Tabulacao!$MC:$MC,CaractAmostra!Q70)</f>
        <v>1</v>
      </c>
      <c r="S70" s="53">
        <f t="shared" si="3"/>
        <v>3.6900369003690036E-3</v>
      </c>
      <c r="T70" s="48"/>
      <c r="U70" s="52">
        <v>62</v>
      </c>
      <c r="V70" s="60" t="str">
        <f t="array" ref="V70">INDEX($Q$80:$Q$143,SMALL(IF($R$80:$R$143=W70,ROW($R$80:$R$143)-79),COUNTIF($W$9:W70,W70)))</f>
        <v>Monte Alegre de Sergipe</v>
      </c>
      <c r="W70" s="52">
        <f t="shared" si="4"/>
        <v>0</v>
      </c>
      <c r="X70" s="53">
        <f t="shared" si="5"/>
        <v>0</v>
      </c>
      <c r="Y70" s="48"/>
      <c r="Z70" s="60" t="str">
        <f>Tabulacao!MH64</f>
        <v>Vitória da Conquista - BA</v>
      </c>
      <c r="AA70" s="52">
        <f>COUNTIF(Tabulacao!$MG:$MG,CaractAmostra!Z70)</f>
        <v>0</v>
      </c>
      <c r="AB70" s="53">
        <f t="shared" si="6"/>
        <v>0</v>
      </c>
      <c r="AC70" s="48"/>
      <c r="AD70" s="52">
        <v>62</v>
      </c>
      <c r="AE70" s="60" t="str">
        <f t="array" ref="AE70">INDEX($Z$80:$Z$143,SMALL(IF($AA$80:$AA$143=AF70,ROW($AA$80:$AA$143)-79),COUNTIF($AF$9:AF70,AF70)))</f>
        <v>Vitória da Conquista - BA</v>
      </c>
      <c r="AF70" s="52">
        <f t="shared" si="7"/>
        <v>0</v>
      </c>
      <c r="AG70" s="53">
        <f t="shared" si="8"/>
        <v>0</v>
      </c>
      <c r="AH70" s="48"/>
      <c r="AI70" s="60" t="str">
        <f>Tabulacao!ML64</f>
        <v>Entre Rios - BA</v>
      </c>
      <c r="AJ70" s="52">
        <f>COUNTIF(Tabulacao!$MK:$MK,CaractAmostra!AI70)</f>
        <v>0</v>
      </c>
      <c r="AK70" s="53">
        <f t="shared" si="9"/>
        <v>0</v>
      </c>
      <c r="AL70" s="48"/>
      <c r="AM70" s="52">
        <v>62</v>
      </c>
      <c r="AN70" s="60" t="str">
        <f t="array" ref="AN70">INDEX($AI$93:$AI$169,SMALL(IF($AJ$93:$AJ$169=AO70,ROW($AJ$93:$AJ$169)-92),COUNTIF($AO$9:AO70,AO70)))</f>
        <v>Entre Rios - BA</v>
      </c>
      <c r="AO70" s="52">
        <f t="shared" si="10"/>
        <v>0</v>
      </c>
      <c r="AP70" s="53">
        <f t="shared" si="11"/>
        <v>0</v>
      </c>
      <c r="AQ70" s="48"/>
      <c r="AR70" s="48"/>
      <c r="AS70" s="48"/>
      <c r="AT70" s="48"/>
      <c r="AU70" s="48"/>
      <c r="AV70" s="48"/>
      <c r="AW70" s="48"/>
      <c r="AX70" s="48"/>
      <c r="AY70" s="48"/>
      <c r="AZ70" s="48"/>
      <c r="BA70" s="48"/>
      <c r="BB70" s="48"/>
      <c r="BC70" s="48"/>
      <c r="BD70" s="48"/>
      <c r="BE70" s="48"/>
      <c r="BF70" s="48"/>
      <c r="BG70" s="48"/>
      <c r="BH70" s="48"/>
      <c r="BI70" s="48"/>
      <c r="BJ70" s="48"/>
      <c r="BK70" s="48"/>
      <c r="BL70" s="48"/>
      <c r="BM70" s="48"/>
      <c r="BN70" s="48"/>
      <c r="BO70" s="48"/>
      <c r="BP70" s="48"/>
      <c r="BQ70" s="60" t="str">
        <f t="shared" si="51"/>
        <v>Pós-graduação</v>
      </c>
      <c r="BR70" s="53">
        <f t="shared" si="52"/>
        <v>0.15555555555555556</v>
      </c>
      <c r="BS70" s="53">
        <f t="shared" si="53"/>
        <v>8.8888888888888892E-2</v>
      </c>
      <c r="BT70" s="48"/>
      <c r="BU70" s="48"/>
      <c r="BV70" s="60">
        <v>2012</v>
      </c>
      <c r="BW70" s="53">
        <f t="shared" si="54"/>
        <v>0</v>
      </c>
      <c r="BX70" s="53">
        <f t="shared" si="55"/>
        <v>0.57777777777777772</v>
      </c>
      <c r="BY70" s="48"/>
      <c r="BZ70" s="48"/>
    </row>
    <row r="71" spans="2:78" x14ac:dyDescent="0.2">
      <c r="B71" s="144"/>
      <c r="C71" s="144"/>
      <c r="D71" s="144"/>
      <c r="E71" s="48"/>
      <c r="F71" s="48"/>
      <c r="G71" s="48"/>
      <c r="H71" s="48"/>
      <c r="I71" s="48"/>
      <c r="J71" s="48"/>
      <c r="K71" s="48"/>
      <c r="L71" s="48"/>
      <c r="M71" s="48"/>
      <c r="N71" s="48"/>
      <c r="O71" s="48"/>
      <c r="P71" s="48"/>
      <c r="Q71" s="60" t="str">
        <f>Tabulacao!MD65</f>
        <v>Frei Paulo</v>
      </c>
      <c r="R71" s="52">
        <f>COUNTIF(Tabulacao!$MC:$MC,CaractAmostra!Q71)</f>
        <v>1</v>
      </c>
      <c r="S71" s="53">
        <f t="shared" si="3"/>
        <v>3.6900369003690036E-3</v>
      </c>
      <c r="T71" s="48"/>
      <c r="U71" s="52">
        <v>63</v>
      </c>
      <c r="V71" s="60" t="str">
        <f t="array" ref="V71">INDEX($Q$80:$Q$143,SMALL(IF($R$80:$R$143=W71,ROW($R$80:$R$143)-79),COUNTIF($W$9:W71,W71)))</f>
        <v>Frei Paulo</v>
      </c>
      <c r="W71" s="52">
        <f t="shared" si="4"/>
        <v>0</v>
      </c>
      <c r="X71" s="53">
        <f t="shared" si="5"/>
        <v>0</v>
      </c>
      <c r="Y71" s="48"/>
      <c r="Z71" s="60" t="str">
        <f>Tabulacao!MH65</f>
        <v>Frei Paulo</v>
      </c>
      <c r="AA71" s="52">
        <f>COUNTIF(Tabulacao!$MG:$MG,CaractAmostra!Z71)</f>
        <v>0</v>
      </c>
      <c r="AB71" s="53">
        <f t="shared" si="6"/>
        <v>0</v>
      </c>
      <c r="AC71" s="48"/>
      <c r="AD71" s="52">
        <v>63</v>
      </c>
      <c r="AE71" s="60" t="str">
        <f t="array" ref="AE71">INDEX($Z$80:$Z$143,SMALL(IF($AA$80:$AA$143=AF71,ROW($AA$80:$AA$143)-79),COUNTIF($AF$9:AF71,AF71)))</f>
        <v>Frei Paulo</v>
      </c>
      <c r="AF71" s="52">
        <f t="shared" si="7"/>
        <v>0</v>
      </c>
      <c r="AG71" s="53">
        <f t="shared" si="8"/>
        <v>0</v>
      </c>
      <c r="AH71" s="48"/>
      <c r="AI71" s="60" t="str">
        <f>Tabulacao!ML65</f>
        <v>Indiaroba</v>
      </c>
      <c r="AJ71" s="52">
        <f>COUNTIF(Tabulacao!$MK:$MK,CaractAmostra!AI71)</f>
        <v>0</v>
      </c>
      <c r="AK71" s="53">
        <f t="shared" si="9"/>
        <v>0</v>
      </c>
      <c r="AL71" s="48"/>
      <c r="AM71" s="52">
        <v>63</v>
      </c>
      <c r="AN71" s="60" t="str">
        <f t="array" ref="AN71">INDEX($AI$93:$AI$169,SMALL(IF($AJ$93:$AJ$169=AO71,ROW($AJ$93:$AJ$169)-92),COUNTIF($AO$9:AO71,AO71)))</f>
        <v>Indiaroba</v>
      </c>
      <c r="AO71" s="52">
        <f t="shared" si="10"/>
        <v>0</v>
      </c>
      <c r="AP71" s="53">
        <f t="shared" si="11"/>
        <v>0</v>
      </c>
      <c r="AQ71" s="48"/>
      <c r="AR71" s="48"/>
      <c r="AS71" s="48"/>
      <c r="AT71" s="48"/>
      <c r="AU71" s="48"/>
      <c r="AV71" s="48"/>
      <c r="AW71" s="48"/>
      <c r="AX71" s="48"/>
      <c r="AY71" s="48"/>
      <c r="AZ71" s="48"/>
      <c r="BA71" s="48"/>
      <c r="BB71" s="48"/>
      <c r="BC71" s="48"/>
      <c r="BD71" s="48"/>
      <c r="BE71" s="48"/>
      <c r="BF71" s="48"/>
      <c r="BG71" s="48"/>
      <c r="BH71" s="48"/>
      <c r="BI71" s="48"/>
      <c r="BJ71" s="48"/>
      <c r="BK71" s="48"/>
      <c r="BL71" s="48"/>
      <c r="BM71" s="48"/>
      <c r="BN71" s="48"/>
      <c r="BO71" s="48"/>
      <c r="BP71" s="48"/>
      <c r="BQ71" s="48"/>
      <c r="BR71" s="48"/>
      <c r="BS71" s="48"/>
      <c r="BT71" s="48"/>
      <c r="BU71" s="48"/>
      <c r="BV71" s="60">
        <v>2011</v>
      </c>
      <c r="BW71" s="53">
        <f t="shared" si="54"/>
        <v>8.8888888888888892E-2</v>
      </c>
      <c r="BX71" s="53">
        <f t="shared" si="55"/>
        <v>0.66666666666666663</v>
      </c>
      <c r="BY71" s="48"/>
      <c r="BZ71" s="48"/>
    </row>
    <row r="72" spans="2:78" x14ac:dyDescent="0.2">
      <c r="B72" s="144"/>
      <c r="C72" s="144"/>
      <c r="D72" s="144"/>
      <c r="E72" s="48"/>
      <c r="F72" s="48"/>
      <c r="G72" s="48"/>
      <c r="H72" s="48"/>
      <c r="I72" s="48"/>
      <c r="J72" s="48"/>
      <c r="K72" s="48"/>
      <c r="L72" s="48"/>
      <c r="M72" s="48"/>
      <c r="N72" s="48"/>
      <c r="O72" s="48"/>
      <c r="P72" s="48"/>
      <c r="Q72" s="60" t="str">
        <f>Tabulacao!MD66</f>
        <v>Propriá</v>
      </c>
      <c r="R72" s="52">
        <f>COUNTIF(Tabulacao!$MC:$MC,CaractAmostra!Q72)</f>
        <v>1</v>
      </c>
      <c r="S72" s="53">
        <f t="shared" si="3"/>
        <v>3.6900369003690036E-3</v>
      </c>
      <c r="T72" s="48"/>
      <c r="U72" s="52">
        <v>64</v>
      </c>
      <c r="V72" s="60" t="str">
        <f t="array" ref="V72">INDEX($Q$80:$Q$143,SMALL(IF($R$80:$R$143=W72,ROW($R$80:$R$143)-79),COUNTIF($W$9:W72,W72)))</f>
        <v>Propriá</v>
      </c>
      <c r="W72" s="52">
        <f t="shared" si="4"/>
        <v>0</v>
      </c>
      <c r="X72" s="53">
        <f t="shared" si="5"/>
        <v>0</v>
      </c>
      <c r="Y72" s="48"/>
      <c r="Z72" s="60" t="str">
        <f>Tabulacao!MH66</f>
        <v>Propriá</v>
      </c>
      <c r="AA72" s="52">
        <f>COUNTIF(Tabulacao!$MG:$MG,CaractAmostra!Z72)</f>
        <v>0</v>
      </c>
      <c r="AB72" s="53">
        <f t="shared" si="6"/>
        <v>0</v>
      </c>
      <c r="AC72" s="48"/>
      <c r="AD72" s="52">
        <v>64</v>
      </c>
      <c r="AE72" s="60" t="str">
        <f t="array" ref="AE72">INDEX($Z$80:$Z$143,SMALL(IF($AA$80:$AA$143=AF72,ROW($AA$80:$AA$143)-79),COUNTIF($AF$9:AF72,AF72)))</f>
        <v>Propriá</v>
      </c>
      <c r="AF72" s="52">
        <f t="shared" si="7"/>
        <v>0</v>
      </c>
      <c r="AG72" s="53">
        <f t="shared" si="8"/>
        <v>0</v>
      </c>
      <c r="AH72" s="48"/>
      <c r="AI72" s="60" t="str">
        <f>Tabulacao!ML66</f>
        <v>Itabaianinha</v>
      </c>
      <c r="AJ72" s="52">
        <f>COUNTIF(Tabulacao!$MK:$MK,CaractAmostra!AI72)</f>
        <v>0</v>
      </c>
      <c r="AK72" s="53">
        <f t="shared" si="9"/>
        <v>0</v>
      </c>
      <c r="AL72" s="48"/>
      <c r="AM72" s="52">
        <v>64</v>
      </c>
      <c r="AN72" s="60" t="str">
        <f t="array" ref="AN72">INDEX($AI$93:$AI$169,SMALL(IF($AJ$93:$AJ$169=AO72,ROW($AJ$93:$AJ$169)-92),COUNTIF($AO$9:AO72,AO72)))</f>
        <v>Itabaianinha</v>
      </c>
      <c r="AO72" s="52">
        <f t="shared" si="10"/>
        <v>0</v>
      </c>
      <c r="AP72" s="53">
        <f t="shared" si="11"/>
        <v>0</v>
      </c>
      <c r="AQ72" s="48"/>
      <c r="AR72" s="48"/>
      <c r="AS72" s="48"/>
      <c r="AT72" s="48"/>
      <c r="AU72" s="48"/>
      <c r="AV72" s="48"/>
      <c r="AW72" s="48"/>
      <c r="AX72" s="48"/>
      <c r="AY72" s="48"/>
      <c r="AZ72" s="48"/>
      <c r="BA72" s="48"/>
      <c r="BB72" s="48"/>
      <c r="BC72" s="48"/>
      <c r="BD72" s="48"/>
      <c r="BE72" s="48"/>
      <c r="BF72" s="48"/>
      <c r="BG72" s="48"/>
      <c r="BH72" s="48"/>
      <c r="BI72" s="48"/>
      <c r="BJ72" s="48"/>
      <c r="BK72" s="48"/>
      <c r="BL72" s="48"/>
      <c r="BM72" s="48"/>
      <c r="BN72" s="48"/>
      <c r="BO72" s="48"/>
      <c r="BP72" s="48"/>
      <c r="BQ72" s="48"/>
      <c r="BR72" s="48"/>
      <c r="BS72" s="48"/>
      <c r="BT72" s="48"/>
      <c r="BU72" s="48"/>
      <c r="BV72" s="60">
        <v>2010</v>
      </c>
      <c r="BW72" s="53">
        <f t="shared" si="54"/>
        <v>6.6666666666666666E-2</v>
      </c>
      <c r="BX72" s="53">
        <f t="shared" si="55"/>
        <v>0.73333333333333328</v>
      </c>
      <c r="BY72" s="48"/>
      <c r="BZ72" s="48"/>
    </row>
    <row r="73" spans="2:78" x14ac:dyDescent="0.2">
      <c r="B73" s="144"/>
      <c r="C73" s="144"/>
      <c r="D73" s="144"/>
      <c r="E73" s="48"/>
      <c r="F73" s="48"/>
      <c r="G73" s="48"/>
      <c r="H73" s="48"/>
      <c r="I73" s="48"/>
      <c r="J73" s="48"/>
      <c r="K73" s="48"/>
      <c r="L73" s="48"/>
      <c r="M73" s="48"/>
      <c r="N73" s="48"/>
      <c r="O73" s="48"/>
      <c r="P73" s="48"/>
      <c r="Q73" s="93" t="s">
        <v>621</v>
      </c>
      <c r="R73" s="94">
        <f>SUM(R9:R72)</f>
        <v>271</v>
      </c>
      <c r="S73" s="95">
        <f>SUM(S9:S72)</f>
        <v>0.999999999999998</v>
      </c>
      <c r="T73" s="48"/>
      <c r="U73" s="159" t="s">
        <v>933</v>
      </c>
      <c r="V73" s="191" t="s">
        <v>621</v>
      </c>
      <c r="W73" s="192">
        <f>SUM(W9:W72)</f>
        <v>48</v>
      </c>
      <c r="X73" s="193">
        <f>SUM(X9:X72)</f>
        <v>1.0000000000000004</v>
      </c>
      <c r="Y73" s="48"/>
      <c r="Z73" s="93" t="s">
        <v>621</v>
      </c>
      <c r="AA73" s="94">
        <f>SUM(AA9:AA72)</f>
        <v>271</v>
      </c>
      <c r="AB73" s="95">
        <f>SUM(AB9:AB72)</f>
        <v>0.99999999999999933</v>
      </c>
      <c r="AC73" s="48"/>
      <c r="AD73" s="159" t="s">
        <v>933</v>
      </c>
      <c r="AE73" s="191" t="s">
        <v>621</v>
      </c>
      <c r="AF73" s="192">
        <f>SUM(AF9:AF72)</f>
        <v>48</v>
      </c>
      <c r="AG73" s="193">
        <f>SUM(AG9:AG72)</f>
        <v>1</v>
      </c>
      <c r="AH73" s="48"/>
      <c r="AI73" s="60" t="str">
        <f>Tabulacao!ML67</f>
        <v>Jandaira - BA</v>
      </c>
      <c r="AJ73" s="52">
        <f>COUNTIF(Tabulacao!$MK:$MK,CaractAmostra!AI73)</f>
        <v>0</v>
      </c>
      <c r="AK73" s="53">
        <f t="shared" si="9"/>
        <v>0</v>
      </c>
      <c r="AL73" s="48"/>
      <c r="AM73" s="52">
        <v>65</v>
      </c>
      <c r="AN73" s="60" t="str">
        <f t="array" ref="AN73">INDEX($AI$93:$AI$169,SMALL(IF($AJ$93:$AJ$169=AO73,ROW($AJ$93:$AJ$169)-92),COUNTIF($AO$9:AO73,AO73)))</f>
        <v>Jandaira - BA</v>
      </c>
      <c r="AO73" s="52">
        <f t="shared" si="10"/>
        <v>0</v>
      </c>
      <c r="AP73" s="53">
        <f t="shared" si="11"/>
        <v>0</v>
      </c>
      <c r="AQ73" s="48"/>
      <c r="AR73" s="48"/>
      <c r="AS73" s="48"/>
      <c r="AT73" s="48"/>
      <c r="AU73" s="48"/>
      <c r="AV73" s="48"/>
      <c r="AW73" s="48"/>
      <c r="AX73" s="48"/>
      <c r="AY73" s="48"/>
      <c r="AZ73" s="48"/>
      <c r="BA73" s="48"/>
      <c r="BB73" s="48"/>
      <c r="BC73" s="48"/>
      <c r="BD73" s="48"/>
      <c r="BE73" s="48"/>
      <c r="BF73" s="48"/>
      <c r="BG73" s="48"/>
      <c r="BH73" s="48"/>
      <c r="BI73" s="48"/>
      <c r="BJ73" s="48"/>
      <c r="BK73" s="48"/>
      <c r="BL73" s="48"/>
      <c r="BM73" s="48"/>
      <c r="BN73" s="48"/>
      <c r="BO73" s="48"/>
      <c r="BP73" s="48"/>
      <c r="BQ73" s="48"/>
      <c r="BR73" s="48"/>
      <c r="BS73" s="48"/>
      <c r="BT73" s="48"/>
      <c r="BU73" s="48"/>
      <c r="BV73" s="60">
        <v>2009</v>
      </c>
      <c r="BW73" s="53">
        <f t="shared" si="54"/>
        <v>0.15555555555555556</v>
      </c>
      <c r="BX73" s="53">
        <f t="shared" si="55"/>
        <v>0.88888888888888884</v>
      </c>
      <c r="BY73" s="48"/>
      <c r="BZ73" s="48"/>
    </row>
    <row r="74" spans="2:78" x14ac:dyDescent="0.2">
      <c r="B74" s="144"/>
      <c r="C74" s="144"/>
      <c r="D74" s="144"/>
      <c r="E74" s="48"/>
      <c r="F74" s="48"/>
      <c r="G74" s="48"/>
      <c r="H74" s="48"/>
      <c r="I74" s="48"/>
      <c r="J74" s="48"/>
      <c r="K74" s="48"/>
      <c r="L74" s="48"/>
      <c r="M74" s="48"/>
      <c r="N74" s="48"/>
      <c r="O74" s="48"/>
      <c r="P74" s="48"/>
      <c r="Q74" s="48" t="s">
        <v>1343</v>
      </c>
      <c r="R74" s="128">
        <f>R9+R11+R12+R13+R15</f>
        <v>154</v>
      </c>
      <c r="S74" s="298">
        <f>R74/R73</f>
        <v>0.56826568265682653</v>
      </c>
      <c r="T74" s="48"/>
      <c r="U74" s="48"/>
      <c r="V74" s="48"/>
      <c r="W74" s="48"/>
      <c r="X74" s="48"/>
      <c r="Y74" s="48"/>
      <c r="Z74" s="48" t="s">
        <v>1342</v>
      </c>
      <c r="AA74" s="128">
        <f>AA9+AA10+AA12+AA13+AA14</f>
        <v>209</v>
      </c>
      <c r="AB74" s="298">
        <f>AA74/AA73</f>
        <v>0.77121771217712176</v>
      </c>
      <c r="AC74" s="48"/>
      <c r="AD74" s="48"/>
      <c r="AE74" s="48"/>
      <c r="AF74" s="48"/>
      <c r="AG74" s="48"/>
      <c r="AH74" s="48"/>
      <c r="AI74" s="60" t="str">
        <f>Tabulacao!ML68</f>
        <v>Jeremoabo - BA</v>
      </c>
      <c r="AJ74" s="52">
        <f>COUNTIF(Tabulacao!$MK:$MK,CaractAmostra!AI74)</f>
        <v>0</v>
      </c>
      <c r="AK74" s="53">
        <f t="shared" ref="AK74:AK85" si="56">AJ74/$AJ$86</f>
        <v>0</v>
      </c>
      <c r="AL74" s="48"/>
      <c r="AM74" s="52">
        <v>66</v>
      </c>
      <c r="AN74" s="60" t="str">
        <f t="array" ref="AN74">INDEX($AI$93:$AI$169,SMALL(IF($AJ$93:$AJ$169=AO74,ROW($AJ$93:$AJ$169)-92),COUNTIF($AO$9:AO74,AO74)))</f>
        <v>Jeremoabo - BA</v>
      </c>
      <c r="AO74" s="52">
        <f t="shared" ref="AO74:AO85" si="57">LARGE($AJ$93:$AJ$169,AM74)</f>
        <v>0</v>
      </c>
      <c r="AP74" s="53">
        <f t="shared" ref="AP74:AP85" si="58">IFERROR(AO74/$AO$86,"-")</f>
        <v>0</v>
      </c>
      <c r="AQ74" s="48"/>
      <c r="AR74" s="48"/>
      <c r="AS74" s="48"/>
      <c r="AT74" s="48"/>
      <c r="AU74" s="48"/>
      <c r="AV74" s="48"/>
      <c r="AW74" s="48"/>
      <c r="AX74" s="48"/>
      <c r="AY74" s="48"/>
      <c r="AZ74" s="48"/>
      <c r="BA74" s="48"/>
      <c r="BB74" s="48"/>
      <c r="BC74" s="48"/>
      <c r="BD74" s="48"/>
      <c r="BE74" s="48"/>
      <c r="BF74" s="48"/>
      <c r="BG74" s="48"/>
      <c r="BH74" s="48"/>
      <c r="BI74" s="48"/>
      <c r="BJ74" s="48"/>
      <c r="BK74" s="48"/>
      <c r="BL74" s="48"/>
      <c r="BM74" s="48"/>
      <c r="BN74" s="48"/>
      <c r="BO74" s="48"/>
      <c r="BP74" s="48"/>
      <c r="BQ74" s="48"/>
      <c r="BR74" s="48"/>
      <c r="BS74" s="48"/>
      <c r="BT74" s="48"/>
      <c r="BU74" s="48"/>
      <c r="BV74" s="60">
        <v>2008</v>
      </c>
      <c r="BW74" s="53">
        <f t="shared" si="54"/>
        <v>2.2222222222222223E-2</v>
      </c>
      <c r="BX74" s="53">
        <f t="shared" si="55"/>
        <v>0.91111111111111109</v>
      </c>
      <c r="BY74" s="48"/>
      <c r="BZ74" s="48"/>
    </row>
    <row r="75" spans="2:78" x14ac:dyDescent="0.2">
      <c r="B75" s="144"/>
      <c r="C75" s="144"/>
      <c r="D75" s="144"/>
      <c r="E75" s="48"/>
      <c r="F75" s="48"/>
      <c r="G75" s="48"/>
      <c r="H75" s="48"/>
      <c r="I75" s="48"/>
      <c r="J75" s="48"/>
      <c r="K75" s="48"/>
      <c r="L75" s="48"/>
      <c r="M75" s="48"/>
      <c r="N75" s="48"/>
      <c r="O75" s="48"/>
      <c r="P75" s="48"/>
      <c r="Q75" s="48"/>
      <c r="R75" s="48"/>
      <c r="S75" s="48"/>
      <c r="T75" s="48"/>
      <c r="U75" s="48"/>
      <c r="V75" s="48"/>
      <c r="W75" s="48"/>
      <c r="X75" s="48"/>
      <c r="Y75" s="48"/>
      <c r="Z75" s="48"/>
      <c r="AA75" s="48"/>
      <c r="AB75" s="48"/>
      <c r="AC75" s="48"/>
      <c r="AD75" s="48"/>
      <c r="AE75" s="48"/>
      <c r="AF75" s="48"/>
      <c r="AG75" s="48"/>
      <c r="AH75" s="48"/>
      <c r="AI75" s="60" t="str">
        <f>Tabulacao!ML69</f>
        <v>Pacatuba</v>
      </c>
      <c r="AJ75" s="52">
        <f>COUNTIF(Tabulacao!$MK:$MK,CaractAmostra!AI75)</f>
        <v>0</v>
      </c>
      <c r="AK75" s="53">
        <f t="shared" si="56"/>
        <v>0</v>
      </c>
      <c r="AL75" s="48"/>
      <c r="AM75" s="52">
        <v>67</v>
      </c>
      <c r="AN75" s="60" t="str">
        <f t="array" ref="AN75">INDEX($AI$93:$AI$169,SMALL(IF($AJ$93:$AJ$169=AO75,ROW($AJ$93:$AJ$169)-92),COUNTIF($AO$9:AO75,AO75)))</f>
        <v>Pacatuba</v>
      </c>
      <c r="AO75" s="52">
        <f t="shared" si="57"/>
        <v>0</v>
      </c>
      <c r="AP75" s="53">
        <f t="shared" si="58"/>
        <v>0</v>
      </c>
      <c r="AQ75" s="48"/>
      <c r="AR75" s="48"/>
      <c r="AS75" s="48"/>
      <c r="AT75" s="48"/>
      <c r="AU75" s="48"/>
      <c r="AV75" s="48"/>
      <c r="AW75" s="48"/>
      <c r="AX75" s="48"/>
      <c r="AY75" s="48"/>
      <c r="AZ75" s="48"/>
      <c r="BA75" s="48"/>
      <c r="BB75" s="48"/>
      <c r="BC75" s="48"/>
      <c r="BD75" s="48"/>
      <c r="BE75" s="48"/>
      <c r="BF75" s="48"/>
      <c r="BG75" s="48"/>
      <c r="BH75" s="48"/>
      <c r="BI75" s="48"/>
      <c r="BJ75" s="48"/>
      <c r="BK75" s="48"/>
      <c r="BL75" s="48"/>
      <c r="BM75" s="48"/>
      <c r="BN75" s="48"/>
      <c r="BO75" s="48"/>
      <c r="BP75" s="48"/>
      <c r="BQ75" s="48"/>
      <c r="BR75" s="48"/>
      <c r="BS75" s="48"/>
      <c r="BT75" s="48"/>
      <c r="BU75" s="48"/>
      <c r="BV75" s="60">
        <v>2007</v>
      </c>
      <c r="BW75" s="53">
        <f t="shared" si="54"/>
        <v>2.2222222222222223E-2</v>
      </c>
      <c r="BX75" s="53">
        <f t="shared" si="55"/>
        <v>0.93333333333333335</v>
      </c>
      <c r="BY75" s="48"/>
      <c r="BZ75" s="48"/>
    </row>
    <row r="76" spans="2:78" ht="25.5" x14ac:dyDescent="0.2">
      <c r="B76" s="144"/>
      <c r="C76" s="144"/>
      <c r="D76" s="144"/>
      <c r="E76" s="48"/>
      <c r="F76" s="48"/>
      <c r="G76" s="48"/>
      <c r="H76" s="48"/>
      <c r="I76" s="48"/>
      <c r="J76" s="48"/>
      <c r="K76" s="48"/>
      <c r="L76" s="48"/>
      <c r="M76" s="48"/>
      <c r="N76" s="48"/>
      <c r="O76" s="48"/>
      <c r="P76" s="48"/>
      <c r="Q76" s="254" t="s">
        <v>1322</v>
      </c>
      <c r="R76" s="234"/>
      <c r="S76" s="234"/>
      <c r="T76" s="48"/>
      <c r="U76" s="48"/>
      <c r="V76" s="48"/>
      <c r="W76" s="48"/>
      <c r="X76" s="48"/>
      <c r="Y76" s="48"/>
      <c r="Z76" s="254" t="s">
        <v>1324</v>
      </c>
      <c r="AA76" s="234"/>
      <c r="AB76" s="234"/>
      <c r="AC76" s="48"/>
      <c r="AD76" s="48"/>
      <c r="AE76" s="48"/>
      <c r="AF76" s="48"/>
      <c r="AG76" s="48"/>
      <c r="AH76" s="48"/>
      <c r="AI76" s="60" t="str">
        <f>Tabulacao!ML70</f>
        <v>Paripiranga - BA</v>
      </c>
      <c r="AJ76" s="52">
        <f>COUNTIF(Tabulacao!$MK:$MK,CaractAmostra!AI76)</f>
        <v>0</v>
      </c>
      <c r="AK76" s="53">
        <f t="shared" si="56"/>
        <v>0</v>
      </c>
      <c r="AL76" s="48"/>
      <c r="AM76" s="52">
        <v>68</v>
      </c>
      <c r="AN76" s="60" t="str">
        <f t="array" ref="AN76">INDEX($AI$93:$AI$169,SMALL(IF($AJ$93:$AJ$169=AO76,ROW($AJ$93:$AJ$169)-92),COUNTIF($AO$9:AO76,AO76)))</f>
        <v>Paripiranga - BA</v>
      </c>
      <c r="AO76" s="52">
        <f t="shared" si="57"/>
        <v>0</v>
      </c>
      <c r="AP76" s="53">
        <f t="shared" si="58"/>
        <v>0</v>
      </c>
      <c r="AQ76" s="48"/>
      <c r="AR76" s="48"/>
      <c r="AS76" s="48"/>
      <c r="AT76" s="48"/>
      <c r="AU76" s="48"/>
      <c r="AV76" s="48"/>
      <c r="AW76" s="48"/>
      <c r="AX76" s="48"/>
      <c r="AY76" s="48"/>
      <c r="AZ76" s="48"/>
      <c r="BA76" s="48"/>
      <c r="BB76" s="48"/>
      <c r="BC76" s="48"/>
      <c r="BD76" s="48"/>
      <c r="BE76" s="48"/>
      <c r="BF76" s="48"/>
      <c r="BG76" s="48"/>
      <c r="BH76" s="48"/>
      <c r="BI76" s="48"/>
      <c r="BJ76" s="48"/>
      <c r="BK76" s="48"/>
      <c r="BL76" s="48"/>
      <c r="BM76" s="48"/>
      <c r="BN76" s="48"/>
      <c r="BO76" s="48"/>
      <c r="BP76" s="48"/>
      <c r="BQ76" s="48"/>
      <c r="BR76" s="48"/>
      <c r="BS76" s="48"/>
      <c r="BT76" s="48"/>
      <c r="BU76" s="48"/>
      <c r="BV76" s="60">
        <v>2006</v>
      </c>
      <c r="BW76" s="53">
        <f t="shared" si="54"/>
        <v>2.2222222222222223E-2</v>
      </c>
      <c r="BX76" s="53">
        <f t="shared" si="55"/>
        <v>0.9555555555555556</v>
      </c>
      <c r="BY76" s="48"/>
      <c r="BZ76" s="48"/>
    </row>
    <row r="77" spans="2:78" x14ac:dyDescent="0.2">
      <c r="B77" s="144"/>
      <c r="C77" s="144"/>
      <c r="D77" s="144"/>
      <c r="E77" s="48"/>
      <c r="F77" s="48"/>
      <c r="G77" s="48"/>
      <c r="H77" s="48"/>
      <c r="I77" s="48"/>
      <c r="J77" s="48"/>
      <c r="K77" s="48"/>
      <c r="L77" s="48"/>
      <c r="M77" s="48"/>
      <c r="N77" s="48"/>
      <c r="O77" s="48"/>
      <c r="P77" s="48"/>
      <c r="Q77" s="234"/>
      <c r="R77" s="234"/>
      <c r="S77" s="234"/>
      <c r="T77" s="48"/>
      <c r="U77" s="48"/>
      <c r="V77" s="48"/>
      <c r="W77" s="48"/>
      <c r="X77" s="48"/>
      <c r="Y77" s="48"/>
      <c r="Z77" s="234"/>
      <c r="AA77" s="234"/>
      <c r="AB77" s="234"/>
      <c r="AC77" s="48"/>
      <c r="AD77" s="48"/>
      <c r="AE77" s="48"/>
      <c r="AF77" s="48"/>
      <c r="AG77" s="48"/>
      <c r="AH77" s="48"/>
      <c r="AI77" s="60" t="str">
        <f>Tabulacao!ML71</f>
        <v>Paulo Afonso - BA</v>
      </c>
      <c r="AJ77" s="52">
        <f>COUNTIF(Tabulacao!$MK:$MK,CaractAmostra!AI77)</f>
        <v>0</v>
      </c>
      <c r="AK77" s="53">
        <f t="shared" si="56"/>
        <v>0</v>
      </c>
      <c r="AL77" s="48"/>
      <c r="AM77" s="52">
        <v>69</v>
      </c>
      <c r="AN77" s="60" t="str">
        <f t="array" ref="AN77">INDEX($AI$93:$AI$169,SMALL(IF($AJ$93:$AJ$169=AO77,ROW($AJ$93:$AJ$169)-92),COUNTIF($AO$9:AO77,AO77)))</f>
        <v>Paulo Afonso - BA</v>
      </c>
      <c r="AO77" s="52">
        <f t="shared" si="57"/>
        <v>0</v>
      </c>
      <c r="AP77" s="53">
        <f t="shared" si="58"/>
        <v>0</v>
      </c>
      <c r="AQ77" s="48"/>
      <c r="AR77" s="48"/>
      <c r="AS77" s="48"/>
      <c r="AT77" s="48"/>
      <c r="AU77" s="48"/>
      <c r="AV77" s="48"/>
      <c r="AW77" s="48"/>
      <c r="AX77" s="48"/>
      <c r="AY77" s="48"/>
      <c r="AZ77" s="48"/>
      <c r="BA77" s="48"/>
      <c r="BB77" s="48"/>
      <c r="BC77" s="48"/>
      <c r="BD77" s="48"/>
      <c r="BE77" s="48"/>
      <c r="BF77" s="48"/>
      <c r="BG77" s="48"/>
      <c r="BH77" s="48"/>
      <c r="BI77" s="48"/>
      <c r="BJ77" s="48"/>
      <c r="BK77" s="48"/>
      <c r="BL77" s="48"/>
      <c r="BM77" s="48"/>
      <c r="BN77" s="48"/>
      <c r="BO77" s="48"/>
      <c r="BP77" s="48"/>
      <c r="BQ77" s="48"/>
      <c r="BR77" s="48"/>
      <c r="BS77" s="48"/>
      <c r="BT77" s="48"/>
      <c r="BU77" s="48"/>
      <c r="BV77" s="60">
        <v>2005</v>
      </c>
      <c r="BW77" s="53">
        <f t="shared" si="54"/>
        <v>4.4444444444444446E-2</v>
      </c>
      <c r="BX77" s="53">
        <f t="shared" si="55"/>
        <v>1</v>
      </c>
      <c r="BY77" s="48"/>
      <c r="BZ77" s="48"/>
    </row>
    <row r="78" spans="2:78" x14ac:dyDescent="0.2">
      <c r="B78" s="144"/>
      <c r="C78" s="144"/>
      <c r="D78" s="144"/>
      <c r="E78" s="48"/>
      <c r="F78" s="48"/>
      <c r="G78" s="48"/>
      <c r="H78" s="48"/>
      <c r="I78" s="48"/>
      <c r="J78" s="48"/>
      <c r="K78" s="48"/>
      <c r="L78" s="48"/>
      <c r="M78" s="48"/>
      <c r="N78" s="48"/>
      <c r="O78" s="48"/>
      <c r="P78" s="48"/>
      <c r="Q78" s="295" t="str">
        <f>$V$7</f>
        <v>Bacharelado em Engenharia Civil</v>
      </c>
      <c r="R78" s="234"/>
      <c r="S78" s="234"/>
      <c r="T78" s="48"/>
      <c r="U78" s="48"/>
      <c r="V78" s="48"/>
      <c r="W78" s="48"/>
      <c r="X78" s="48"/>
      <c r="Y78" s="48"/>
      <c r="Z78" s="295" t="str">
        <f>AE7</f>
        <v>Bacharelado em Engenharia Civil</v>
      </c>
      <c r="AA78" s="234"/>
      <c r="AB78" s="234"/>
      <c r="AC78" s="48"/>
      <c r="AD78" s="48"/>
      <c r="AE78" s="48"/>
      <c r="AF78" s="48"/>
      <c r="AG78" s="48"/>
      <c r="AH78" s="48"/>
      <c r="AI78" s="60" t="str">
        <f>Tabulacao!ML72</f>
        <v>Piranhas - AL</v>
      </c>
      <c r="AJ78" s="52">
        <f>COUNTIF(Tabulacao!$MK:$MK,CaractAmostra!AI78)</f>
        <v>0</v>
      </c>
      <c r="AK78" s="53">
        <f t="shared" si="56"/>
        <v>0</v>
      </c>
      <c r="AL78" s="48"/>
      <c r="AM78" s="52">
        <v>70</v>
      </c>
      <c r="AN78" s="60" t="str">
        <f t="array" ref="AN78">INDEX($AI$93:$AI$169,SMALL(IF($AJ$93:$AJ$169=AO78,ROW($AJ$93:$AJ$169)-92),COUNTIF($AO$9:AO78,AO78)))</f>
        <v>Piranhas - AL</v>
      </c>
      <c r="AO78" s="52">
        <f t="shared" si="57"/>
        <v>0</v>
      </c>
      <c r="AP78" s="53">
        <f t="shared" si="58"/>
        <v>0</v>
      </c>
      <c r="AQ78" s="48"/>
      <c r="AR78" s="48"/>
      <c r="AS78" s="48"/>
      <c r="AT78" s="48"/>
      <c r="AU78" s="48"/>
      <c r="AV78" s="48"/>
      <c r="AW78" s="48"/>
      <c r="AX78" s="48"/>
      <c r="AY78" s="48"/>
      <c r="AZ78" s="48"/>
      <c r="BA78" s="48"/>
      <c r="BB78" s="48"/>
      <c r="BC78" s="48"/>
      <c r="BD78" s="48"/>
      <c r="BE78" s="48"/>
      <c r="BF78" s="48"/>
      <c r="BG78" s="48"/>
      <c r="BH78" s="48"/>
      <c r="BI78" s="48"/>
      <c r="BJ78" s="48"/>
      <c r="BK78" s="48"/>
      <c r="BL78" s="48"/>
      <c r="BM78" s="48"/>
      <c r="BN78" s="48"/>
      <c r="BO78" s="48"/>
      <c r="BP78" s="48"/>
      <c r="BQ78" s="48"/>
      <c r="BR78" s="48"/>
      <c r="BS78" s="48"/>
      <c r="BT78" s="48"/>
      <c r="BU78" s="48"/>
      <c r="BV78" s="191" t="s">
        <v>621</v>
      </c>
      <c r="BW78" s="193">
        <f>SUM(BW64:BW77)</f>
        <v>1</v>
      </c>
      <c r="BX78" s="193" t="s">
        <v>933</v>
      </c>
      <c r="BY78" s="48"/>
      <c r="BZ78" s="48"/>
    </row>
    <row r="79" spans="2:78" x14ac:dyDescent="0.2">
      <c r="B79" s="144"/>
      <c r="C79" s="144"/>
      <c r="D79" s="144"/>
      <c r="E79" s="48"/>
      <c r="F79" s="48"/>
      <c r="G79" s="48"/>
      <c r="H79" s="48"/>
      <c r="I79" s="48"/>
      <c r="J79" s="48"/>
      <c r="K79" s="48"/>
      <c r="L79" s="48"/>
      <c r="M79" s="48"/>
      <c r="N79" s="48"/>
      <c r="O79" s="48"/>
      <c r="P79" s="48"/>
      <c r="Q79" s="254" t="s">
        <v>1321</v>
      </c>
      <c r="R79" s="237" t="s">
        <v>131</v>
      </c>
      <c r="S79" s="237" t="s">
        <v>132</v>
      </c>
      <c r="T79" s="48"/>
      <c r="U79" s="48"/>
      <c r="V79" s="48"/>
      <c r="W79" s="48"/>
      <c r="X79" s="48"/>
      <c r="Y79" s="48"/>
      <c r="Z79" s="254" t="s">
        <v>1325</v>
      </c>
      <c r="AA79" s="237" t="s">
        <v>131</v>
      </c>
      <c r="AB79" s="237" t="s">
        <v>132</v>
      </c>
      <c r="AC79" s="48"/>
      <c r="AD79" s="48"/>
      <c r="AE79" s="48"/>
      <c r="AF79" s="48"/>
      <c r="AG79" s="48"/>
      <c r="AH79" s="48"/>
      <c r="AI79" s="60" t="str">
        <f>Tabulacao!ML73</f>
        <v>Poço Verde</v>
      </c>
      <c r="AJ79" s="52">
        <f>COUNTIF(Tabulacao!$MK:$MK,CaractAmostra!AI79)</f>
        <v>0</v>
      </c>
      <c r="AK79" s="53">
        <f t="shared" si="56"/>
        <v>0</v>
      </c>
      <c r="AL79" s="48"/>
      <c r="AM79" s="52">
        <v>71</v>
      </c>
      <c r="AN79" s="60" t="str">
        <f t="array" ref="AN79">INDEX($AI$93:$AI$169,SMALL(IF($AJ$93:$AJ$169=AO79,ROW($AJ$93:$AJ$169)-92),COUNTIF($AO$9:AO79,AO79)))</f>
        <v>Poço Verde</v>
      </c>
      <c r="AO79" s="52">
        <f t="shared" si="57"/>
        <v>0</v>
      </c>
      <c r="AP79" s="53">
        <f t="shared" si="58"/>
        <v>0</v>
      </c>
      <c r="AQ79" s="48"/>
      <c r="AR79" s="48"/>
      <c r="AS79" s="48"/>
      <c r="AT79" s="48"/>
      <c r="AU79" s="48"/>
      <c r="AV79" s="48"/>
      <c r="AW79" s="48"/>
      <c r="AX79" s="48"/>
      <c r="AY79" s="48"/>
      <c r="AZ79" s="48"/>
      <c r="BA79" s="48"/>
      <c r="BB79" s="48"/>
      <c r="BC79" s="48"/>
      <c r="BD79" s="48"/>
      <c r="BE79" s="48"/>
      <c r="BF79" s="48"/>
      <c r="BG79" s="48"/>
      <c r="BH79" s="48"/>
      <c r="BI79" s="48"/>
      <c r="BJ79" s="48"/>
      <c r="BK79" s="48"/>
      <c r="BL79" s="48"/>
      <c r="BM79" s="48"/>
      <c r="BN79" s="48"/>
      <c r="BO79" s="48"/>
      <c r="BP79" s="48"/>
      <c r="BQ79" s="48"/>
      <c r="BR79" s="48"/>
      <c r="BS79" s="48"/>
      <c r="BT79" s="48"/>
      <c r="BU79" s="48"/>
      <c r="BV79" s="48"/>
      <c r="BW79" s="48"/>
      <c r="BX79" s="48"/>
      <c r="BY79" s="48"/>
      <c r="BZ79" s="48"/>
    </row>
    <row r="80" spans="2:78" x14ac:dyDescent="0.2">
      <c r="B80" s="144"/>
      <c r="C80" s="144"/>
      <c r="D80" s="144"/>
      <c r="E80" s="48"/>
      <c r="F80" s="48"/>
      <c r="G80" s="48"/>
      <c r="H80" s="48"/>
      <c r="I80" s="48"/>
      <c r="J80" s="48"/>
      <c r="K80" s="48"/>
      <c r="L80" s="48"/>
      <c r="M80" s="48"/>
      <c r="N80" s="48"/>
      <c r="O80" s="48"/>
      <c r="P80" s="48"/>
      <c r="Q80" s="296" t="str">
        <f t="shared" ref="Q80:Q111" si="59">Q9</f>
        <v>Aracaju</v>
      </c>
      <c r="R80" s="238">
        <f>COUNTIFS(Respostas_Formatadas!$C:$C,CaractAmostra!$Q$78,Respostas_Formatadas!$EF:$EF,CaractAmostra!Q80)</f>
        <v>25</v>
      </c>
      <c r="S80" s="240">
        <f>R80/$R$144</f>
        <v>0.52083333333333337</v>
      </c>
      <c r="T80" s="48"/>
      <c r="U80" s="48"/>
      <c r="V80" s="48"/>
      <c r="W80" s="48"/>
      <c r="X80" s="48"/>
      <c r="Y80" s="48"/>
      <c r="Z80" s="296" t="str">
        <f>Z9</f>
        <v>Aracaju</v>
      </c>
      <c r="AA80" s="238">
        <f>COUNTIFS(Respostas_Formatadas!$C:$C,CaractAmostra!$Z$78,Respostas_Formatadas!$EH:$EH,CaractAmostra!Z80)</f>
        <v>44</v>
      </c>
      <c r="AB80" s="240">
        <f>AA80/$AA$144</f>
        <v>0.91666666666666663</v>
      </c>
      <c r="AC80" s="48"/>
      <c r="AD80" s="48"/>
      <c r="AE80" s="48"/>
      <c r="AF80" s="48"/>
      <c r="AG80" s="48"/>
      <c r="AH80" s="48"/>
      <c r="AI80" s="60" t="str">
        <f>Tabulacao!ML74</f>
        <v>Porto da Folha</v>
      </c>
      <c r="AJ80" s="52">
        <f>COUNTIF(Tabulacao!$MK:$MK,CaractAmostra!AI80)</f>
        <v>0</v>
      </c>
      <c r="AK80" s="53">
        <f t="shared" si="56"/>
        <v>0</v>
      </c>
      <c r="AL80" s="48"/>
      <c r="AM80" s="52">
        <v>72</v>
      </c>
      <c r="AN80" s="60" t="str">
        <f t="array" ref="AN80">INDEX($AI$93:$AI$169,SMALL(IF($AJ$93:$AJ$169=AO80,ROW($AJ$93:$AJ$169)-92),COUNTIF($AO$9:AO80,AO80)))</f>
        <v>Porto da Folha</v>
      </c>
      <c r="AO80" s="52">
        <f t="shared" si="57"/>
        <v>0</v>
      </c>
      <c r="AP80" s="53">
        <f t="shared" si="58"/>
        <v>0</v>
      </c>
      <c r="AQ80" s="48"/>
      <c r="AR80" s="48"/>
      <c r="AS80" s="48"/>
      <c r="AT80" s="48"/>
      <c r="AU80" s="48"/>
      <c r="AV80" s="48"/>
      <c r="AW80" s="48"/>
      <c r="AX80" s="48"/>
      <c r="AY80" s="48"/>
      <c r="AZ80" s="48"/>
      <c r="BA80" s="48"/>
      <c r="BB80" s="48"/>
      <c r="BC80" s="48"/>
      <c r="BD80" s="48"/>
      <c r="BE80" s="48"/>
      <c r="BF80" s="48"/>
      <c r="BG80" s="48"/>
      <c r="BH80" s="48"/>
      <c r="BI80" s="48"/>
      <c r="BJ80" s="48"/>
      <c r="BK80" s="48"/>
      <c r="BL80" s="48"/>
      <c r="BM80" s="48"/>
      <c r="BN80" s="48"/>
      <c r="BO80" s="48"/>
      <c r="BP80" s="48"/>
      <c r="BQ80" s="48"/>
      <c r="BR80" s="48"/>
      <c r="BS80" s="48"/>
      <c r="BT80" s="48"/>
      <c r="BU80" s="48"/>
      <c r="BV80" s="48"/>
      <c r="BW80" s="48"/>
      <c r="BX80" s="48"/>
      <c r="BY80" s="48"/>
      <c r="BZ80" s="48"/>
    </row>
    <row r="81" spans="1:79" s="144" customFormat="1" x14ac:dyDescent="0.2">
      <c r="A81" s="126"/>
      <c r="Q81" s="296" t="str">
        <f t="shared" si="59"/>
        <v>Nossa Senhora do Socorro</v>
      </c>
      <c r="R81" s="238">
        <f>COUNTIFS(Respostas_Formatadas!$C:$C,CaractAmostra!$V$7,Respostas_Formatadas!$EF:$EF,CaractAmostra!Q81)</f>
        <v>1</v>
      </c>
      <c r="S81" s="240">
        <f t="shared" ref="S81:S142" si="60">R81/$R$144</f>
        <v>2.0833333333333332E-2</v>
      </c>
      <c r="Z81" s="296" t="str">
        <f t="shared" ref="Z81:Z143" si="61">Z10</f>
        <v>Lagarto</v>
      </c>
      <c r="AA81" s="238">
        <f>COUNTIFS(Respostas_Formatadas!$C:$C,CaractAmostra!$Z$78,Respostas_Formatadas!$EH:$EH,CaractAmostra!Z81)</f>
        <v>0</v>
      </c>
      <c r="AB81" s="240">
        <f t="shared" ref="AB81:AB143" si="62">AA81/$AA$144</f>
        <v>0</v>
      </c>
      <c r="AI81" s="60" t="str">
        <f>Tabulacao!ML75</f>
        <v>Santos - SP</v>
      </c>
      <c r="AJ81" s="52">
        <f>COUNTIF(Tabulacao!$MK:$MK,CaractAmostra!AI81)</f>
        <v>0</v>
      </c>
      <c r="AK81" s="53">
        <f t="shared" si="56"/>
        <v>0</v>
      </c>
      <c r="AM81" s="52">
        <v>73</v>
      </c>
      <c r="AN81" s="60" t="str">
        <f t="array" ref="AN81">INDEX($AI$93:$AI$169,SMALL(IF($AJ$93:$AJ$169=AO81,ROW($AJ$93:$AJ$169)-92),COUNTIF($AO$9:AO81,AO81)))</f>
        <v>Santos - SP</v>
      </c>
      <c r="AO81" s="52">
        <f t="shared" si="57"/>
        <v>0</v>
      </c>
      <c r="AP81" s="53">
        <f t="shared" si="58"/>
        <v>0</v>
      </c>
      <c r="CA81" s="126"/>
    </row>
    <row r="82" spans="1:79" s="144" customFormat="1" x14ac:dyDescent="0.2">
      <c r="A82" s="126"/>
      <c r="Q82" s="296" t="str">
        <f t="shared" si="59"/>
        <v>Lagarto</v>
      </c>
      <c r="R82" s="238">
        <f>COUNTIFS(Respostas_Formatadas!$C:$C,CaractAmostra!$V$7,Respostas_Formatadas!$EF:$EF,CaractAmostra!Q82)</f>
        <v>0</v>
      </c>
      <c r="S82" s="240">
        <f t="shared" si="60"/>
        <v>0</v>
      </c>
      <c r="Z82" s="296" t="str">
        <f t="shared" si="61"/>
        <v>Nossa Senhora do Socorro</v>
      </c>
      <c r="AA82" s="238">
        <f>COUNTIFS(Respostas_Formatadas!$C:$C,CaractAmostra!$Z$78,Respostas_Formatadas!$EH:$EH,CaractAmostra!Z82)</f>
        <v>1</v>
      </c>
      <c r="AB82" s="240">
        <f t="shared" si="62"/>
        <v>2.0833333333333332E-2</v>
      </c>
      <c r="AI82" s="60" t="str">
        <f>Tabulacao!ML76</f>
        <v>São Gonçalo - RJ</v>
      </c>
      <c r="AJ82" s="52">
        <f>COUNTIF(Tabulacao!$MK:$MK,CaractAmostra!AI82)</f>
        <v>0</v>
      </c>
      <c r="AK82" s="53">
        <f t="shared" si="56"/>
        <v>0</v>
      </c>
      <c r="AM82" s="52">
        <v>74</v>
      </c>
      <c r="AN82" s="60" t="str">
        <f t="array" ref="AN82">INDEX($AI$93:$AI$169,SMALL(IF($AJ$93:$AJ$169=AO82,ROW($AJ$93:$AJ$169)-92),COUNTIF($AO$9:AO82,AO82)))</f>
        <v>São Gonçalo - RJ</v>
      </c>
      <c r="AO82" s="52">
        <f t="shared" si="57"/>
        <v>0</v>
      </c>
      <c r="AP82" s="53">
        <f t="shared" si="58"/>
        <v>0</v>
      </c>
      <c r="CA82" s="126"/>
    </row>
    <row r="83" spans="1:79" s="144" customFormat="1" x14ac:dyDescent="0.2">
      <c r="A83" s="126"/>
      <c r="Q83" s="296" t="str">
        <f t="shared" si="59"/>
        <v>São Cristóvão</v>
      </c>
      <c r="R83" s="238">
        <f>COUNTIFS(Respostas_Formatadas!$C:$C,CaractAmostra!$V$7,Respostas_Formatadas!$EF:$EF,CaractAmostra!Q83)</f>
        <v>1</v>
      </c>
      <c r="S83" s="240">
        <f t="shared" si="60"/>
        <v>2.0833333333333332E-2</v>
      </c>
      <c r="Z83" s="296" t="str">
        <f t="shared" si="61"/>
        <v>São Cristóvão</v>
      </c>
      <c r="AA83" s="238">
        <f>COUNTIFS(Respostas_Formatadas!$C:$C,CaractAmostra!$Z$78,Respostas_Formatadas!$EH:$EH,CaractAmostra!Z83)</f>
        <v>1</v>
      </c>
      <c r="AB83" s="240">
        <f t="shared" si="62"/>
        <v>2.0833333333333332E-2</v>
      </c>
      <c r="AI83" s="60" t="str">
        <f>Tabulacao!ML77</f>
        <v>Teixeira de Freitas - BA</v>
      </c>
      <c r="AJ83" s="52">
        <f>COUNTIF(Tabulacao!$MK:$MK,CaractAmostra!AI83)</f>
        <v>0</v>
      </c>
      <c r="AK83" s="53">
        <f t="shared" si="56"/>
        <v>0</v>
      </c>
      <c r="AM83" s="52">
        <v>75</v>
      </c>
      <c r="AN83" s="60" t="str">
        <f t="array" ref="AN83">INDEX($AI$93:$AI$169,SMALL(IF($AJ$93:$AJ$169=AO83,ROW($AJ$93:$AJ$169)-92),COUNTIF($AO$9:AO83,AO83)))</f>
        <v>Teixeira de Freitas - BA</v>
      </c>
      <c r="AO83" s="52">
        <f t="shared" si="57"/>
        <v>0</v>
      </c>
      <c r="AP83" s="53">
        <f t="shared" si="58"/>
        <v>0</v>
      </c>
      <c r="CA83" s="126"/>
    </row>
    <row r="84" spans="1:79" s="144" customFormat="1" x14ac:dyDescent="0.2">
      <c r="A84" s="126"/>
      <c r="Q84" s="296" t="str">
        <f t="shared" si="59"/>
        <v>Itabaiana</v>
      </c>
      <c r="R84" s="238">
        <f>COUNTIFS(Respostas_Formatadas!$C:$C,CaractAmostra!$V$7,Respostas_Formatadas!$EF:$EF,CaractAmostra!Q84)</f>
        <v>3</v>
      </c>
      <c r="S84" s="240">
        <f t="shared" si="60"/>
        <v>6.25E-2</v>
      </c>
      <c r="Z84" s="296" t="str">
        <f t="shared" si="61"/>
        <v>Nossa Senhora da Glória</v>
      </c>
      <c r="AA84" s="238">
        <f>COUNTIFS(Respostas_Formatadas!$C:$C,CaractAmostra!$Z$78,Respostas_Formatadas!$EH:$EH,CaractAmostra!Z84)</f>
        <v>0</v>
      </c>
      <c r="AB84" s="240">
        <f t="shared" si="62"/>
        <v>0</v>
      </c>
      <c r="AI84" s="60" t="str">
        <f>Tabulacao!ML78</f>
        <v>Verdejante - PE</v>
      </c>
      <c r="AJ84" s="52">
        <f>COUNTIF(Tabulacao!$MK:$MK,CaractAmostra!AI84)</f>
        <v>0</v>
      </c>
      <c r="AK84" s="53">
        <f t="shared" si="56"/>
        <v>0</v>
      </c>
      <c r="AM84" s="52">
        <v>76</v>
      </c>
      <c r="AN84" s="60" t="str">
        <f t="array" ref="AN84">INDEX($AI$93:$AI$169,SMALL(IF($AJ$93:$AJ$169=AO84,ROW($AJ$93:$AJ$169)-92),COUNTIF($AO$9:AO84,AO84)))</f>
        <v>Verdejante - PE</v>
      </c>
      <c r="AO84" s="52">
        <f t="shared" si="57"/>
        <v>0</v>
      </c>
      <c r="AP84" s="53">
        <f t="shared" si="58"/>
        <v>0</v>
      </c>
      <c r="CA84" s="126"/>
    </row>
    <row r="85" spans="1:79" s="144" customFormat="1" x14ac:dyDescent="0.2">
      <c r="A85" s="126"/>
      <c r="Q85" s="296" t="str">
        <f t="shared" si="59"/>
        <v>Estância</v>
      </c>
      <c r="R85" s="238">
        <f>COUNTIFS(Respostas_Formatadas!$C:$C,CaractAmostra!$V$7,Respostas_Formatadas!$EF:$EF,CaractAmostra!Q85)</f>
        <v>2</v>
      </c>
      <c r="S85" s="240">
        <f t="shared" si="60"/>
        <v>4.1666666666666664E-2</v>
      </c>
      <c r="Z85" s="296" t="str">
        <f t="shared" si="61"/>
        <v>Itabaiana</v>
      </c>
      <c r="AA85" s="238">
        <f>COUNTIFS(Respostas_Formatadas!$C:$C,CaractAmostra!$Z$78,Respostas_Formatadas!$EH:$EH,CaractAmostra!Z85)</f>
        <v>2</v>
      </c>
      <c r="AB85" s="240">
        <f t="shared" si="62"/>
        <v>4.1666666666666664E-2</v>
      </c>
      <c r="AI85" s="60" t="str">
        <f>Tabulacao!ML79</f>
        <v>Propriá</v>
      </c>
      <c r="AJ85" s="52">
        <f>COUNTIF(Tabulacao!$MK:$MK,CaractAmostra!AI85)</f>
        <v>0</v>
      </c>
      <c r="AK85" s="53">
        <f t="shared" si="56"/>
        <v>0</v>
      </c>
      <c r="AM85" s="52">
        <v>77</v>
      </c>
      <c r="AN85" s="60" t="str">
        <f t="array" ref="AN85">INDEX($AI$93:$AI$169,SMALL(IF($AJ$93:$AJ$169=AO85,ROW($AJ$93:$AJ$169)-92),COUNTIF($AO$9:AO85,AO85)))</f>
        <v>Propriá</v>
      </c>
      <c r="AO85" s="52">
        <f t="shared" si="57"/>
        <v>0</v>
      </c>
      <c r="AP85" s="53">
        <f t="shared" si="58"/>
        <v>0</v>
      </c>
      <c r="CA85" s="126"/>
    </row>
    <row r="86" spans="1:79" s="144" customFormat="1" x14ac:dyDescent="0.2">
      <c r="A86" s="126"/>
      <c r="Q86" s="296" t="str">
        <f t="shared" si="59"/>
        <v>Nossa Senhora da Glória</v>
      </c>
      <c r="R86" s="238">
        <f>COUNTIFS(Respostas_Formatadas!$C:$C,CaractAmostra!$V$7,Respostas_Formatadas!$EF:$EF,CaractAmostra!Q86)</f>
        <v>0</v>
      </c>
      <c r="S86" s="240">
        <f t="shared" si="60"/>
        <v>0</v>
      </c>
      <c r="Z86" s="296" t="str">
        <f t="shared" si="61"/>
        <v>Simão Dias</v>
      </c>
      <c r="AA86" s="238">
        <f>COUNTIFS(Respostas_Formatadas!$C:$C,CaractAmostra!$Z$78,Respostas_Formatadas!$EH:$EH,CaractAmostra!Z86)</f>
        <v>0</v>
      </c>
      <c r="AB86" s="240">
        <f t="shared" si="62"/>
        <v>0</v>
      </c>
      <c r="AI86" s="93" t="s">
        <v>621</v>
      </c>
      <c r="AJ86" s="94">
        <f>SUM(AJ9:AJ85)</f>
        <v>271</v>
      </c>
      <c r="AK86" s="95">
        <f>SUM(AK9:AK85)</f>
        <v>0.99999999999999856</v>
      </c>
      <c r="AM86" s="159" t="s">
        <v>933</v>
      </c>
      <c r="AN86" s="191" t="s">
        <v>621</v>
      </c>
      <c r="AO86" s="192">
        <f>SUM(AO9:AO85)</f>
        <v>48</v>
      </c>
      <c r="AP86" s="193">
        <f>SUM(AP9:AP85)</f>
        <v>1</v>
      </c>
      <c r="CA86" s="126"/>
    </row>
    <row r="87" spans="1:79" s="144" customFormat="1" x14ac:dyDescent="0.2">
      <c r="A87" s="126"/>
      <c r="Q87" s="296" t="str">
        <f t="shared" si="59"/>
        <v>Simão Dias</v>
      </c>
      <c r="R87" s="238">
        <f>COUNTIFS(Respostas_Formatadas!$C:$C,CaractAmostra!$V$7,Respostas_Formatadas!$EF:$EF,CaractAmostra!Q87)</f>
        <v>0</v>
      </c>
      <c r="S87" s="240">
        <f t="shared" si="60"/>
        <v>0</v>
      </c>
      <c r="Z87" s="296" t="str">
        <f t="shared" si="61"/>
        <v>Estância</v>
      </c>
      <c r="AA87" s="238">
        <f>COUNTIFS(Respostas_Formatadas!$C:$C,CaractAmostra!$Z$78,Respostas_Formatadas!$EH:$EH,CaractAmostra!Z87)</f>
        <v>0</v>
      </c>
      <c r="AB87" s="240">
        <f t="shared" si="62"/>
        <v>0</v>
      </c>
      <c r="AI87" s="144" t="s">
        <v>1344</v>
      </c>
      <c r="AJ87" s="299">
        <f>AJ9+AJ11+AJ12+AJ13+AJ15</f>
        <v>183</v>
      </c>
      <c r="AK87" s="300">
        <f>AJ87/AJ86</f>
        <v>0.67527675276752763</v>
      </c>
      <c r="CA87" s="126"/>
    </row>
    <row r="88" spans="1:79" s="144" customFormat="1" x14ac:dyDescent="0.2">
      <c r="A88" s="126"/>
      <c r="Q88" s="296" t="str">
        <f t="shared" si="59"/>
        <v>Alagoinhas - BA</v>
      </c>
      <c r="R88" s="238">
        <f>COUNTIFS(Respostas_Formatadas!$C:$C,CaractAmostra!$V$7,Respostas_Formatadas!$EF:$EF,CaractAmostra!Q88)</f>
        <v>0</v>
      </c>
      <c r="S88" s="240">
        <f t="shared" si="60"/>
        <v>0</v>
      </c>
      <c r="Z88" s="296" t="str">
        <f t="shared" si="61"/>
        <v>Malhador</v>
      </c>
      <c r="AA88" s="238">
        <f>COUNTIFS(Respostas_Formatadas!$C:$C,CaractAmostra!$Z$78,Respostas_Formatadas!$EH:$EH,CaractAmostra!Z88)</f>
        <v>0</v>
      </c>
      <c r="AB88" s="240">
        <f t="shared" si="62"/>
        <v>0</v>
      </c>
      <c r="CA88" s="126"/>
    </row>
    <row r="89" spans="1:79" s="144" customFormat="1" ht="25.5" x14ac:dyDescent="0.2">
      <c r="A89" s="126"/>
      <c r="Q89" s="296" t="str">
        <f t="shared" si="59"/>
        <v>Barra dos Coqueiros</v>
      </c>
      <c r="R89" s="238">
        <f>COUNTIFS(Respostas_Formatadas!$C:$C,CaractAmostra!$V$7,Respostas_Formatadas!$EF:$EF,CaractAmostra!Q89)</f>
        <v>0</v>
      </c>
      <c r="S89" s="240">
        <f t="shared" si="60"/>
        <v>0</v>
      </c>
      <c r="Z89" s="296" t="str">
        <f t="shared" si="61"/>
        <v>Barra dos Coqueiros</v>
      </c>
      <c r="AA89" s="238">
        <f>COUNTIFS(Respostas_Formatadas!$C:$C,CaractAmostra!$Z$78,Respostas_Formatadas!$EH:$EH,CaractAmostra!Z89)</f>
        <v>0</v>
      </c>
      <c r="AB89" s="240">
        <f t="shared" si="62"/>
        <v>0</v>
      </c>
      <c r="AI89" s="254" t="s">
        <v>1327</v>
      </c>
      <c r="AJ89" s="234"/>
      <c r="AK89" s="234"/>
      <c r="CA89" s="126"/>
    </row>
    <row r="90" spans="1:79" s="144" customFormat="1" x14ac:dyDescent="0.2">
      <c r="A90" s="126"/>
      <c r="Q90" s="296" t="str">
        <f t="shared" si="59"/>
        <v>Cristinápolis</v>
      </c>
      <c r="R90" s="238">
        <f>COUNTIFS(Respostas_Formatadas!$C:$C,CaractAmostra!$V$7,Respostas_Formatadas!$EF:$EF,CaractAmostra!Q90)</f>
        <v>1</v>
      </c>
      <c r="S90" s="240">
        <f t="shared" si="60"/>
        <v>2.0833333333333332E-2</v>
      </c>
      <c r="Z90" s="296" t="str">
        <f t="shared" si="61"/>
        <v>Salgado</v>
      </c>
      <c r="AA90" s="238">
        <f>COUNTIFS(Respostas_Formatadas!$C:$C,CaractAmostra!$Z$78,Respostas_Formatadas!$EH:$EH,CaractAmostra!Z90)</f>
        <v>0</v>
      </c>
      <c r="AB90" s="240">
        <f t="shared" si="62"/>
        <v>0</v>
      </c>
      <c r="AI90" s="234"/>
      <c r="AJ90" s="234"/>
      <c r="AK90" s="234"/>
      <c r="CA90" s="126"/>
    </row>
    <row r="91" spans="1:79" s="144" customFormat="1" x14ac:dyDescent="0.2">
      <c r="A91" s="126"/>
      <c r="Q91" s="296" t="str">
        <f t="shared" si="59"/>
        <v>Malhador</v>
      </c>
      <c r="R91" s="238">
        <f>COUNTIFS(Respostas_Formatadas!$C:$C,CaractAmostra!$V$7,Respostas_Formatadas!$EF:$EF,CaractAmostra!Q91)</f>
        <v>0</v>
      </c>
      <c r="S91" s="240">
        <f t="shared" si="60"/>
        <v>0</v>
      </c>
      <c r="Z91" s="296" t="str">
        <f t="shared" si="61"/>
        <v>Areia Branca</v>
      </c>
      <c r="AA91" s="238">
        <f>COUNTIFS(Respostas_Formatadas!$C:$C,CaractAmostra!$Z$78,Respostas_Formatadas!$EH:$EH,CaractAmostra!Z91)</f>
        <v>0</v>
      </c>
      <c r="AB91" s="240">
        <f t="shared" si="62"/>
        <v>0</v>
      </c>
      <c r="AI91" s="295" t="str">
        <f>AN7</f>
        <v>Bacharelado em Engenharia Civil</v>
      </c>
      <c r="AJ91" s="234"/>
      <c r="AK91" s="234"/>
      <c r="CA91" s="126"/>
    </row>
    <row r="92" spans="1:79" s="144" customFormat="1" x14ac:dyDescent="0.2">
      <c r="A92" s="126"/>
      <c r="Q92" s="296" t="str">
        <f t="shared" si="59"/>
        <v>Rio Real - BA</v>
      </c>
      <c r="R92" s="238">
        <f>COUNTIFS(Respostas_Formatadas!$C:$C,CaractAmostra!$V$7,Respostas_Formatadas!$EF:$EF,CaractAmostra!Q92)</f>
        <v>0</v>
      </c>
      <c r="S92" s="240">
        <f t="shared" si="60"/>
        <v>0</v>
      </c>
      <c r="Z92" s="296" t="str">
        <f t="shared" si="61"/>
        <v>Pinhão</v>
      </c>
      <c r="AA92" s="238">
        <f>COUNTIFS(Respostas_Formatadas!$C:$C,CaractAmostra!$Z$78,Respostas_Formatadas!$EH:$EH,CaractAmostra!Z92)</f>
        <v>0</v>
      </c>
      <c r="AB92" s="240">
        <f t="shared" si="62"/>
        <v>0</v>
      </c>
      <c r="AI92" s="254" t="s">
        <v>1326</v>
      </c>
      <c r="AJ92" s="237" t="s">
        <v>131</v>
      </c>
      <c r="AK92" s="237" t="s">
        <v>132</v>
      </c>
      <c r="CA92" s="126"/>
    </row>
    <row r="93" spans="1:79" s="144" customFormat="1" x14ac:dyDescent="0.2">
      <c r="A93" s="126"/>
      <c r="Q93" s="296" t="str">
        <f t="shared" si="59"/>
        <v>Salgado</v>
      </c>
      <c r="R93" s="238">
        <f>COUNTIFS(Respostas_Formatadas!$C:$C,CaractAmostra!$V$7,Respostas_Formatadas!$EF:$EF,CaractAmostra!Q93)</f>
        <v>0</v>
      </c>
      <c r="S93" s="240">
        <f t="shared" si="60"/>
        <v>0</v>
      </c>
      <c r="Z93" s="296" t="str">
        <f t="shared" si="61"/>
        <v>Riachão do Dantas</v>
      </c>
      <c r="AA93" s="238">
        <f>COUNTIFS(Respostas_Formatadas!$C:$C,CaractAmostra!$Z$78,Respostas_Formatadas!$EH:$EH,CaractAmostra!Z93)</f>
        <v>0</v>
      </c>
      <c r="AB93" s="240">
        <f t="shared" si="62"/>
        <v>0</v>
      </c>
      <c r="AI93" s="296" t="str">
        <f>AI9</f>
        <v>Aracaju</v>
      </c>
      <c r="AJ93" s="238">
        <f>COUNTIFS(Respostas_Formatadas!$C:$C,CaractAmostra!$AI$91,Respostas_Formatadas!$EJ:$EJ,CaractAmostra!AI93)</f>
        <v>32</v>
      </c>
      <c r="AK93" s="240">
        <f>IFERROR(AJ93/$AJ$170,"-")</f>
        <v>0.66666666666666663</v>
      </c>
      <c r="CA93" s="126"/>
    </row>
    <row r="94" spans="1:79" s="144" customFormat="1" x14ac:dyDescent="0.2">
      <c r="A94" s="126"/>
      <c r="Q94" s="296" t="str">
        <f t="shared" si="59"/>
        <v>Salvador - BA</v>
      </c>
      <c r="R94" s="238">
        <f>COUNTIFS(Respostas_Formatadas!$C:$C,CaractAmostra!$V$7,Respostas_Formatadas!$EF:$EF,CaractAmostra!Q94)</f>
        <v>2</v>
      </c>
      <c r="S94" s="240">
        <f t="shared" si="60"/>
        <v>4.1666666666666664E-2</v>
      </c>
      <c r="Z94" s="296" t="str">
        <f t="shared" si="61"/>
        <v>Tobias Barreto</v>
      </c>
      <c r="AA94" s="238">
        <f>COUNTIFS(Respostas_Formatadas!$C:$C,CaractAmostra!$Z$78,Respostas_Formatadas!$EH:$EH,CaractAmostra!Z94)</f>
        <v>0</v>
      </c>
      <c r="AB94" s="240">
        <f t="shared" si="62"/>
        <v>0</v>
      </c>
      <c r="AI94" s="296" t="str">
        <f t="shared" ref="AI94:AI157" si="63">AI10</f>
        <v>Nossa Senhora do Socorro</v>
      </c>
      <c r="AJ94" s="238">
        <f>COUNTIFS(Respostas_Formatadas!$C:$C,CaractAmostra!$AI$91,Respostas_Formatadas!$EJ:$EJ,CaractAmostra!AI94)</f>
        <v>0</v>
      </c>
      <c r="AK94" s="240">
        <f t="shared" ref="AK94:AK157" si="64">IFERROR(AJ94/$AJ$170,"-")</f>
        <v>0</v>
      </c>
      <c r="CA94" s="126"/>
    </row>
    <row r="95" spans="1:79" s="144" customFormat="1" x14ac:dyDescent="0.2">
      <c r="A95" s="126"/>
      <c r="Q95" s="296" t="str">
        <f t="shared" si="59"/>
        <v>Areia Branca</v>
      </c>
      <c r="R95" s="238">
        <f>COUNTIFS(Respostas_Formatadas!$C:$C,CaractAmostra!$V$7,Respostas_Formatadas!$EF:$EF,CaractAmostra!Q95)</f>
        <v>0</v>
      </c>
      <c r="S95" s="240">
        <f t="shared" si="60"/>
        <v>0</v>
      </c>
      <c r="Z95" s="296" t="str">
        <f t="shared" si="61"/>
        <v>Nossa Senhora das Dores</v>
      </c>
      <c r="AA95" s="238">
        <f>COUNTIFS(Respostas_Formatadas!$C:$C,CaractAmostra!$Z$78,Respostas_Formatadas!$EH:$EH,CaractAmostra!Z95)</f>
        <v>0</v>
      </c>
      <c r="AB95" s="240">
        <f t="shared" si="62"/>
        <v>0</v>
      </c>
      <c r="AI95" s="296" t="str">
        <f t="shared" si="63"/>
        <v>Lagarto</v>
      </c>
      <c r="AJ95" s="238">
        <f>COUNTIFS(Respostas_Formatadas!$C:$C,CaractAmostra!$AI$91,Respostas_Formatadas!$EJ:$EJ,CaractAmostra!AI95)</f>
        <v>0</v>
      </c>
      <c r="AK95" s="240">
        <f t="shared" si="64"/>
        <v>0</v>
      </c>
      <c r="CA95" s="126"/>
    </row>
    <row r="96" spans="1:79" s="144" customFormat="1" x14ac:dyDescent="0.2">
      <c r="A96" s="126"/>
      <c r="Q96" s="296" t="str">
        <f t="shared" si="59"/>
        <v>Belém - PA</v>
      </c>
      <c r="R96" s="238">
        <f>COUNTIFS(Respostas_Formatadas!$C:$C,CaractAmostra!$V$7,Respostas_Formatadas!$EF:$EF,CaractAmostra!Q96)</f>
        <v>0</v>
      </c>
      <c r="S96" s="240">
        <f t="shared" si="60"/>
        <v>0</v>
      </c>
      <c r="Z96" s="296" t="str">
        <f t="shared" si="61"/>
        <v>Campo do Brito</v>
      </c>
      <c r="AA96" s="238">
        <f>COUNTIFS(Respostas_Formatadas!$C:$C,CaractAmostra!$Z$78,Respostas_Formatadas!$EH:$EH,CaractAmostra!Z96)</f>
        <v>0</v>
      </c>
      <c r="AB96" s="240">
        <f t="shared" si="62"/>
        <v>0</v>
      </c>
      <c r="AI96" s="296" t="str">
        <f t="shared" si="63"/>
        <v>São Cristóvão</v>
      </c>
      <c r="AJ96" s="238">
        <f>COUNTIFS(Respostas_Formatadas!$C:$C,CaractAmostra!$AI$91,Respostas_Formatadas!$EJ:$EJ,CaractAmostra!AI96)</f>
        <v>0</v>
      </c>
      <c r="AK96" s="240">
        <f t="shared" si="64"/>
        <v>0</v>
      </c>
      <c r="CA96" s="126"/>
    </row>
    <row r="97" spans="1:79" s="144" customFormat="1" x14ac:dyDescent="0.2">
      <c r="A97" s="126"/>
      <c r="Q97" s="296" t="str">
        <f t="shared" si="59"/>
        <v>Boquim</v>
      </c>
      <c r="R97" s="238">
        <f>COUNTIFS(Respostas_Formatadas!$C:$C,CaractAmostra!$V$7,Respostas_Formatadas!$EF:$EF,CaractAmostra!Q97)</f>
        <v>1</v>
      </c>
      <c r="S97" s="240">
        <f t="shared" si="60"/>
        <v>2.0833333333333332E-2</v>
      </c>
      <c r="Z97" s="296" t="str">
        <f t="shared" si="61"/>
        <v>Boquim</v>
      </c>
      <c r="AA97" s="238">
        <f>COUNTIFS(Respostas_Formatadas!$C:$C,CaractAmostra!$Z$78,Respostas_Formatadas!$EH:$EH,CaractAmostra!Z97)</f>
        <v>0</v>
      </c>
      <c r="AB97" s="240">
        <f t="shared" si="62"/>
        <v>0</v>
      </c>
      <c r="AI97" s="296" t="str">
        <f t="shared" si="63"/>
        <v>Nossa Senhora da Glória</v>
      </c>
      <c r="AJ97" s="238">
        <f>COUNTIFS(Respostas_Formatadas!$C:$C,CaractAmostra!$AI$91,Respostas_Formatadas!$EJ:$EJ,CaractAmostra!AI97)</f>
        <v>0</v>
      </c>
      <c r="AK97" s="240">
        <f t="shared" si="64"/>
        <v>0</v>
      </c>
      <c r="CA97" s="126"/>
    </row>
    <row r="98" spans="1:79" s="144" customFormat="1" x14ac:dyDescent="0.2">
      <c r="A98" s="126"/>
      <c r="Q98" s="296" t="str">
        <f t="shared" si="59"/>
        <v>Irecê - BA</v>
      </c>
      <c r="R98" s="238">
        <f>COUNTIFS(Respostas_Formatadas!$C:$C,CaractAmostra!$V$7,Respostas_Formatadas!$EF:$EF,CaractAmostra!Q98)</f>
        <v>0</v>
      </c>
      <c r="S98" s="240">
        <f t="shared" si="60"/>
        <v>0</v>
      </c>
      <c r="Z98" s="296" t="str">
        <f t="shared" si="61"/>
        <v>Pedra Mole</v>
      </c>
      <c r="AA98" s="238">
        <f>COUNTIFS(Respostas_Formatadas!$C:$C,CaractAmostra!$Z$78,Respostas_Formatadas!$EH:$EH,CaractAmostra!Z98)</f>
        <v>0</v>
      </c>
      <c r="AB98" s="240">
        <f t="shared" si="62"/>
        <v>0</v>
      </c>
      <c r="AI98" s="296" t="str">
        <f t="shared" si="63"/>
        <v>Estância</v>
      </c>
      <c r="AJ98" s="238">
        <f>COUNTIFS(Respostas_Formatadas!$C:$C,CaractAmostra!$AI$91,Respostas_Formatadas!$EJ:$EJ,CaractAmostra!AI98)</f>
        <v>2</v>
      </c>
      <c r="AK98" s="240">
        <f t="shared" si="64"/>
        <v>4.1666666666666664E-2</v>
      </c>
      <c r="CA98" s="126"/>
    </row>
    <row r="99" spans="1:79" s="144" customFormat="1" x14ac:dyDescent="0.2">
      <c r="A99" s="126"/>
      <c r="Q99" s="296" t="str">
        <f t="shared" si="59"/>
        <v>Itaberaba - BA</v>
      </c>
      <c r="R99" s="238">
        <f>COUNTIFS(Respostas_Formatadas!$C:$C,CaractAmostra!$V$7,Respostas_Formatadas!$EF:$EF,CaractAmostra!Q99)</f>
        <v>2</v>
      </c>
      <c r="S99" s="240">
        <f t="shared" si="60"/>
        <v>4.1666666666666664E-2</v>
      </c>
      <c r="Z99" s="296" t="str">
        <f t="shared" si="61"/>
        <v>São Domingos</v>
      </c>
      <c r="AA99" s="238">
        <f>COUNTIFS(Respostas_Formatadas!$C:$C,CaractAmostra!$Z$78,Respostas_Formatadas!$EH:$EH,CaractAmostra!Z99)</f>
        <v>0</v>
      </c>
      <c r="AB99" s="240">
        <f t="shared" si="62"/>
        <v>0</v>
      </c>
      <c r="AI99" s="296" t="str">
        <f t="shared" si="63"/>
        <v>Itabaiana</v>
      </c>
      <c r="AJ99" s="238">
        <f>COUNTIFS(Respostas_Formatadas!$C:$C,CaractAmostra!$AI$91,Respostas_Formatadas!$EJ:$EJ,CaractAmostra!AI99)</f>
        <v>2</v>
      </c>
      <c r="AK99" s="240">
        <f t="shared" si="64"/>
        <v>4.1666666666666664E-2</v>
      </c>
      <c r="CA99" s="126"/>
    </row>
    <row r="100" spans="1:79" s="144" customFormat="1" x14ac:dyDescent="0.2">
      <c r="A100" s="126"/>
      <c r="Q100" s="296" t="str">
        <f t="shared" si="59"/>
        <v>Pedra Mole</v>
      </c>
      <c r="R100" s="238">
        <f>COUNTIFS(Respostas_Formatadas!$C:$C,CaractAmostra!$V$7,Respostas_Formatadas!$EF:$EF,CaractAmostra!Q100)</f>
        <v>0</v>
      </c>
      <c r="S100" s="240">
        <f t="shared" si="60"/>
        <v>0</v>
      </c>
      <c r="Z100" s="296" t="str">
        <f t="shared" si="61"/>
        <v>Aquidabã</v>
      </c>
      <c r="AA100" s="238">
        <f>COUNTIFS(Respostas_Formatadas!$C:$C,CaractAmostra!$Z$78,Respostas_Formatadas!$EH:$EH,CaractAmostra!Z100)</f>
        <v>0</v>
      </c>
      <c r="AB100" s="240">
        <f t="shared" si="62"/>
        <v>0</v>
      </c>
      <c r="AI100" s="296" t="str">
        <f t="shared" si="63"/>
        <v>Barra dos Coqueiros</v>
      </c>
      <c r="AJ100" s="238">
        <f>COUNTIFS(Respostas_Formatadas!$C:$C,CaractAmostra!$AI$91,Respostas_Formatadas!$EJ:$EJ,CaractAmostra!AI100)</f>
        <v>0</v>
      </c>
      <c r="AK100" s="240">
        <f t="shared" si="64"/>
        <v>0</v>
      </c>
      <c r="CA100" s="126"/>
    </row>
    <row r="101" spans="1:79" s="144" customFormat="1" x14ac:dyDescent="0.2">
      <c r="A101" s="126"/>
      <c r="Q101" s="296" t="str">
        <f t="shared" si="59"/>
        <v>Pinhão</v>
      </c>
      <c r="R101" s="238">
        <f>COUNTIFS(Respostas_Formatadas!$C:$C,CaractAmostra!$V$7,Respostas_Formatadas!$EF:$EF,CaractAmostra!Q101)</f>
        <v>0</v>
      </c>
      <c r="S101" s="240">
        <f t="shared" si="60"/>
        <v>0</v>
      </c>
      <c r="Z101" s="296" t="str">
        <f t="shared" si="61"/>
        <v>Graccho Cardoso</v>
      </c>
      <c r="AA101" s="238">
        <f>COUNTIFS(Respostas_Formatadas!$C:$C,CaractAmostra!$Z$78,Respostas_Formatadas!$EH:$EH,CaractAmostra!Z101)</f>
        <v>0</v>
      </c>
      <c r="AB101" s="240">
        <f t="shared" si="62"/>
        <v>0</v>
      </c>
      <c r="AI101" s="296" t="str">
        <f t="shared" si="63"/>
        <v>Salvador - BA</v>
      </c>
      <c r="AJ101" s="238">
        <f>COUNTIFS(Respostas_Formatadas!$C:$C,CaractAmostra!$AI$91,Respostas_Formatadas!$EJ:$EJ,CaractAmostra!AI101)</f>
        <v>3</v>
      </c>
      <c r="AK101" s="240">
        <f t="shared" si="64"/>
        <v>6.25E-2</v>
      </c>
      <c r="CA101" s="126"/>
    </row>
    <row r="102" spans="1:79" s="144" customFormat="1" x14ac:dyDescent="0.2">
      <c r="A102" s="126"/>
      <c r="Q102" s="296" t="str">
        <f t="shared" si="59"/>
        <v>Poço Redondo</v>
      </c>
      <c r="R102" s="238">
        <f>COUNTIFS(Respostas_Formatadas!$C:$C,CaractAmostra!$V$7,Respostas_Formatadas!$EF:$EF,CaractAmostra!Q102)</f>
        <v>0</v>
      </c>
      <c r="S102" s="240">
        <f t="shared" si="60"/>
        <v>0</v>
      </c>
      <c r="Z102" s="296" t="str">
        <f t="shared" si="61"/>
        <v>Itaporanga D'Ajuda</v>
      </c>
      <c r="AA102" s="238">
        <f>COUNTIFS(Respostas_Formatadas!$C:$C,CaractAmostra!$Z$78,Respostas_Formatadas!$EH:$EH,CaractAmostra!Z102)</f>
        <v>0</v>
      </c>
      <c r="AB102" s="240">
        <f t="shared" si="62"/>
        <v>0</v>
      </c>
      <c r="AI102" s="296" t="str">
        <f t="shared" si="63"/>
        <v>Areia Branca</v>
      </c>
      <c r="AJ102" s="238">
        <f>COUNTIFS(Respostas_Formatadas!$C:$C,CaractAmostra!$AI$91,Respostas_Formatadas!$EJ:$EJ,CaractAmostra!AI102)</f>
        <v>0</v>
      </c>
      <c r="AK102" s="240">
        <f t="shared" si="64"/>
        <v>0</v>
      </c>
      <c r="CA102" s="126"/>
    </row>
    <row r="103" spans="1:79" s="144" customFormat="1" x14ac:dyDescent="0.2">
      <c r="A103" s="126"/>
      <c r="Q103" s="296" t="str">
        <f t="shared" si="59"/>
        <v>Riachão do Dantas</v>
      </c>
      <c r="R103" s="238">
        <f>COUNTIFS(Respostas_Formatadas!$C:$C,CaractAmostra!$V$7,Respostas_Formatadas!$EF:$EF,CaractAmostra!Q103)</f>
        <v>0</v>
      </c>
      <c r="S103" s="240">
        <f t="shared" si="60"/>
        <v>0</v>
      </c>
      <c r="Z103" s="296" t="str">
        <f t="shared" si="61"/>
        <v>Laranjeiras</v>
      </c>
      <c r="AA103" s="238">
        <f>COUNTIFS(Respostas_Formatadas!$C:$C,CaractAmostra!$Z$78,Respostas_Formatadas!$EH:$EH,CaractAmostra!Z103)</f>
        <v>0</v>
      </c>
      <c r="AB103" s="240">
        <f t="shared" si="62"/>
        <v>0</v>
      </c>
      <c r="AI103" s="296" t="str">
        <f t="shared" si="63"/>
        <v>Belém - PA</v>
      </c>
      <c r="AJ103" s="238">
        <f>COUNTIFS(Respostas_Formatadas!$C:$C,CaractAmostra!$AI$91,Respostas_Formatadas!$EJ:$EJ,CaractAmostra!AI103)</f>
        <v>1</v>
      </c>
      <c r="AK103" s="240">
        <f t="shared" si="64"/>
        <v>2.0833333333333332E-2</v>
      </c>
      <c r="CA103" s="126"/>
    </row>
    <row r="104" spans="1:79" s="144" customFormat="1" x14ac:dyDescent="0.2">
      <c r="A104" s="126"/>
      <c r="Q104" s="296" t="str">
        <f t="shared" si="59"/>
        <v>São Domingos</v>
      </c>
      <c r="R104" s="238">
        <f>COUNTIFS(Respostas_Formatadas!$C:$C,CaractAmostra!$V$7,Respostas_Formatadas!$EF:$EF,CaractAmostra!Q104)</f>
        <v>0</v>
      </c>
      <c r="S104" s="240">
        <f t="shared" si="60"/>
        <v>0</v>
      </c>
      <c r="Z104" s="296" t="str">
        <f t="shared" si="61"/>
        <v>Moita Bonita</v>
      </c>
      <c r="AA104" s="238">
        <f>COUNTIFS(Respostas_Formatadas!$C:$C,CaractAmostra!$Z$78,Respostas_Formatadas!$EH:$EH,CaractAmostra!Z104)</f>
        <v>0</v>
      </c>
      <c r="AB104" s="240">
        <f t="shared" si="62"/>
        <v>0</v>
      </c>
      <c r="AI104" s="296" t="str">
        <f t="shared" si="63"/>
        <v>Recife - PE</v>
      </c>
      <c r="AJ104" s="238">
        <f>COUNTIFS(Respostas_Formatadas!$C:$C,CaractAmostra!$AI$91,Respostas_Formatadas!$EJ:$EJ,CaractAmostra!AI104)</f>
        <v>2</v>
      </c>
      <c r="AK104" s="240">
        <f t="shared" si="64"/>
        <v>4.1666666666666664E-2</v>
      </c>
      <c r="CA104" s="126"/>
    </row>
    <row r="105" spans="1:79" s="144" customFormat="1" x14ac:dyDescent="0.2">
      <c r="A105" s="126"/>
      <c r="Q105" s="296" t="str">
        <f t="shared" si="59"/>
        <v>Tobias Barreto</v>
      </c>
      <c r="R105" s="238">
        <f>COUNTIFS(Respostas_Formatadas!$C:$C,CaractAmostra!$V$7,Respostas_Formatadas!$EF:$EF,CaractAmostra!Q105)</f>
        <v>0</v>
      </c>
      <c r="S105" s="240">
        <f t="shared" si="60"/>
        <v>0</v>
      </c>
      <c r="Z105" s="296" t="str">
        <f t="shared" si="61"/>
        <v>Rosário do Catete</v>
      </c>
      <c r="AA105" s="238">
        <f>COUNTIFS(Respostas_Formatadas!$C:$C,CaractAmostra!$Z$78,Respostas_Formatadas!$EH:$EH,CaractAmostra!Z105)</f>
        <v>0</v>
      </c>
      <c r="AB105" s="240">
        <f t="shared" si="62"/>
        <v>0</v>
      </c>
      <c r="AI105" s="296" t="str">
        <f t="shared" si="63"/>
        <v>Simão Dias</v>
      </c>
      <c r="AJ105" s="238">
        <f>COUNTIFS(Respostas_Formatadas!$C:$C,CaractAmostra!$AI$91,Respostas_Formatadas!$EJ:$EJ,CaractAmostra!AI105)</f>
        <v>0</v>
      </c>
      <c r="AK105" s="240">
        <f t="shared" si="64"/>
        <v>0</v>
      </c>
      <c r="CA105" s="126"/>
    </row>
    <row r="106" spans="1:79" s="144" customFormat="1" x14ac:dyDescent="0.2">
      <c r="A106" s="126"/>
      <c r="Q106" s="296" t="str">
        <f t="shared" si="59"/>
        <v>Nossa Senhora das Dores</v>
      </c>
      <c r="R106" s="238">
        <f>COUNTIFS(Respostas_Formatadas!$C:$C,CaractAmostra!$V$7,Respostas_Formatadas!$EF:$EF,CaractAmostra!Q106)</f>
        <v>0</v>
      </c>
      <c r="S106" s="240">
        <f t="shared" si="60"/>
        <v>0</v>
      </c>
      <c r="Z106" s="296" t="str">
        <f t="shared" si="61"/>
        <v>Santo Amaro das Brotas</v>
      </c>
      <c r="AA106" s="238">
        <f>COUNTIFS(Respostas_Formatadas!$C:$C,CaractAmostra!$Z$78,Respostas_Formatadas!$EH:$EH,CaractAmostra!Z106)</f>
        <v>0</v>
      </c>
      <c r="AB106" s="240">
        <f t="shared" si="62"/>
        <v>0</v>
      </c>
      <c r="AI106" s="296" t="str">
        <f t="shared" si="63"/>
        <v>Malhador</v>
      </c>
      <c r="AJ106" s="238">
        <f>COUNTIFS(Respostas_Formatadas!$C:$C,CaractAmostra!$AI$91,Respostas_Formatadas!$EJ:$EJ,CaractAmostra!AI106)</f>
        <v>0</v>
      </c>
      <c r="AK106" s="240">
        <f t="shared" si="64"/>
        <v>0</v>
      </c>
      <c r="CA106" s="126"/>
    </row>
    <row r="107" spans="1:79" s="144" customFormat="1" x14ac:dyDescent="0.2">
      <c r="A107" s="126"/>
      <c r="Q107" s="296" t="str">
        <f t="shared" si="59"/>
        <v>Acajutiba - BA</v>
      </c>
      <c r="R107" s="238">
        <f>COUNTIFS(Respostas_Formatadas!$C:$C,CaractAmostra!$V$7,Respostas_Formatadas!$EF:$EF,CaractAmostra!Q107)</f>
        <v>1</v>
      </c>
      <c r="S107" s="240">
        <f t="shared" si="60"/>
        <v>2.0833333333333332E-2</v>
      </c>
      <c r="Z107" s="296" t="str">
        <f t="shared" si="61"/>
        <v>Monte Alegre de Sergipe</v>
      </c>
      <c r="AA107" s="238">
        <f>COUNTIFS(Respostas_Formatadas!$C:$C,CaractAmostra!$Z$78,Respostas_Formatadas!$EH:$EH,CaractAmostra!Z107)</f>
        <v>0</v>
      </c>
      <c r="AB107" s="240">
        <f t="shared" si="62"/>
        <v>0</v>
      </c>
      <c r="AI107" s="296" t="str">
        <f t="shared" si="63"/>
        <v>Pinhão</v>
      </c>
      <c r="AJ107" s="238">
        <f>COUNTIFS(Respostas_Formatadas!$C:$C,CaractAmostra!$AI$91,Respostas_Formatadas!$EJ:$EJ,CaractAmostra!AI107)</f>
        <v>0</v>
      </c>
      <c r="AK107" s="240">
        <f t="shared" si="64"/>
        <v>0</v>
      </c>
      <c r="CA107" s="126"/>
    </row>
    <row r="108" spans="1:79" s="144" customFormat="1" x14ac:dyDescent="0.2">
      <c r="A108" s="126"/>
      <c r="Q108" s="296" t="str">
        <f t="shared" si="59"/>
        <v>Aquidabã</v>
      </c>
      <c r="R108" s="238">
        <f>COUNTIFS(Respostas_Formatadas!$C:$C,CaractAmostra!$V$7,Respostas_Formatadas!$EF:$EF,CaractAmostra!Q108)</f>
        <v>0</v>
      </c>
      <c r="S108" s="240">
        <f t="shared" si="60"/>
        <v>0</v>
      </c>
      <c r="Z108" s="296" t="str">
        <f t="shared" si="61"/>
        <v>Alagoinhas - BA</v>
      </c>
      <c r="AA108" s="238">
        <f>COUNTIFS(Respostas_Formatadas!$C:$C,CaractAmostra!$Z$78,Respostas_Formatadas!$EH:$EH,CaractAmostra!Z108)</f>
        <v>0</v>
      </c>
      <c r="AB108" s="240">
        <f t="shared" si="62"/>
        <v>0</v>
      </c>
      <c r="AI108" s="296" t="str">
        <f t="shared" si="63"/>
        <v>Nossa Senhora das Dores</v>
      </c>
      <c r="AJ108" s="238">
        <f>COUNTIFS(Respostas_Formatadas!$C:$C,CaractAmostra!$AI$91,Respostas_Formatadas!$EJ:$EJ,CaractAmostra!AI108)</f>
        <v>0</v>
      </c>
      <c r="AK108" s="240">
        <f t="shared" si="64"/>
        <v>0</v>
      </c>
      <c r="CA108" s="126"/>
    </row>
    <row r="109" spans="1:79" s="144" customFormat="1" x14ac:dyDescent="0.2">
      <c r="A109" s="126"/>
      <c r="Q109" s="296" t="str">
        <f t="shared" si="59"/>
        <v>Araci - BA</v>
      </c>
      <c r="R109" s="238">
        <f>COUNTIFS(Respostas_Formatadas!$C:$C,CaractAmostra!$V$7,Respostas_Formatadas!$EF:$EF,CaractAmostra!Q109)</f>
        <v>1</v>
      </c>
      <c r="S109" s="240">
        <f t="shared" si="60"/>
        <v>2.0833333333333332E-2</v>
      </c>
      <c r="Z109" s="296" t="str">
        <f t="shared" si="61"/>
        <v>Cristinápolis</v>
      </c>
      <c r="AA109" s="238">
        <f>COUNTIFS(Respostas_Formatadas!$C:$C,CaractAmostra!$Z$78,Respostas_Formatadas!$EH:$EH,CaractAmostra!Z109)</f>
        <v>0</v>
      </c>
      <c r="AB109" s="240">
        <f t="shared" si="62"/>
        <v>0</v>
      </c>
      <c r="AI109" s="296" t="str">
        <f t="shared" si="63"/>
        <v>Pedra Mole</v>
      </c>
      <c r="AJ109" s="238">
        <f>COUNTIFS(Respostas_Formatadas!$C:$C,CaractAmostra!$AI$91,Respostas_Formatadas!$EJ:$EJ,CaractAmostra!AI109)</f>
        <v>0</v>
      </c>
      <c r="AK109" s="240">
        <f t="shared" si="64"/>
        <v>0</v>
      </c>
      <c r="CA109" s="126"/>
    </row>
    <row r="110" spans="1:79" s="144" customFormat="1" x14ac:dyDescent="0.2">
      <c r="A110" s="126"/>
      <c r="Q110" s="296" t="str">
        <f t="shared" si="59"/>
        <v>Barbalha - CE</v>
      </c>
      <c r="R110" s="238">
        <f>COUNTIFS(Respostas_Formatadas!$C:$C,CaractAmostra!$V$7,Respostas_Formatadas!$EF:$EF,CaractAmostra!Q110)</f>
        <v>1</v>
      </c>
      <c r="S110" s="240">
        <f t="shared" si="60"/>
        <v>2.0833333333333332E-2</v>
      </c>
      <c r="Z110" s="296" t="str">
        <f t="shared" si="61"/>
        <v>Rio Real - BA</v>
      </c>
      <c r="AA110" s="238">
        <f>COUNTIFS(Respostas_Formatadas!$C:$C,CaractAmostra!$Z$78,Respostas_Formatadas!$EH:$EH,CaractAmostra!Z110)</f>
        <v>0</v>
      </c>
      <c r="AB110" s="240">
        <f t="shared" si="62"/>
        <v>0</v>
      </c>
      <c r="AI110" s="296" t="str">
        <f t="shared" si="63"/>
        <v>São Domingos</v>
      </c>
      <c r="AJ110" s="238">
        <f>COUNTIFS(Respostas_Formatadas!$C:$C,CaractAmostra!$AI$91,Respostas_Formatadas!$EJ:$EJ,CaractAmostra!AI110)</f>
        <v>0</v>
      </c>
      <c r="AK110" s="240">
        <f t="shared" si="64"/>
        <v>0</v>
      </c>
      <c r="CA110" s="126"/>
    </row>
    <row r="111" spans="1:79" s="144" customFormat="1" x14ac:dyDescent="0.2">
      <c r="A111" s="126"/>
      <c r="Q111" s="296" t="str">
        <f t="shared" si="59"/>
        <v>Campo do Brito</v>
      </c>
      <c r="R111" s="238">
        <f>COUNTIFS(Respostas_Formatadas!$C:$C,CaractAmostra!$V$7,Respostas_Formatadas!$EF:$EF,CaractAmostra!Q111)</f>
        <v>0</v>
      </c>
      <c r="S111" s="240">
        <f t="shared" si="60"/>
        <v>0</v>
      </c>
      <c r="Z111" s="296" t="str">
        <f t="shared" si="61"/>
        <v>Salvador - BA</v>
      </c>
      <c r="AA111" s="238">
        <f>COUNTIFS(Respostas_Formatadas!$C:$C,CaractAmostra!$Z$78,Respostas_Formatadas!$EH:$EH,CaractAmostra!Z111)</f>
        <v>0</v>
      </c>
      <c r="AB111" s="240">
        <f t="shared" si="62"/>
        <v>0</v>
      </c>
      <c r="AI111" s="296" t="str">
        <f t="shared" si="63"/>
        <v>Salgado</v>
      </c>
      <c r="AJ111" s="238">
        <f>COUNTIFS(Respostas_Formatadas!$C:$C,CaractAmostra!$AI$91,Respostas_Formatadas!$EJ:$EJ,CaractAmostra!AI111)</f>
        <v>0</v>
      </c>
      <c r="AK111" s="240">
        <f t="shared" si="64"/>
        <v>0</v>
      </c>
      <c r="CA111" s="126"/>
    </row>
    <row r="112" spans="1:79" s="144" customFormat="1" x14ac:dyDescent="0.2">
      <c r="A112" s="126"/>
      <c r="Q112" s="296" t="str">
        <f t="shared" ref="Q112:Q143" si="65">Q41</f>
        <v>Capela</v>
      </c>
      <c r="R112" s="238">
        <f>COUNTIFS(Respostas_Formatadas!$C:$C,CaractAmostra!$V$7,Respostas_Formatadas!$EF:$EF,CaractAmostra!Q112)</f>
        <v>0</v>
      </c>
      <c r="S112" s="240">
        <f t="shared" si="60"/>
        <v>0</v>
      </c>
      <c r="Z112" s="296" t="str">
        <f t="shared" si="61"/>
        <v>Belém - PA</v>
      </c>
      <c r="AA112" s="238">
        <f>COUNTIFS(Respostas_Formatadas!$C:$C,CaractAmostra!$Z$78,Respostas_Formatadas!$EH:$EH,CaractAmostra!Z112)</f>
        <v>0</v>
      </c>
      <c r="AB112" s="240">
        <f t="shared" si="62"/>
        <v>0</v>
      </c>
      <c r="AI112" s="296" t="str">
        <f t="shared" si="63"/>
        <v>Riachão do Dantas</v>
      </c>
      <c r="AJ112" s="238">
        <f>COUNTIFS(Respostas_Formatadas!$C:$C,CaractAmostra!$AI$91,Respostas_Formatadas!$EJ:$EJ,CaractAmostra!AI112)</f>
        <v>0</v>
      </c>
      <c r="AK112" s="240">
        <f t="shared" si="64"/>
        <v>0</v>
      </c>
      <c r="CA112" s="126"/>
    </row>
    <row r="113" spans="1:79" s="144" customFormat="1" x14ac:dyDescent="0.2">
      <c r="A113" s="126"/>
      <c r="Q113" s="296" t="str">
        <f t="shared" si="65"/>
        <v>Carira</v>
      </c>
      <c r="R113" s="238">
        <f>COUNTIFS(Respostas_Formatadas!$C:$C,CaractAmostra!$V$7,Respostas_Formatadas!$EF:$EF,CaractAmostra!Q113)</f>
        <v>0</v>
      </c>
      <c r="S113" s="240">
        <f t="shared" si="60"/>
        <v>0</v>
      </c>
      <c r="Z113" s="296" t="str">
        <f t="shared" si="61"/>
        <v>Irecê - BA</v>
      </c>
      <c r="AA113" s="238">
        <f>COUNTIFS(Respostas_Formatadas!$C:$C,CaractAmostra!$Z$78,Respostas_Formatadas!$EH:$EH,CaractAmostra!Z113)</f>
        <v>0</v>
      </c>
      <c r="AB113" s="240">
        <f t="shared" si="62"/>
        <v>0</v>
      </c>
      <c r="AI113" s="296" t="str">
        <f t="shared" si="63"/>
        <v>Campo do Brito</v>
      </c>
      <c r="AJ113" s="238">
        <f>COUNTIFS(Respostas_Formatadas!$C:$C,CaractAmostra!$AI$91,Respostas_Formatadas!$EJ:$EJ,CaractAmostra!AI113)</f>
        <v>0</v>
      </c>
      <c r="AK113" s="240">
        <f t="shared" si="64"/>
        <v>0</v>
      </c>
      <c r="CA113" s="126"/>
    </row>
    <row r="114" spans="1:79" s="144" customFormat="1" x14ac:dyDescent="0.2">
      <c r="A114" s="126"/>
      <c r="Q114" s="296" t="str">
        <f t="shared" si="65"/>
        <v>Cedro de São João</v>
      </c>
      <c r="R114" s="238">
        <f>COUNTIFS(Respostas_Formatadas!$C:$C,CaractAmostra!$V$7,Respostas_Formatadas!$EF:$EF,CaractAmostra!Q114)</f>
        <v>0</v>
      </c>
      <c r="S114" s="240">
        <f t="shared" si="60"/>
        <v>0</v>
      </c>
      <c r="Z114" s="296" t="str">
        <f t="shared" si="61"/>
        <v>Itaberaba - BA</v>
      </c>
      <c r="AA114" s="238">
        <f>COUNTIFS(Respostas_Formatadas!$C:$C,CaractAmostra!$Z$78,Respostas_Formatadas!$EH:$EH,CaractAmostra!Z114)</f>
        <v>0</v>
      </c>
      <c r="AB114" s="240">
        <f t="shared" si="62"/>
        <v>0</v>
      </c>
      <c r="AI114" s="296" t="str">
        <f t="shared" si="63"/>
        <v>Boquim</v>
      </c>
      <c r="AJ114" s="238">
        <f>COUNTIFS(Respostas_Formatadas!$C:$C,CaractAmostra!$AI$91,Respostas_Formatadas!$EJ:$EJ,CaractAmostra!AI114)</f>
        <v>0</v>
      </c>
      <c r="AK114" s="240">
        <f t="shared" si="64"/>
        <v>0</v>
      </c>
      <c r="CA114" s="126"/>
    </row>
    <row r="115" spans="1:79" s="144" customFormat="1" x14ac:dyDescent="0.2">
      <c r="A115" s="126"/>
      <c r="Q115" s="296" t="str">
        <f t="shared" si="65"/>
        <v>Entre Rios - BA</v>
      </c>
      <c r="R115" s="238">
        <f>COUNTIFS(Respostas_Formatadas!$C:$C,CaractAmostra!$V$7,Respostas_Formatadas!$EF:$EF,CaractAmostra!Q115)</f>
        <v>0</v>
      </c>
      <c r="S115" s="240">
        <f t="shared" si="60"/>
        <v>0</v>
      </c>
      <c r="Z115" s="296" t="str">
        <f t="shared" si="61"/>
        <v>Poço Redondo</v>
      </c>
      <c r="AA115" s="238">
        <f>COUNTIFS(Respostas_Formatadas!$C:$C,CaractAmostra!$Z$78,Respostas_Formatadas!$EH:$EH,CaractAmostra!Z115)</f>
        <v>0</v>
      </c>
      <c r="AB115" s="240">
        <f t="shared" si="62"/>
        <v>0</v>
      </c>
      <c r="AI115" s="296" t="str">
        <f t="shared" si="63"/>
        <v>Aquidabã</v>
      </c>
      <c r="AJ115" s="238">
        <f>COUNTIFS(Respostas_Formatadas!$C:$C,CaractAmostra!$AI$91,Respostas_Formatadas!$EJ:$EJ,CaractAmostra!AI115)</f>
        <v>0</v>
      </c>
      <c r="AK115" s="240">
        <f t="shared" si="64"/>
        <v>0</v>
      </c>
      <c r="CA115" s="126"/>
    </row>
    <row r="116" spans="1:79" s="144" customFormat="1" x14ac:dyDescent="0.2">
      <c r="A116" s="126"/>
      <c r="Q116" s="296" t="str">
        <f t="shared" si="65"/>
        <v>Feira de Santana - BA</v>
      </c>
      <c r="R116" s="238">
        <f>COUNTIFS(Respostas_Formatadas!$C:$C,CaractAmostra!$V$7,Respostas_Formatadas!$EF:$EF,CaractAmostra!Q116)</f>
        <v>0</v>
      </c>
      <c r="S116" s="240">
        <f t="shared" si="60"/>
        <v>0</v>
      </c>
      <c r="Z116" s="296" t="str">
        <f t="shared" si="61"/>
        <v>Acajutiba - BA</v>
      </c>
      <c r="AA116" s="238">
        <f>COUNTIFS(Respostas_Formatadas!$C:$C,CaractAmostra!$Z$78,Respostas_Formatadas!$EH:$EH,CaractAmostra!Z116)</f>
        <v>0</v>
      </c>
      <c r="AB116" s="240">
        <f t="shared" si="62"/>
        <v>0</v>
      </c>
      <c r="AI116" s="296" t="str">
        <f t="shared" si="63"/>
        <v>Itaporanga D'Ajuda</v>
      </c>
      <c r="AJ116" s="238">
        <f>COUNTIFS(Respostas_Formatadas!$C:$C,CaractAmostra!$AI$91,Respostas_Formatadas!$EJ:$EJ,CaractAmostra!AI116)</f>
        <v>0</v>
      </c>
      <c r="AK116" s="240">
        <f t="shared" si="64"/>
        <v>0</v>
      </c>
      <c r="CA116" s="126"/>
    </row>
    <row r="117" spans="1:79" s="144" customFormat="1" x14ac:dyDescent="0.2">
      <c r="A117" s="126"/>
      <c r="Q117" s="296" t="str">
        <f t="shared" si="65"/>
        <v>Floriano - PI</v>
      </c>
      <c r="R117" s="238">
        <f>COUNTIFS(Respostas_Formatadas!$C:$C,CaractAmostra!$V$7,Respostas_Formatadas!$EF:$EF,CaractAmostra!Q117)</f>
        <v>1</v>
      </c>
      <c r="S117" s="240">
        <f t="shared" si="60"/>
        <v>2.0833333333333332E-2</v>
      </c>
      <c r="Z117" s="296" t="str">
        <f t="shared" si="61"/>
        <v>Araci - BA</v>
      </c>
      <c r="AA117" s="238">
        <f>COUNTIFS(Respostas_Formatadas!$C:$C,CaractAmostra!$Z$78,Respostas_Formatadas!$EH:$EH,CaractAmostra!Z117)</f>
        <v>0</v>
      </c>
      <c r="AB117" s="240">
        <f t="shared" si="62"/>
        <v>0</v>
      </c>
      <c r="AI117" s="296" t="str">
        <f t="shared" si="63"/>
        <v>Monte Alegre de Sergipe</v>
      </c>
      <c r="AJ117" s="238">
        <f>COUNTIFS(Respostas_Formatadas!$C:$C,CaractAmostra!$AI$91,Respostas_Formatadas!$EJ:$EJ,CaractAmostra!AI117)</f>
        <v>0</v>
      </c>
      <c r="AK117" s="240">
        <f t="shared" si="64"/>
        <v>0</v>
      </c>
      <c r="CA117" s="126"/>
    </row>
    <row r="118" spans="1:79" s="144" customFormat="1" x14ac:dyDescent="0.2">
      <c r="A118" s="126"/>
      <c r="Q118" s="296" t="str">
        <f t="shared" si="65"/>
        <v>Graccho Cardoso</v>
      </c>
      <c r="R118" s="238">
        <f>COUNTIFS(Respostas_Formatadas!$C:$C,CaractAmostra!$V$7,Respostas_Formatadas!$EF:$EF,CaractAmostra!Q118)</f>
        <v>0</v>
      </c>
      <c r="S118" s="240">
        <f t="shared" si="60"/>
        <v>0</v>
      </c>
      <c r="Z118" s="296" t="str">
        <f t="shared" si="61"/>
        <v>Barbalha - CE</v>
      </c>
      <c r="AA118" s="238">
        <f>COUNTIFS(Respostas_Formatadas!$C:$C,CaractAmostra!$Z$78,Respostas_Formatadas!$EH:$EH,CaractAmostra!Z118)</f>
        <v>0</v>
      </c>
      <c r="AB118" s="240">
        <f t="shared" si="62"/>
        <v>0</v>
      </c>
      <c r="AI118" s="296" t="str">
        <f t="shared" si="63"/>
        <v>Alagoinhas - BA</v>
      </c>
      <c r="AJ118" s="238">
        <f>COUNTIFS(Respostas_Formatadas!$C:$C,CaractAmostra!$AI$91,Respostas_Formatadas!$EJ:$EJ,CaractAmostra!AI118)</f>
        <v>0</v>
      </c>
      <c r="AK118" s="240">
        <f t="shared" si="64"/>
        <v>0</v>
      </c>
      <c r="CA118" s="126"/>
    </row>
    <row r="119" spans="1:79" s="144" customFormat="1" x14ac:dyDescent="0.2">
      <c r="A119" s="126"/>
      <c r="Q119" s="296" t="str">
        <f t="shared" si="65"/>
        <v>Indiaroba</v>
      </c>
      <c r="R119" s="238">
        <f>COUNTIFS(Respostas_Formatadas!$C:$C,CaractAmostra!$V$7,Respostas_Formatadas!$EF:$EF,CaractAmostra!Q119)</f>
        <v>0</v>
      </c>
      <c r="S119" s="240">
        <f t="shared" si="60"/>
        <v>0</v>
      </c>
      <c r="Z119" s="296" t="str">
        <f t="shared" si="61"/>
        <v>Capela</v>
      </c>
      <c r="AA119" s="238">
        <f>COUNTIFS(Respostas_Formatadas!$C:$C,CaractAmostra!$Z$78,Respostas_Formatadas!$EH:$EH,CaractAmostra!Z119)</f>
        <v>0</v>
      </c>
      <c r="AB119" s="240">
        <f t="shared" si="62"/>
        <v>0</v>
      </c>
      <c r="AI119" s="296" t="str">
        <f t="shared" si="63"/>
        <v>Irecê - BA</v>
      </c>
      <c r="AJ119" s="238">
        <f>COUNTIFS(Respostas_Formatadas!$C:$C,CaractAmostra!$AI$91,Respostas_Formatadas!$EJ:$EJ,CaractAmostra!AI119)</f>
        <v>0</v>
      </c>
      <c r="AK119" s="240">
        <f t="shared" si="64"/>
        <v>0</v>
      </c>
      <c r="CA119" s="126"/>
    </row>
    <row r="120" spans="1:79" s="144" customFormat="1" x14ac:dyDescent="0.2">
      <c r="A120" s="126"/>
      <c r="Q120" s="296" t="str">
        <f t="shared" si="65"/>
        <v>Itabaianinha</v>
      </c>
      <c r="R120" s="238">
        <f>COUNTIFS(Respostas_Formatadas!$C:$C,CaractAmostra!$V$7,Respostas_Formatadas!$EF:$EF,CaractAmostra!Q120)</f>
        <v>0</v>
      </c>
      <c r="S120" s="240">
        <f t="shared" si="60"/>
        <v>0</v>
      </c>
      <c r="Z120" s="296" t="str">
        <f t="shared" si="61"/>
        <v>Carira</v>
      </c>
      <c r="AA120" s="238">
        <f>COUNTIFS(Respostas_Formatadas!$C:$C,CaractAmostra!$Z$78,Respostas_Formatadas!$EH:$EH,CaractAmostra!Z120)</f>
        <v>0</v>
      </c>
      <c r="AB120" s="240">
        <f t="shared" si="62"/>
        <v>0</v>
      </c>
      <c r="AI120" s="296" t="str">
        <f t="shared" si="63"/>
        <v>Poço Redondo</v>
      </c>
      <c r="AJ120" s="238">
        <f>COUNTIFS(Respostas_Formatadas!$C:$C,CaractAmostra!$AI$91,Respostas_Formatadas!$EJ:$EJ,CaractAmostra!AI120)</f>
        <v>0</v>
      </c>
      <c r="AK120" s="240">
        <f t="shared" si="64"/>
        <v>0</v>
      </c>
      <c r="CA120" s="126"/>
    </row>
    <row r="121" spans="1:79" s="144" customFormat="1" x14ac:dyDescent="0.2">
      <c r="A121" s="126"/>
      <c r="Q121" s="296" t="str">
        <f t="shared" si="65"/>
        <v>Itaporanga D'Ajuda</v>
      </c>
      <c r="R121" s="238">
        <f>COUNTIFS(Respostas_Formatadas!$C:$C,CaractAmostra!$V$7,Respostas_Formatadas!$EF:$EF,CaractAmostra!Q121)</f>
        <v>0</v>
      </c>
      <c r="S121" s="240">
        <f t="shared" si="60"/>
        <v>0</v>
      </c>
      <c r="Z121" s="296" t="str">
        <f t="shared" si="61"/>
        <v>Cedro de São João</v>
      </c>
      <c r="AA121" s="238">
        <f>COUNTIFS(Respostas_Formatadas!$C:$C,CaractAmostra!$Z$78,Respostas_Formatadas!$EH:$EH,CaractAmostra!Z121)</f>
        <v>0</v>
      </c>
      <c r="AB121" s="240">
        <f t="shared" si="62"/>
        <v>0</v>
      </c>
      <c r="AI121" s="296" t="str">
        <f t="shared" si="63"/>
        <v>Araci - BA</v>
      </c>
      <c r="AJ121" s="238">
        <f>COUNTIFS(Respostas_Formatadas!$C:$C,CaractAmostra!$AI$91,Respostas_Formatadas!$EJ:$EJ,CaractAmostra!AI121)</f>
        <v>1</v>
      </c>
      <c r="AK121" s="240">
        <f t="shared" si="64"/>
        <v>2.0833333333333332E-2</v>
      </c>
      <c r="CA121" s="126"/>
    </row>
    <row r="122" spans="1:79" s="144" customFormat="1" x14ac:dyDescent="0.2">
      <c r="A122" s="126"/>
      <c r="Q122" s="296" t="str">
        <f t="shared" si="65"/>
        <v>Jandaira - BA</v>
      </c>
      <c r="R122" s="238">
        <f>COUNTIFS(Respostas_Formatadas!$C:$C,CaractAmostra!$V$7,Respostas_Formatadas!$EF:$EF,CaractAmostra!Q122)</f>
        <v>0</v>
      </c>
      <c r="S122" s="240">
        <f t="shared" si="60"/>
        <v>0</v>
      </c>
      <c r="Z122" s="296" t="str">
        <f t="shared" si="61"/>
        <v>Entre Rios - BA</v>
      </c>
      <c r="AA122" s="238">
        <f>COUNTIFS(Respostas_Formatadas!$C:$C,CaractAmostra!$Z$78,Respostas_Formatadas!$EH:$EH,CaractAmostra!Z122)</f>
        <v>0</v>
      </c>
      <c r="AB122" s="240">
        <f t="shared" si="62"/>
        <v>0</v>
      </c>
      <c r="AI122" s="296" t="str">
        <f t="shared" si="63"/>
        <v>Feira de Santana - BA</v>
      </c>
      <c r="AJ122" s="238">
        <f>COUNTIFS(Respostas_Formatadas!$C:$C,CaractAmostra!$AI$91,Respostas_Formatadas!$EJ:$EJ,CaractAmostra!AI122)</f>
        <v>0</v>
      </c>
      <c r="AK122" s="240">
        <f t="shared" si="64"/>
        <v>0</v>
      </c>
      <c r="CA122" s="126"/>
    </row>
    <row r="123" spans="1:79" s="144" customFormat="1" x14ac:dyDescent="0.2">
      <c r="A123" s="126"/>
      <c r="Q123" s="296" t="str">
        <f t="shared" si="65"/>
        <v>Jeremoabo - BA</v>
      </c>
      <c r="R123" s="238">
        <f>COUNTIFS(Respostas_Formatadas!$C:$C,CaractAmostra!$V$7,Respostas_Formatadas!$EF:$EF,CaractAmostra!Q123)</f>
        <v>1</v>
      </c>
      <c r="S123" s="240">
        <f t="shared" si="60"/>
        <v>2.0833333333333332E-2</v>
      </c>
      <c r="Z123" s="296" t="str">
        <f t="shared" si="61"/>
        <v>Feira de Santana - BA</v>
      </c>
      <c r="AA123" s="238">
        <f>COUNTIFS(Respostas_Formatadas!$C:$C,CaractAmostra!$Z$78,Respostas_Formatadas!$EH:$EH,CaractAmostra!Z123)</f>
        <v>0</v>
      </c>
      <c r="AB123" s="240">
        <f t="shared" si="62"/>
        <v>0</v>
      </c>
      <c r="AI123" s="296" t="str">
        <f t="shared" si="63"/>
        <v>Floriano - PI</v>
      </c>
      <c r="AJ123" s="238">
        <f>COUNTIFS(Respostas_Formatadas!$C:$C,CaractAmostra!$AI$91,Respostas_Formatadas!$EJ:$EJ,CaractAmostra!AI123)</f>
        <v>1</v>
      </c>
      <c r="AK123" s="240">
        <f t="shared" si="64"/>
        <v>2.0833333333333332E-2</v>
      </c>
      <c r="CA123" s="126"/>
    </row>
    <row r="124" spans="1:79" s="144" customFormat="1" x14ac:dyDescent="0.2">
      <c r="A124" s="126"/>
      <c r="Q124" s="296" t="str">
        <f t="shared" si="65"/>
        <v>Laranjeiras</v>
      </c>
      <c r="R124" s="238">
        <f>COUNTIFS(Respostas_Formatadas!$C:$C,CaractAmostra!$V$7,Respostas_Formatadas!$EF:$EF,CaractAmostra!Q124)</f>
        <v>0</v>
      </c>
      <c r="S124" s="240">
        <f t="shared" si="60"/>
        <v>0</v>
      </c>
      <c r="Z124" s="296" t="str">
        <f t="shared" si="61"/>
        <v>Floriano - PI</v>
      </c>
      <c r="AA124" s="238">
        <f>COUNTIFS(Respostas_Formatadas!$C:$C,CaractAmostra!$Z$78,Respostas_Formatadas!$EH:$EH,CaractAmostra!Z124)</f>
        <v>0</v>
      </c>
      <c r="AB124" s="240">
        <f t="shared" si="62"/>
        <v>0</v>
      </c>
      <c r="AI124" s="296" t="str">
        <f t="shared" si="63"/>
        <v>Ribeirópolis</v>
      </c>
      <c r="AJ124" s="238">
        <f>COUNTIFS(Respostas_Formatadas!$C:$C,CaractAmostra!$AI$91,Respostas_Formatadas!$EJ:$EJ,CaractAmostra!AI124)</f>
        <v>0</v>
      </c>
      <c r="AK124" s="240">
        <f t="shared" si="64"/>
        <v>0</v>
      </c>
      <c r="CA124" s="126"/>
    </row>
    <row r="125" spans="1:79" s="144" customFormat="1" x14ac:dyDescent="0.2">
      <c r="A125" s="126"/>
      <c r="Q125" s="296" t="str">
        <f t="shared" si="65"/>
        <v>Moita Bonita</v>
      </c>
      <c r="R125" s="238">
        <f>COUNTIFS(Respostas_Formatadas!$C:$C,CaractAmostra!$V$7,Respostas_Formatadas!$EF:$EF,CaractAmostra!Q125)</f>
        <v>0</v>
      </c>
      <c r="S125" s="240">
        <f t="shared" si="60"/>
        <v>0</v>
      </c>
      <c r="Z125" s="296" t="str">
        <f t="shared" si="61"/>
        <v>Indiaroba</v>
      </c>
      <c r="AA125" s="238">
        <f>COUNTIFS(Respostas_Formatadas!$C:$C,CaractAmostra!$Z$78,Respostas_Formatadas!$EH:$EH,CaractAmostra!Z125)</f>
        <v>0</v>
      </c>
      <c r="AB125" s="240">
        <f t="shared" si="62"/>
        <v>0</v>
      </c>
      <c r="AI125" s="296" t="str">
        <f t="shared" si="63"/>
        <v>Vitória da Conquista - BA</v>
      </c>
      <c r="AJ125" s="238">
        <f>COUNTIFS(Respostas_Formatadas!$C:$C,CaractAmostra!$AI$91,Respostas_Formatadas!$EJ:$EJ,CaractAmostra!AI125)</f>
        <v>1</v>
      </c>
      <c r="AK125" s="240">
        <f t="shared" si="64"/>
        <v>2.0833333333333332E-2</v>
      </c>
      <c r="CA125" s="126"/>
    </row>
    <row r="126" spans="1:79" s="144" customFormat="1" x14ac:dyDescent="0.2">
      <c r="A126" s="126"/>
      <c r="Q126" s="296" t="str">
        <f t="shared" si="65"/>
        <v>Pacatuba</v>
      </c>
      <c r="R126" s="238">
        <f>COUNTIFS(Respostas_Formatadas!$C:$C,CaractAmostra!$V$7,Respostas_Formatadas!$EF:$EF,CaractAmostra!Q126)</f>
        <v>0</v>
      </c>
      <c r="S126" s="240">
        <f t="shared" si="60"/>
        <v>0</v>
      </c>
      <c r="Z126" s="296" t="str">
        <f t="shared" si="61"/>
        <v>Itabaianinha</v>
      </c>
      <c r="AA126" s="238">
        <f>COUNTIFS(Respostas_Formatadas!$C:$C,CaractAmostra!$Z$78,Respostas_Formatadas!$EH:$EH,CaractAmostra!Z126)</f>
        <v>0</v>
      </c>
      <c r="AB126" s="240">
        <f t="shared" si="62"/>
        <v>0</v>
      </c>
      <c r="AI126" s="296" t="str">
        <f t="shared" si="63"/>
        <v>Frei Paulo</v>
      </c>
      <c r="AJ126" s="238">
        <f>COUNTIFS(Respostas_Formatadas!$C:$C,CaractAmostra!$AI$91,Respostas_Formatadas!$EJ:$EJ,CaractAmostra!AI126)</f>
        <v>0</v>
      </c>
      <c r="AK126" s="240">
        <f t="shared" si="64"/>
        <v>0</v>
      </c>
      <c r="CA126" s="126"/>
    </row>
    <row r="127" spans="1:79" s="144" customFormat="1" x14ac:dyDescent="0.2">
      <c r="A127" s="126"/>
      <c r="Q127" s="296" t="str">
        <f t="shared" si="65"/>
        <v>Paripiranga - BA</v>
      </c>
      <c r="R127" s="238">
        <f>COUNTIFS(Respostas_Formatadas!$C:$C,CaractAmostra!$V$7,Respostas_Formatadas!$EF:$EF,CaractAmostra!Q127)</f>
        <v>0</v>
      </c>
      <c r="S127" s="240">
        <f t="shared" si="60"/>
        <v>0</v>
      </c>
      <c r="Z127" s="296" t="str">
        <f t="shared" si="61"/>
        <v>Jandaira - BA</v>
      </c>
      <c r="AA127" s="238">
        <f>COUNTIFS(Respostas_Formatadas!$C:$C,CaractAmostra!$Z$78,Respostas_Formatadas!$EH:$EH,CaractAmostra!Z127)</f>
        <v>0</v>
      </c>
      <c r="AB127" s="240">
        <f t="shared" si="62"/>
        <v>0</v>
      </c>
      <c r="AI127" s="296" t="str">
        <f t="shared" si="63"/>
        <v>Balneário Camboriú - SC</v>
      </c>
      <c r="AJ127" s="238">
        <f>COUNTIFS(Respostas_Formatadas!$C:$C,CaractAmostra!$AI$91,Respostas_Formatadas!$EJ:$EJ,CaractAmostra!AI127)</f>
        <v>0</v>
      </c>
      <c r="AK127" s="240">
        <f t="shared" si="64"/>
        <v>0</v>
      </c>
      <c r="CA127" s="126"/>
    </row>
    <row r="128" spans="1:79" s="144" customFormat="1" x14ac:dyDescent="0.2">
      <c r="A128" s="126"/>
      <c r="Q128" s="296" t="str">
        <f t="shared" si="65"/>
        <v>Paulo Afonso - BA</v>
      </c>
      <c r="R128" s="238">
        <f>COUNTIFS(Respostas_Formatadas!$C:$C,CaractAmostra!$V$7,Respostas_Formatadas!$EF:$EF,CaractAmostra!Q128)</f>
        <v>1</v>
      </c>
      <c r="S128" s="240">
        <f t="shared" si="60"/>
        <v>2.0833333333333332E-2</v>
      </c>
      <c r="Z128" s="296" t="str">
        <f t="shared" si="61"/>
        <v>Jeremoabo - BA</v>
      </c>
      <c r="AA128" s="238">
        <f>COUNTIFS(Respostas_Formatadas!$C:$C,CaractAmostra!$Z$78,Respostas_Formatadas!$EH:$EH,CaractAmostra!Z128)</f>
        <v>0</v>
      </c>
      <c r="AB128" s="240">
        <f t="shared" si="62"/>
        <v>0</v>
      </c>
      <c r="AI128" s="296" t="str">
        <f t="shared" si="63"/>
        <v>Belo Horizonte - MG</v>
      </c>
      <c r="AJ128" s="238">
        <f>COUNTIFS(Respostas_Formatadas!$C:$C,CaractAmostra!$AI$91,Respostas_Formatadas!$EJ:$EJ,CaractAmostra!AI128)</f>
        <v>0</v>
      </c>
      <c r="AK128" s="240">
        <f t="shared" si="64"/>
        <v>0</v>
      </c>
      <c r="CA128" s="126"/>
    </row>
    <row r="129" spans="1:79" s="144" customFormat="1" x14ac:dyDescent="0.2">
      <c r="A129" s="126"/>
      <c r="Q129" s="296" t="str">
        <f t="shared" si="65"/>
        <v>Piranhas - AL</v>
      </c>
      <c r="R129" s="238">
        <f>COUNTIFS(Respostas_Formatadas!$C:$C,CaractAmostra!$V$7,Respostas_Formatadas!$EF:$EF,CaractAmostra!Q129)</f>
        <v>0</v>
      </c>
      <c r="S129" s="240">
        <f t="shared" si="60"/>
        <v>0</v>
      </c>
      <c r="Z129" s="296" t="str">
        <f t="shared" si="61"/>
        <v>Pacatuba</v>
      </c>
      <c r="AA129" s="238">
        <f>COUNTIFS(Respostas_Formatadas!$C:$C,CaractAmostra!$Z$78,Respostas_Formatadas!$EH:$EH,CaractAmostra!Z129)</f>
        <v>0</v>
      </c>
      <c r="AB129" s="240">
        <f t="shared" si="62"/>
        <v>0</v>
      </c>
      <c r="AI129" s="296" t="str">
        <f t="shared" si="63"/>
        <v xml:space="preserve">Teixeira de Freitas - BA </v>
      </c>
      <c r="AJ129" s="238">
        <f>COUNTIFS(Respostas_Formatadas!$C:$C,CaractAmostra!$AI$91,Respostas_Formatadas!$EJ:$EJ,CaractAmostra!AI129)</f>
        <v>0</v>
      </c>
      <c r="AK129" s="240">
        <f t="shared" si="64"/>
        <v>0</v>
      </c>
      <c r="CA129" s="126"/>
    </row>
    <row r="130" spans="1:79" s="144" customFormat="1" x14ac:dyDescent="0.2">
      <c r="A130" s="126"/>
      <c r="Q130" s="296" t="str">
        <f t="shared" si="65"/>
        <v>Poço Verde</v>
      </c>
      <c r="R130" s="238">
        <f>COUNTIFS(Respostas_Formatadas!$C:$C,CaractAmostra!$V$7,Respostas_Formatadas!$EF:$EF,CaractAmostra!Q130)</f>
        <v>0</v>
      </c>
      <c r="S130" s="240">
        <f t="shared" si="60"/>
        <v>0</v>
      </c>
      <c r="Z130" s="296" t="str">
        <f t="shared" si="61"/>
        <v>Paripiranga - BA</v>
      </c>
      <c r="AA130" s="238">
        <f>COUNTIFS(Respostas_Formatadas!$C:$C,CaractAmostra!$Z$78,Respostas_Formatadas!$EH:$EH,CaractAmostra!Z130)</f>
        <v>0</v>
      </c>
      <c r="AB130" s="240">
        <f t="shared" si="62"/>
        <v>0</v>
      </c>
      <c r="AI130" s="296" t="str">
        <f t="shared" si="63"/>
        <v>João Pessoa - PB</v>
      </c>
      <c r="AJ130" s="238">
        <f>COUNTIFS(Respostas_Formatadas!$C:$C,CaractAmostra!$AI$91,Respostas_Formatadas!$EJ:$EJ,CaractAmostra!AI130)</f>
        <v>0</v>
      </c>
      <c r="AK130" s="240">
        <f t="shared" si="64"/>
        <v>0</v>
      </c>
      <c r="CA130" s="126"/>
    </row>
    <row r="131" spans="1:79" s="144" customFormat="1" x14ac:dyDescent="0.2">
      <c r="A131" s="126"/>
      <c r="Q131" s="296" t="str">
        <f t="shared" si="65"/>
        <v>Porto da Folha</v>
      </c>
      <c r="R131" s="238">
        <f>COUNTIFS(Respostas_Formatadas!$C:$C,CaractAmostra!$V$7,Respostas_Formatadas!$EF:$EF,CaractAmostra!Q131)</f>
        <v>0</v>
      </c>
      <c r="S131" s="240">
        <f t="shared" si="60"/>
        <v>0</v>
      </c>
      <c r="Z131" s="296" t="str">
        <f t="shared" si="61"/>
        <v>Paulo Afonso - BA</v>
      </c>
      <c r="AA131" s="238">
        <f>COUNTIFS(Respostas_Formatadas!$C:$C,CaractAmostra!$Z$78,Respostas_Formatadas!$EH:$EH,CaractAmostra!Z131)</f>
        <v>0</v>
      </c>
      <c r="AB131" s="240">
        <f t="shared" si="62"/>
        <v>0</v>
      </c>
      <c r="AI131" s="296" t="str">
        <f t="shared" si="63"/>
        <v>Curitiba - PR</v>
      </c>
      <c r="AJ131" s="238">
        <f>COUNTIFS(Respostas_Formatadas!$C:$C,CaractAmostra!$AI$91,Respostas_Formatadas!$EJ:$EJ,CaractAmostra!AI131)</f>
        <v>0</v>
      </c>
      <c r="AK131" s="240">
        <f t="shared" si="64"/>
        <v>0</v>
      </c>
      <c r="CA131" s="126"/>
    </row>
    <row r="132" spans="1:79" s="144" customFormat="1" x14ac:dyDescent="0.2">
      <c r="A132" s="126"/>
      <c r="Q132" s="296" t="str">
        <f t="shared" si="65"/>
        <v>Recife - PE</v>
      </c>
      <c r="R132" s="238">
        <f>COUNTIFS(Respostas_Formatadas!$C:$C,CaractAmostra!$V$7,Respostas_Formatadas!$EF:$EF,CaractAmostra!Q132)</f>
        <v>1</v>
      </c>
      <c r="S132" s="240">
        <f t="shared" si="60"/>
        <v>2.0833333333333332E-2</v>
      </c>
      <c r="Z132" s="296" t="str">
        <f t="shared" si="61"/>
        <v>Piranhas - AL</v>
      </c>
      <c r="AA132" s="238">
        <f>COUNTIFS(Respostas_Formatadas!$C:$C,CaractAmostra!$Z$78,Respostas_Formatadas!$EH:$EH,CaractAmostra!Z132)</f>
        <v>0</v>
      </c>
      <c r="AB132" s="240">
        <f t="shared" si="62"/>
        <v>0</v>
      </c>
      <c r="AI132" s="296" t="str">
        <f t="shared" si="63"/>
        <v>Brasília - DF</v>
      </c>
      <c r="AJ132" s="238">
        <f>COUNTIFS(Respostas_Formatadas!$C:$C,CaractAmostra!$AI$91,Respostas_Formatadas!$EJ:$EJ,CaractAmostra!AI132)</f>
        <v>1</v>
      </c>
      <c r="AK132" s="240">
        <f t="shared" si="64"/>
        <v>2.0833333333333332E-2</v>
      </c>
      <c r="CA132" s="126"/>
    </row>
    <row r="133" spans="1:79" s="144" customFormat="1" x14ac:dyDescent="0.2">
      <c r="A133" s="126"/>
      <c r="Q133" s="296" t="str">
        <f t="shared" si="65"/>
        <v>Ribeirópolis</v>
      </c>
      <c r="R133" s="238">
        <f>COUNTIFS(Respostas_Formatadas!$C:$C,CaractAmostra!$V$7,Respostas_Formatadas!$EF:$EF,CaractAmostra!Q133)</f>
        <v>0</v>
      </c>
      <c r="S133" s="240">
        <f t="shared" si="60"/>
        <v>0</v>
      </c>
      <c r="Z133" s="296" t="str">
        <f t="shared" si="61"/>
        <v>Poço Verde</v>
      </c>
      <c r="AA133" s="238">
        <f>COUNTIFS(Respostas_Formatadas!$C:$C,CaractAmostra!$Z$78,Respostas_Formatadas!$EH:$EH,CaractAmostra!Z133)</f>
        <v>0</v>
      </c>
      <c r="AB133" s="240">
        <f t="shared" si="62"/>
        <v>0</v>
      </c>
      <c r="AI133" s="296" t="str">
        <f t="shared" si="63"/>
        <v>Blumenau - SC</v>
      </c>
      <c r="AJ133" s="238">
        <f>COUNTIFS(Respostas_Formatadas!$C:$C,CaractAmostra!$AI$91,Respostas_Formatadas!$EJ:$EJ,CaractAmostra!AI133)</f>
        <v>0</v>
      </c>
      <c r="AK133" s="240">
        <f t="shared" si="64"/>
        <v>0</v>
      </c>
      <c r="CA133" s="126"/>
    </row>
    <row r="134" spans="1:79" s="144" customFormat="1" x14ac:dyDescent="0.2">
      <c r="A134" s="126"/>
      <c r="Q134" s="296" t="str">
        <f t="shared" si="65"/>
        <v>Rosário do Catete</v>
      </c>
      <c r="R134" s="238">
        <f>COUNTIFS(Respostas_Formatadas!$C:$C,CaractAmostra!$V$7,Respostas_Formatadas!$EF:$EF,CaractAmostra!Q134)</f>
        <v>0</v>
      </c>
      <c r="S134" s="240">
        <f t="shared" si="60"/>
        <v>0</v>
      </c>
      <c r="Z134" s="296" t="str">
        <f t="shared" si="61"/>
        <v>Porto da Folha</v>
      </c>
      <c r="AA134" s="238">
        <f>COUNTIFS(Respostas_Formatadas!$C:$C,CaractAmostra!$Z$78,Respostas_Formatadas!$EH:$EH,CaractAmostra!Z134)</f>
        <v>0</v>
      </c>
      <c r="AB134" s="240">
        <f t="shared" si="62"/>
        <v>0</v>
      </c>
      <c r="AI134" s="296" t="str">
        <f t="shared" si="63"/>
        <v>Macapá - AP</v>
      </c>
      <c r="AJ134" s="238">
        <f>COUNTIFS(Respostas_Formatadas!$C:$C,CaractAmostra!$AI$91,Respostas_Formatadas!$EJ:$EJ,CaractAmostra!AI134)</f>
        <v>1</v>
      </c>
      <c r="AK134" s="240">
        <f t="shared" si="64"/>
        <v>2.0833333333333332E-2</v>
      </c>
      <c r="CA134" s="126"/>
    </row>
    <row r="135" spans="1:79" s="144" customFormat="1" x14ac:dyDescent="0.2">
      <c r="A135" s="126"/>
      <c r="Q135" s="296" t="str">
        <f t="shared" si="65"/>
        <v>Santo Amaro das Brotas</v>
      </c>
      <c r="R135" s="238">
        <f>COUNTIFS(Respostas_Formatadas!$C:$C,CaractAmostra!$V$7,Respostas_Formatadas!$EF:$EF,CaractAmostra!Q135)</f>
        <v>0</v>
      </c>
      <c r="S135" s="240">
        <f t="shared" si="60"/>
        <v>0</v>
      </c>
      <c r="Z135" s="296" t="str">
        <f t="shared" si="61"/>
        <v>Recife - PE</v>
      </c>
      <c r="AA135" s="238">
        <f>COUNTIFS(Respostas_Formatadas!$C:$C,CaractAmostra!$Z$78,Respostas_Formatadas!$EH:$EH,CaractAmostra!Z135)</f>
        <v>0</v>
      </c>
      <c r="AB135" s="240">
        <f t="shared" si="62"/>
        <v>0</v>
      </c>
      <c r="AI135" s="296" t="str">
        <f t="shared" si="63"/>
        <v>Niterói - RJ</v>
      </c>
      <c r="AJ135" s="238">
        <f>COUNTIFS(Respostas_Formatadas!$C:$C,CaractAmostra!$AI$91,Respostas_Formatadas!$EJ:$EJ,CaractAmostra!AI135)</f>
        <v>0</v>
      </c>
      <c r="AK135" s="240">
        <f t="shared" si="64"/>
        <v>0</v>
      </c>
      <c r="CA135" s="126"/>
    </row>
    <row r="136" spans="1:79" s="144" customFormat="1" x14ac:dyDescent="0.2">
      <c r="A136" s="126"/>
      <c r="Q136" s="296" t="str">
        <f t="shared" si="65"/>
        <v>Santos - SP</v>
      </c>
      <c r="R136" s="238">
        <f>COUNTIFS(Respostas_Formatadas!$C:$C,CaractAmostra!$V$7,Respostas_Formatadas!$EF:$EF,CaractAmostra!Q136)</f>
        <v>0</v>
      </c>
      <c r="S136" s="240">
        <f t="shared" si="60"/>
        <v>0</v>
      </c>
      <c r="Z136" s="296" t="str">
        <f t="shared" si="61"/>
        <v>Ribeirópolis</v>
      </c>
      <c r="AA136" s="238">
        <f>COUNTIFS(Respostas_Formatadas!$C:$C,CaractAmostra!$Z$78,Respostas_Formatadas!$EH:$EH,CaractAmostra!Z136)</f>
        <v>0</v>
      </c>
      <c r="AB136" s="240">
        <f t="shared" si="62"/>
        <v>0</v>
      </c>
      <c r="AI136" s="296" t="str">
        <f t="shared" si="63"/>
        <v>Palmas - TO</v>
      </c>
      <c r="AJ136" s="238">
        <f>COUNTIFS(Respostas_Formatadas!$C:$C,CaractAmostra!$AI$91,Respostas_Formatadas!$EJ:$EJ,CaractAmostra!AI136)</f>
        <v>0</v>
      </c>
      <c r="AK136" s="240">
        <f t="shared" si="64"/>
        <v>0</v>
      </c>
      <c r="CA136" s="126"/>
    </row>
    <row r="137" spans="1:79" s="144" customFormat="1" x14ac:dyDescent="0.2">
      <c r="A137" s="126"/>
      <c r="Q137" s="296" t="str">
        <f t="shared" si="65"/>
        <v>São Gonçalo - RJ</v>
      </c>
      <c r="R137" s="238">
        <f>COUNTIFS(Respostas_Formatadas!$C:$C,CaractAmostra!$V$7,Respostas_Formatadas!$EF:$EF,CaractAmostra!Q137)</f>
        <v>0</v>
      </c>
      <c r="S137" s="240">
        <f t="shared" si="60"/>
        <v>0</v>
      </c>
      <c r="Z137" s="296" t="str">
        <f t="shared" si="61"/>
        <v>Santos - SP</v>
      </c>
      <c r="AA137" s="238">
        <f>COUNTIFS(Respostas_Formatadas!$C:$C,CaractAmostra!$Z$78,Respostas_Formatadas!$EH:$EH,CaractAmostra!Z137)</f>
        <v>0</v>
      </c>
      <c r="AB137" s="240">
        <f t="shared" si="62"/>
        <v>0</v>
      </c>
      <c r="AI137" s="296" t="str">
        <f t="shared" si="63"/>
        <v>Penedo - AL</v>
      </c>
      <c r="AJ137" s="238">
        <f>COUNTIFS(Respostas_Formatadas!$C:$C,CaractAmostra!$AI$91,Respostas_Formatadas!$EJ:$EJ,CaractAmostra!AI137)</f>
        <v>0</v>
      </c>
      <c r="AK137" s="240">
        <f t="shared" si="64"/>
        <v>0</v>
      </c>
      <c r="CA137" s="126"/>
    </row>
    <row r="138" spans="1:79" s="144" customFormat="1" x14ac:dyDescent="0.2">
      <c r="A138" s="126"/>
      <c r="Q138" s="296" t="str">
        <f t="shared" si="65"/>
        <v>Teixeira de Freitas - BA</v>
      </c>
      <c r="R138" s="238">
        <f>COUNTIFS(Respostas_Formatadas!$C:$C,CaractAmostra!$V$7,Respostas_Formatadas!$EF:$EF,CaractAmostra!Q138)</f>
        <v>1</v>
      </c>
      <c r="S138" s="240">
        <f t="shared" si="60"/>
        <v>2.0833333333333332E-2</v>
      </c>
      <c r="Z138" s="296" t="str">
        <f t="shared" si="61"/>
        <v>São Gonçalo - RJ</v>
      </c>
      <c r="AA138" s="238">
        <f>COUNTIFS(Respostas_Formatadas!$C:$C,CaractAmostra!$Z$78,Respostas_Formatadas!$EH:$EH,CaractAmostra!Z138)</f>
        <v>0</v>
      </c>
      <c r="AB138" s="240">
        <f t="shared" si="62"/>
        <v>0</v>
      </c>
      <c r="AI138" s="296" t="str">
        <f t="shared" si="63"/>
        <v>Barra do Rio Grande - BA</v>
      </c>
      <c r="AJ138" s="238">
        <f>COUNTIFS(Respostas_Formatadas!$C:$C,CaractAmostra!$AI$91,Respostas_Formatadas!$EJ:$EJ,CaractAmostra!AI138)</f>
        <v>0</v>
      </c>
      <c r="AK138" s="240">
        <f t="shared" si="64"/>
        <v>0</v>
      </c>
      <c r="CA138" s="126"/>
    </row>
    <row r="139" spans="1:79" s="144" customFormat="1" x14ac:dyDescent="0.2">
      <c r="A139" s="126"/>
      <c r="Q139" s="296" t="str">
        <f t="shared" si="65"/>
        <v>Verdejante - PE</v>
      </c>
      <c r="R139" s="238">
        <f>COUNTIFS(Respostas_Formatadas!$C:$C,CaractAmostra!$V$7,Respostas_Formatadas!$EF:$EF,CaractAmostra!Q139)</f>
        <v>1</v>
      </c>
      <c r="S139" s="240">
        <f t="shared" si="60"/>
        <v>2.0833333333333332E-2</v>
      </c>
      <c r="Z139" s="296" t="str">
        <f t="shared" si="61"/>
        <v>Teixeira de Freitas - BA</v>
      </c>
      <c r="AA139" s="238">
        <f>COUNTIFS(Respostas_Formatadas!$C:$C,CaractAmostra!$Z$78,Respostas_Formatadas!$EH:$EH,CaractAmostra!Z139)</f>
        <v>0</v>
      </c>
      <c r="AB139" s="240">
        <f t="shared" si="62"/>
        <v>0</v>
      </c>
      <c r="AI139" s="296" t="str">
        <f t="shared" si="63"/>
        <v>Umbaúba</v>
      </c>
      <c r="AJ139" s="238">
        <f>COUNTIFS(Respostas_Formatadas!$C:$C,CaractAmostra!$AI$91,Respostas_Formatadas!$EJ:$EJ,CaractAmostra!AI139)</f>
        <v>1</v>
      </c>
      <c r="AK139" s="240">
        <f t="shared" si="64"/>
        <v>2.0833333333333332E-2</v>
      </c>
      <c r="CA139" s="126"/>
    </row>
    <row r="140" spans="1:79" s="144" customFormat="1" x14ac:dyDescent="0.2">
      <c r="A140" s="126"/>
      <c r="Q140" s="296" t="str">
        <f t="shared" si="65"/>
        <v>Vitória da Conquista - BA</v>
      </c>
      <c r="R140" s="238">
        <f>COUNTIFS(Respostas_Formatadas!$C:$C,CaractAmostra!$V$7,Respostas_Formatadas!$EF:$EF,CaractAmostra!Q140)</f>
        <v>1</v>
      </c>
      <c r="S140" s="240">
        <f t="shared" si="60"/>
        <v>2.0833333333333332E-2</v>
      </c>
      <c r="Z140" s="296" t="str">
        <f t="shared" si="61"/>
        <v>Verdejante - PE</v>
      </c>
      <c r="AA140" s="238">
        <f>COUNTIFS(Respostas_Formatadas!$C:$C,CaractAmostra!$Z$78,Respostas_Formatadas!$EH:$EH,CaractAmostra!Z140)</f>
        <v>0</v>
      </c>
      <c r="AB140" s="240">
        <f t="shared" si="62"/>
        <v>0</v>
      </c>
      <c r="AI140" s="296" t="str">
        <f t="shared" si="63"/>
        <v>Tobias Barreto</v>
      </c>
      <c r="AJ140" s="238">
        <f>COUNTIFS(Respostas_Formatadas!$C:$C,CaractAmostra!$AI$91,Respostas_Formatadas!$EJ:$EJ,CaractAmostra!AI140)</f>
        <v>0</v>
      </c>
      <c r="AK140" s="240">
        <f t="shared" si="64"/>
        <v>0</v>
      </c>
      <c r="CA140" s="126"/>
    </row>
    <row r="141" spans="1:79" s="144" customFormat="1" x14ac:dyDescent="0.2">
      <c r="A141" s="126"/>
      <c r="Q141" s="296" t="str">
        <f t="shared" si="65"/>
        <v>Monte Alegre de Sergipe</v>
      </c>
      <c r="R141" s="238">
        <f>COUNTIFS(Respostas_Formatadas!$C:$C,CaractAmostra!$V$7,Respostas_Formatadas!$EF:$EF,CaractAmostra!Q141)</f>
        <v>0</v>
      </c>
      <c r="S141" s="240">
        <f t="shared" si="60"/>
        <v>0</v>
      </c>
      <c r="Z141" s="296" t="str">
        <f t="shared" si="61"/>
        <v>Vitória da Conquista - BA</v>
      </c>
      <c r="AA141" s="238">
        <f>COUNTIFS(Respostas_Formatadas!$C:$C,CaractAmostra!$Z$78,Respostas_Formatadas!$EH:$EH,CaractAmostra!Z141)</f>
        <v>0</v>
      </c>
      <c r="AB141" s="240">
        <f t="shared" si="62"/>
        <v>0</v>
      </c>
      <c r="AI141" s="296" t="str">
        <f t="shared" si="63"/>
        <v>Graccho Cardoso</v>
      </c>
      <c r="AJ141" s="238">
        <f>COUNTIFS(Respostas_Formatadas!$C:$C,CaractAmostra!$AI$91,Respostas_Formatadas!$EJ:$EJ,CaractAmostra!AI141)</f>
        <v>0</v>
      </c>
      <c r="AK141" s="240">
        <f t="shared" si="64"/>
        <v>0</v>
      </c>
      <c r="CA141" s="126"/>
    </row>
    <row r="142" spans="1:79" s="144" customFormat="1" x14ac:dyDescent="0.2">
      <c r="A142" s="126"/>
      <c r="Q142" s="296" t="str">
        <f t="shared" si="65"/>
        <v>Frei Paulo</v>
      </c>
      <c r="R142" s="238">
        <f>COUNTIFS(Respostas_Formatadas!$C:$C,CaractAmostra!$V$7,Respostas_Formatadas!$EF:$EF,CaractAmostra!Q142)</f>
        <v>0</v>
      </c>
      <c r="S142" s="240">
        <f t="shared" si="60"/>
        <v>0</v>
      </c>
      <c r="Z142" s="296" t="str">
        <f t="shared" si="61"/>
        <v>Frei Paulo</v>
      </c>
      <c r="AA142" s="238">
        <f>COUNTIFS(Respostas_Formatadas!$C:$C,CaractAmostra!$Z$78,Respostas_Formatadas!$EH:$EH,CaractAmostra!Z142)</f>
        <v>0</v>
      </c>
      <c r="AB142" s="240">
        <f t="shared" si="62"/>
        <v>0</v>
      </c>
      <c r="AI142" s="296" t="str">
        <f t="shared" si="63"/>
        <v>Laranjeiras</v>
      </c>
      <c r="AJ142" s="238">
        <f>COUNTIFS(Respostas_Formatadas!$C:$C,CaractAmostra!$AI$91,Respostas_Formatadas!$EJ:$EJ,CaractAmostra!AI142)</f>
        <v>0</v>
      </c>
      <c r="AK142" s="240">
        <f t="shared" si="64"/>
        <v>0</v>
      </c>
      <c r="CA142" s="126"/>
    </row>
    <row r="143" spans="1:79" s="144" customFormat="1" x14ac:dyDescent="0.2">
      <c r="A143" s="126"/>
      <c r="Q143" s="296" t="str">
        <f t="shared" si="65"/>
        <v>Propriá</v>
      </c>
      <c r="R143" s="238">
        <f>COUNTIFS(Respostas_Formatadas!$C:$C,CaractAmostra!$V$7,Respostas_Formatadas!$EF:$EF,CaractAmostra!Q143)</f>
        <v>0</v>
      </c>
      <c r="S143" s="240">
        <f>R143/$R$144</f>
        <v>0</v>
      </c>
      <c r="Z143" s="296" t="str">
        <f t="shared" si="61"/>
        <v>Propriá</v>
      </c>
      <c r="AA143" s="238">
        <f>COUNTIFS(Respostas_Formatadas!$C:$C,CaractAmostra!$Z$78,Respostas_Formatadas!$EH:$EH,CaractAmostra!Z143)</f>
        <v>0</v>
      </c>
      <c r="AB143" s="240">
        <f t="shared" si="62"/>
        <v>0</v>
      </c>
      <c r="AI143" s="296" t="str">
        <f t="shared" si="63"/>
        <v>Moita Bonita</v>
      </c>
      <c r="AJ143" s="238">
        <f>COUNTIFS(Respostas_Formatadas!$C:$C,CaractAmostra!$AI$91,Respostas_Formatadas!$EJ:$EJ,CaractAmostra!AI143)</f>
        <v>0</v>
      </c>
      <c r="AK143" s="240">
        <f t="shared" si="64"/>
        <v>0</v>
      </c>
      <c r="CA143" s="126"/>
    </row>
    <row r="144" spans="1:79" s="144" customFormat="1" x14ac:dyDescent="0.2">
      <c r="A144" s="126"/>
      <c r="Q144" s="297" t="s">
        <v>621</v>
      </c>
      <c r="R144" s="241">
        <f>SUM(R80:R143)</f>
        <v>48</v>
      </c>
      <c r="S144" s="242">
        <f>SUM(S80:S143)</f>
        <v>1.0000000000000004</v>
      </c>
      <c r="Z144" s="297" t="s">
        <v>621</v>
      </c>
      <c r="AA144" s="241">
        <f>SUM(AA80:AA143)</f>
        <v>48</v>
      </c>
      <c r="AB144" s="242">
        <f>SUM(AB80:AB143)</f>
        <v>1</v>
      </c>
      <c r="AI144" s="296" t="str">
        <f t="shared" si="63"/>
        <v>Rosário do Catete</v>
      </c>
      <c r="AJ144" s="238">
        <f>COUNTIFS(Respostas_Formatadas!$C:$C,CaractAmostra!$AI$91,Respostas_Formatadas!$EJ:$EJ,CaractAmostra!AI144)</f>
        <v>0</v>
      </c>
      <c r="AK144" s="240">
        <f t="shared" si="64"/>
        <v>0</v>
      </c>
      <c r="CA144" s="126"/>
    </row>
    <row r="145" spans="1:79" s="144" customFormat="1" x14ac:dyDescent="0.2">
      <c r="A145" s="126"/>
      <c r="AI145" s="296" t="str">
        <f t="shared" si="63"/>
        <v>Santo Amaro das Brotas</v>
      </c>
      <c r="AJ145" s="238">
        <f>COUNTIFS(Respostas_Formatadas!$C:$C,CaractAmostra!$AI$91,Respostas_Formatadas!$EJ:$EJ,CaractAmostra!AI145)</f>
        <v>0</v>
      </c>
      <c r="AK145" s="240">
        <f t="shared" si="64"/>
        <v>0</v>
      </c>
      <c r="CA145" s="126"/>
    </row>
    <row r="146" spans="1:79" s="144" customFormat="1" x14ac:dyDescent="0.2">
      <c r="A146" s="126"/>
      <c r="AI146" s="296" t="str">
        <f t="shared" si="63"/>
        <v>Cristinápolis</v>
      </c>
      <c r="AJ146" s="238">
        <f>COUNTIFS(Respostas_Formatadas!$C:$C,CaractAmostra!$AI$91,Respostas_Formatadas!$EJ:$EJ,CaractAmostra!AI146)</f>
        <v>0</v>
      </c>
      <c r="AK146" s="240">
        <f t="shared" si="64"/>
        <v>0</v>
      </c>
      <c r="CA146" s="126"/>
    </row>
    <row r="147" spans="1:79" s="144" customFormat="1" x14ac:dyDescent="0.2">
      <c r="A147" s="126"/>
      <c r="AI147" s="296" t="str">
        <f t="shared" si="63"/>
        <v>Rio Real - BA</v>
      </c>
      <c r="AJ147" s="238">
        <f>COUNTIFS(Respostas_Formatadas!$C:$C,CaractAmostra!$AI$91,Respostas_Formatadas!$EJ:$EJ,CaractAmostra!AI147)</f>
        <v>0</v>
      </c>
      <c r="AK147" s="240">
        <f t="shared" si="64"/>
        <v>0</v>
      </c>
      <c r="CA147" s="126"/>
    </row>
    <row r="148" spans="1:79" s="144" customFormat="1" x14ac:dyDescent="0.2">
      <c r="A148" s="126"/>
      <c r="AI148" s="296" t="str">
        <f t="shared" si="63"/>
        <v>Itaberaba - BA</v>
      </c>
      <c r="AJ148" s="238">
        <f>COUNTIFS(Respostas_Formatadas!$C:$C,CaractAmostra!$AI$91,Respostas_Formatadas!$EJ:$EJ,CaractAmostra!AI148)</f>
        <v>0</v>
      </c>
      <c r="AK148" s="240">
        <f t="shared" si="64"/>
        <v>0</v>
      </c>
      <c r="CA148" s="126"/>
    </row>
    <row r="149" spans="1:79" s="144" customFormat="1" x14ac:dyDescent="0.2">
      <c r="A149" s="126"/>
      <c r="AI149" s="296" t="str">
        <f t="shared" si="63"/>
        <v>Acajutiba - BA</v>
      </c>
      <c r="AJ149" s="238">
        <f>COUNTIFS(Respostas_Formatadas!$C:$C,CaractAmostra!$AI$91,Respostas_Formatadas!$EJ:$EJ,CaractAmostra!AI149)</f>
        <v>0</v>
      </c>
      <c r="AK149" s="240">
        <f t="shared" si="64"/>
        <v>0</v>
      </c>
      <c r="CA149" s="126"/>
    </row>
    <row r="150" spans="1:79" s="144" customFormat="1" x14ac:dyDescent="0.2">
      <c r="A150" s="126"/>
      <c r="AI150" s="296" t="str">
        <f t="shared" si="63"/>
        <v>Barbalha - CE</v>
      </c>
      <c r="AJ150" s="238">
        <f>COUNTIFS(Respostas_Formatadas!$C:$C,CaractAmostra!$AI$91,Respostas_Formatadas!$EJ:$EJ,CaractAmostra!AI150)</f>
        <v>0</v>
      </c>
      <c r="AK150" s="240">
        <f t="shared" si="64"/>
        <v>0</v>
      </c>
      <c r="CA150" s="126"/>
    </row>
    <row r="151" spans="1:79" s="144" customFormat="1" x14ac:dyDescent="0.2">
      <c r="A151" s="126"/>
      <c r="AI151" s="296" t="str">
        <f t="shared" si="63"/>
        <v>Capela</v>
      </c>
      <c r="AJ151" s="238">
        <f>COUNTIFS(Respostas_Formatadas!$C:$C,CaractAmostra!$AI$91,Respostas_Formatadas!$EJ:$EJ,CaractAmostra!AI151)</f>
        <v>0</v>
      </c>
      <c r="AK151" s="240">
        <f t="shared" si="64"/>
        <v>0</v>
      </c>
      <c r="CA151" s="126"/>
    </row>
    <row r="152" spans="1:79" s="144" customFormat="1" x14ac:dyDescent="0.2">
      <c r="A152" s="126"/>
      <c r="AI152" s="296" t="str">
        <f t="shared" si="63"/>
        <v>Carira</v>
      </c>
      <c r="AJ152" s="238">
        <f>COUNTIFS(Respostas_Formatadas!$C:$C,CaractAmostra!$AI$91,Respostas_Formatadas!$EJ:$EJ,CaractAmostra!AI152)</f>
        <v>0</v>
      </c>
      <c r="AK152" s="240">
        <f t="shared" si="64"/>
        <v>0</v>
      </c>
      <c r="CA152" s="126"/>
    </row>
    <row r="153" spans="1:79" s="144" customFormat="1" x14ac:dyDescent="0.2">
      <c r="A153" s="126"/>
      <c r="AI153" s="296" t="str">
        <f t="shared" si="63"/>
        <v>Cedro de São João</v>
      </c>
      <c r="AJ153" s="238">
        <f>COUNTIFS(Respostas_Formatadas!$C:$C,CaractAmostra!$AI$91,Respostas_Formatadas!$EJ:$EJ,CaractAmostra!AI153)</f>
        <v>0</v>
      </c>
      <c r="AK153" s="240">
        <f t="shared" si="64"/>
        <v>0</v>
      </c>
      <c r="CA153" s="126"/>
    </row>
    <row r="154" spans="1:79" s="144" customFormat="1" x14ac:dyDescent="0.2">
      <c r="A154" s="126"/>
      <c r="AI154" s="296" t="str">
        <f t="shared" si="63"/>
        <v>Entre Rios - BA</v>
      </c>
      <c r="AJ154" s="238">
        <f>COUNTIFS(Respostas_Formatadas!$C:$C,CaractAmostra!$AI$91,Respostas_Formatadas!$EJ:$EJ,CaractAmostra!AI154)</f>
        <v>0</v>
      </c>
      <c r="AK154" s="240">
        <f t="shared" si="64"/>
        <v>0</v>
      </c>
      <c r="CA154" s="126"/>
    </row>
    <row r="155" spans="1:79" s="144" customFormat="1" x14ac:dyDescent="0.2">
      <c r="A155" s="126"/>
      <c r="AI155" s="296" t="str">
        <f t="shared" si="63"/>
        <v>Indiaroba</v>
      </c>
      <c r="AJ155" s="238">
        <f>COUNTIFS(Respostas_Formatadas!$C:$C,CaractAmostra!$AI$91,Respostas_Formatadas!$EJ:$EJ,CaractAmostra!AI155)</f>
        <v>0</v>
      </c>
      <c r="AK155" s="240">
        <f t="shared" si="64"/>
        <v>0</v>
      </c>
      <c r="CA155" s="126"/>
    </row>
    <row r="156" spans="1:79" s="144" customFormat="1" x14ac:dyDescent="0.2">
      <c r="A156" s="126"/>
      <c r="AI156" s="296" t="str">
        <f t="shared" si="63"/>
        <v>Itabaianinha</v>
      </c>
      <c r="AJ156" s="238">
        <f>COUNTIFS(Respostas_Formatadas!$C:$C,CaractAmostra!$AI$91,Respostas_Formatadas!$EJ:$EJ,CaractAmostra!AI156)</f>
        <v>0</v>
      </c>
      <c r="AK156" s="240">
        <f t="shared" si="64"/>
        <v>0</v>
      </c>
      <c r="CA156" s="126"/>
    </row>
    <row r="157" spans="1:79" s="144" customFormat="1" x14ac:dyDescent="0.2">
      <c r="A157" s="126"/>
      <c r="AI157" s="296" t="str">
        <f t="shared" si="63"/>
        <v>Jandaira - BA</v>
      </c>
      <c r="AJ157" s="238">
        <f>COUNTIFS(Respostas_Formatadas!$C:$C,CaractAmostra!$AI$91,Respostas_Formatadas!$EJ:$EJ,CaractAmostra!AI157)</f>
        <v>0</v>
      </c>
      <c r="AK157" s="240">
        <f t="shared" si="64"/>
        <v>0</v>
      </c>
      <c r="CA157" s="126"/>
    </row>
    <row r="158" spans="1:79" s="144" customFormat="1" x14ac:dyDescent="0.2">
      <c r="A158" s="126"/>
      <c r="AI158" s="296" t="str">
        <f t="shared" ref="AI158:AI169" si="66">AI74</f>
        <v>Jeremoabo - BA</v>
      </c>
      <c r="AJ158" s="238">
        <f>COUNTIFS(Respostas_Formatadas!$C:$C,CaractAmostra!$AI$91,Respostas_Formatadas!$EJ:$EJ,CaractAmostra!AI158)</f>
        <v>0</v>
      </c>
      <c r="AK158" s="240">
        <f t="shared" ref="AK158:AK169" si="67">IFERROR(AJ158/$AJ$170,"-")</f>
        <v>0</v>
      </c>
      <c r="CA158" s="126"/>
    </row>
    <row r="159" spans="1:79" s="144" customFormat="1" x14ac:dyDescent="0.2">
      <c r="A159" s="126"/>
      <c r="AI159" s="296" t="str">
        <f t="shared" si="66"/>
        <v>Pacatuba</v>
      </c>
      <c r="AJ159" s="238">
        <f>COUNTIFS(Respostas_Formatadas!$C:$C,CaractAmostra!$AI$91,Respostas_Formatadas!$EJ:$EJ,CaractAmostra!AI159)</f>
        <v>0</v>
      </c>
      <c r="AK159" s="240">
        <f t="shared" si="67"/>
        <v>0</v>
      </c>
      <c r="CA159" s="126"/>
    </row>
    <row r="160" spans="1:79" s="144" customFormat="1" x14ac:dyDescent="0.2">
      <c r="A160" s="126"/>
      <c r="AI160" s="296" t="str">
        <f t="shared" si="66"/>
        <v>Paripiranga - BA</v>
      </c>
      <c r="AJ160" s="238">
        <f>COUNTIFS(Respostas_Formatadas!$C:$C,CaractAmostra!$AI$91,Respostas_Formatadas!$EJ:$EJ,CaractAmostra!AI160)</f>
        <v>0</v>
      </c>
      <c r="AK160" s="240">
        <f t="shared" si="67"/>
        <v>0</v>
      </c>
      <c r="CA160" s="126"/>
    </row>
    <row r="161" spans="1:79" s="144" customFormat="1" x14ac:dyDescent="0.2">
      <c r="A161" s="126"/>
      <c r="AI161" s="296" t="str">
        <f t="shared" si="66"/>
        <v>Paulo Afonso - BA</v>
      </c>
      <c r="AJ161" s="238">
        <f>COUNTIFS(Respostas_Formatadas!$C:$C,CaractAmostra!$AI$91,Respostas_Formatadas!$EJ:$EJ,CaractAmostra!AI161)</f>
        <v>0</v>
      </c>
      <c r="AK161" s="240">
        <f t="shared" si="67"/>
        <v>0</v>
      </c>
      <c r="CA161" s="126"/>
    </row>
    <row r="162" spans="1:79" s="144" customFormat="1" x14ac:dyDescent="0.2">
      <c r="A162" s="126"/>
      <c r="AI162" s="296" t="str">
        <f t="shared" si="66"/>
        <v>Piranhas - AL</v>
      </c>
      <c r="AJ162" s="238">
        <f>COUNTIFS(Respostas_Formatadas!$C:$C,CaractAmostra!$AI$91,Respostas_Formatadas!$EJ:$EJ,CaractAmostra!AI162)</f>
        <v>0</v>
      </c>
      <c r="AK162" s="240">
        <f t="shared" si="67"/>
        <v>0</v>
      </c>
      <c r="CA162" s="126"/>
    </row>
    <row r="163" spans="1:79" s="144" customFormat="1" x14ac:dyDescent="0.2">
      <c r="A163" s="126"/>
      <c r="AI163" s="296" t="str">
        <f t="shared" si="66"/>
        <v>Poço Verde</v>
      </c>
      <c r="AJ163" s="238">
        <f>COUNTIFS(Respostas_Formatadas!$C:$C,CaractAmostra!$AI$91,Respostas_Formatadas!$EJ:$EJ,CaractAmostra!AI163)</f>
        <v>0</v>
      </c>
      <c r="AK163" s="240">
        <f t="shared" si="67"/>
        <v>0</v>
      </c>
      <c r="CA163" s="126"/>
    </row>
    <row r="164" spans="1:79" s="144" customFormat="1" x14ac:dyDescent="0.2">
      <c r="A164" s="126"/>
      <c r="AI164" s="296" t="str">
        <f t="shared" si="66"/>
        <v>Porto da Folha</v>
      </c>
      <c r="AJ164" s="238">
        <f>COUNTIFS(Respostas_Formatadas!$C:$C,CaractAmostra!$AI$91,Respostas_Formatadas!$EJ:$EJ,CaractAmostra!AI164)</f>
        <v>0</v>
      </c>
      <c r="AK164" s="240">
        <f t="shared" si="67"/>
        <v>0</v>
      </c>
      <c r="CA164" s="126"/>
    </row>
    <row r="165" spans="1:79" s="144" customFormat="1" x14ac:dyDescent="0.2">
      <c r="A165" s="126"/>
      <c r="AI165" s="296" t="str">
        <f t="shared" si="66"/>
        <v>Santos - SP</v>
      </c>
      <c r="AJ165" s="238">
        <f>COUNTIFS(Respostas_Formatadas!$C:$C,CaractAmostra!$AI$91,Respostas_Formatadas!$EJ:$EJ,CaractAmostra!AI165)</f>
        <v>0</v>
      </c>
      <c r="AK165" s="240">
        <f t="shared" si="67"/>
        <v>0</v>
      </c>
      <c r="CA165" s="126"/>
    </row>
    <row r="166" spans="1:79" s="144" customFormat="1" x14ac:dyDescent="0.2">
      <c r="A166" s="126"/>
      <c r="AI166" s="296" t="str">
        <f t="shared" si="66"/>
        <v>São Gonçalo - RJ</v>
      </c>
      <c r="AJ166" s="238">
        <f>COUNTIFS(Respostas_Formatadas!$C:$C,CaractAmostra!$AI$91,Respostas_Formatadas!$EJ:$EJ,CaractAmostra!AI166)</f>
        <v>0</v>
      </c>
      <c r="AK166" s="240">
        <f t="shared" si="67"/>
        <v>0</v>
      </c>
      <c r="CA166" s="126"/>
    </row>
    <row r="167" spans="1:79" s="144" customFormat="1" x14ac:dyDescent="0.2">
      <c r="A167" s="126"/>
      <c r="AI167" s="296" t="str">
        <f t="shared" si="66"/>
        <v>Teixeira de Freitas - BA</v>
      </c>
      <c r="AJ167" s="238">
        <f>COUNTIFS(Respostas_Formatadas!$C:$C,CaractAmostra!$AI$91,Respostas_Formatadas!$EJ:$EJ,CaractAmostra!AI167)</f>
        <v>0</v>
      </c>
      <c r="AK167" s="240">
        <f t="shared" si="67"/>
        <v>0</v>
      </c>
      <c r="CA167" s="126"/>
    </row>
    <row r="168" spans="1:79" s="144" customFormat="1" x14ac:dyDescent="0.2">
      <c r="A168" s="126"/>
      <c r="AI168" s="296" t="str">
        <f t="shared" si="66"/>
        <v>Verdejante - PE</v>
      </c>
      <c r="AJ168" s="238">
        <f>COUNTIFS(Respostas_Formatadas!$C:$C,CaractAmostra!$AI$91,Respostas_Formatadas!$EJ:$EJ,CaractAmostra!AI168)</f>
        <v>0</v>
      </c>
      <c r="AK168" s="240">
        <f t="shared" si="67"/>
        <v>0</v>
      </c>
      <c r="CA168" s="126"/>
    </row>
    <row r="169" spans="1:79" s="144" customFormat="1" x14ac:dyDescent="0.2">
      <c r="A169" s="126"/>
      <c r="AI169" s="296" t="str">
        <f t="shared" si="66"/>
        <v>Propriá</v>
      </c>
      <c r="AJ169" s="238">
        <f>COUNTIFS(Respostas_Formatadas!$C:$C,CaractAmostra!$AI$91,Respostas_Formatadas!$EJ:$EJ,CaractAmostra!AI169)</f>
        <v>0</v>
      </c>
      <c r="AK169" s="240">
        <f t="shared" si="67"/>
        <v>0</v>
      </c>
      <c r="CA169" s="126"/>
    </row>
    <row r="170" spans="1:79" s="144" customFormat="1" x14ac:dyDescent="0.2">
      <c r="A170" s="126"/>
      <c r="AI170" s="297" t="s">
        <v>621</v>
      </c>
      <c r="AJ170" s="241">
        <f>SUM(AJ93:AJ169)</f>
        <v>48</v>
      </c>
      <c r="AK170" s="242">
        <f>SUM(AK93:AK169)</f>
        <v>1</v>
      </c>
      <c r="CA170" s="126"/>
    </row>
    <row r="171" spans="1:79" s="144" customFormat="1" x14ac:dyDescent="0.2">
      <c r="A171" s="126"/>
      <c r="CA171" s="126"/>
    </row>
    <row r="172" spans="1:79" s="144" customFormat="1" x14ac:dyDescent="0.2">
      <c r="A172" s="126"/>
      <c r="CA172" s="126"/>
    </row>
    <row r="173" spans="1:79" s="144" customFormat="1" x14ac:dyDescent="0.2">
      <c r="A173" s="126"/>
      <c r="CA173" s="126"/>
    </row>
    <row r="174" spans="1:79" s="144" customFormat="1" x14ac:dyDescent="0.2">
      <c r="A174" s="126"/>
      <c r="CA174" s="126"/>
    </row>
    <row r="175" spans="1:79" s="144" customFormat="1" x14ac:dyDescent="0.2">
      <c r="A175" s="126"/>
      <c r="CA175" s="126"/>
    </row>
    <row r="176" spans="1:79" x14ac:dyDescent="0.2"/>
    <row r="177" x14ac:dyDescent="0.2"/>
    <row r="178" x14ac:dyDescent="0.2"/>
    <row r="179" x14ac:dyDescent="0.2"/>
  </sheetData>
  <sheetProtection algorithmName="SHA-512" hashValue="tqdEIyqGJtcFzaba5sBI8LScgJOUo5aMcyNjZJefYdBiewWCGB0rt7vHWJF3tK7ZzSQrfVdOekQs/unEtvSbyA==" saltValue="mcupHKCMXtoTP0TzIXZUvw==" spinCount="100000" sheet="1" objects="1" scenarios="1"/>
  <mergeCells count="2">
    <mergeCell ref="C9:C34"/>
    <mergeCell ref="C37:C38"/>
  </mergeCells>
  <dataValidations count="1">
    <dataValidation type="list" allowBlank="1" showInputMessage="1" showErrorMessage="1" sqref="E38 M27 BQ42 BV45 V7 AE7 AN7 AR23 AX23 BD23 BH23 BL23">
      <formula1>$E$9:$E$20</formula1>
    </dataValidation>
  </dataValidations>
  <pageMargins left="0.511811024" right="0.511811024" top="0.78740157499999996" bottom="0.78740157499999996" header="0.31496062000000002" footer="0.31496062000000002"/>
  <pageSetup orientation="portrait" r:id="rId1"/>
  <ignoredErrors>
    <ignoredError sqref="Q78 Z78 AI91" unlocked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N86"/>
  <sheetViews>
    <sheetView showGridLines="0" workbookViewId="0"/>
  </sheetViews>
  <sheetFormatPr defaultColWidth="0" defaultRowHeight="12.75" zeroHeight="1" x14ac:dyDescent="0.2"/>
  <cols>
    <col min="1" max="1" width="24.7109375" style="126" customWidth="1"/>
    <col min="2" max="2" width="11.42578125" style="135" customWidth="1"/>
    <col min="3" max="3" width="69.5703125" style="135" customWidth="1"/>
    <col min="4" max="4" width="7" style="135" customWidth="1"/>
    <col min="5" max="5" width="66.42578125" style="126" bestFit="1" customWidth="1"/>
    <col min="6" max="8" width="9.140625" style="126" customWidth="1"/>
    <col min="9" max="9" width="53.42578125" style="126" bestFit="1" customWidth="1"/>
    <col min="10" max="10" width="9.5703125" style="126" bestFit="1" customWidth="1"/>
    <col min="11" max="11" width="9.140625" style="126" customWidth="1"/>
    <col min="12" max="12" width="79.140625" style="126" customWidth="1"/>
    <col min="13" max="13" width="8.28515625" style="126" customWidth="1"/>
    <col min="14" max="14" width="52.85546875" style="126" bestFit="1" customWidth="1"/>
    <col min="15" max="15" width="14.85546875" style="126" customWidth="1"/>
    <col min="16" max="16" width="11.28515625" style="126" bestFit="1" customWidth="1"/>
    <col min="17" max="17" width="79.7109375" style="126" customWidth="1"/>
    <col min="18" max="18" width="7.42578125" style="126" customWidth="1"/>
    <col min="19" max="19" width="60.140625" style="126" customWidth="1"/>
    <col min="20" max="21" width="9.140625" style="126" customWidth="1"/>
    <col min="22" max="22" width="76.85546875" style="126" customWidth="1"/>
    <col min="23" max="23" width="7.5703125" style="126" customWidth="1"/>
    <col min="24" max="24" width="78.42578125" style="126" bestFit="1" customWidth="1"/>
    <col min="25" max="28" width="9.140625" style="126" customWidth="1"/>
    <col min="29" max="29" width="84.140625" style="126" bestFit="1" customWidth="1"/>
    <col min="30" max="34" width="9.140625" style="126" customWidth="1"/>
    <col min="35" max="35" width="62.85546875" style="126" bestFit="1" customWidth="1"/>
    <col min="36" max="37" width="9.140625" style="126" customWidth="1"/>
    <col min="38" max="38" width="10.28515625" style="126" customWidth="1"/>
    <col min="39" max="41" width="9.140625" style="126" customWidth="1"/>
    <col min="42" max="42" width="70.7109375" style="126" customWidth="1"/>
    <col min="43" max="46" width="9.140625" style="126" customWidth="1"/>
    <col min="47" max="47" width="70.7109375" style="126" customWidth="1"/>
    <col min="48" max="50" width="9.140625" style="126" customWidth="1"/>
    <col min="51" max="51" width="61.85546875" style="126" bestFit="1" customWidth="1"/>
    <col min="52" max="54" width="9.140625" style="126" customWidth="1"/>
    <col min="55" max="55" width="61.85546875" style="126" bestFit="1" customWidth="1"/>
    <col min="56" max="58" width="9.140625" style="126" customWidth="1"/>
    <col min="59" max="59" width="82.85546875" style="126" bestFit="1" customWidth="1"/>
    <col min="60" max="60" width="15.7109375" style="126" customWidth="1"/>
    <col min="61" max="61" width="14.140625" style="126" customWidth="1"/>
    <col min="62" max="63" width="15.7109375" style="126" customWidth="1"/>
    <col min="64" max="65" width="14.140625" style="126" customWidth="1"/>
    <col min="66" max="66" width="14.5703125" style="126" customWidth="1"/>
    <col min="67" max="16384" width="9.140625" style="135" hidden="1"/>
  </cols>
  <sheetData>
    <row r="1" spans="1:66" ht="139.5" customHeight="1" x14ac:dyDescent="0.2">
      <c r="A1" s="151" t="s">
        <v>1165</v>
      </c>
      <c r="E1" s="222" t="s">
        <v>1212</v>
      </c>
    </row>
    <row r="2" spans="1:66" x14ac:dyDescent="0.2">
      <c r="B2" s="152"/>
      <c r="C2" s="152"/>
      <c r="D2" s="152"/>
      <c r="E2" s="48"/>
      <c r="F2" s="48"/>
      <c r="G2" s="48"/>
      <c r="H2" s="48"/>
      <c r="I2" s="48"/>
      <c r="J2" s="48"/>
      <c r="K2" s="48"/>
      <c r="L2" s="48"/>
      <c r="M2" s="48"/>
      <c r="N2" s="48"/>
      <c r="O2" s="48"/>
      <c r="P2" s="48"/>
      <c r="Q2" s="48"/>
      <c r="R2" s="48"/>
      <c r="S2" s="48"/>
      <c r="T2" s="48"/>
      <c r="U2" s="48"/>
      <c r="V2" s="48"/>
      <c r="W2" s="48"/>
      <c r="X2" s="48"/>
      <c r="Y2" s="48"/>
      <c r="Z2" s="48"/>
      <c r="AA2" s="48"/>
      <c r="AB2" s="48"/>
      <c r="AC2" s="48"/>
      <c r="AD2" s="48"/>
      <c r="AE2" s="48"/>
      <c r="AF2" s="48"/>
      <c r="AG2" s="48"/>
      <c r="AH2" s="48"/>
      <c r="AI2" s="48"/>
      <c r="AJ2" s="48"/>
      <c r="AK2" s="48"/>
      <c r="AL2" s="48"/>
      <c r="AM2" s="48"/>
      <c r="AN2" s="48"/>
      <c r="AO2" s="48"/>
      <c r="AP2" s="48"/>
      <c r="AQ2" s="48"/>
      <c r="AR2" s="48"/>
      <c r="AS2" s="48"/>
      <c r="AT2" s="48"/>
      <c r="AU2" s="48"/>
      <c r="AV2" s="48"/>
      <c r="AW2" s="48"/>
      <c r="AX2" s="48"/>
      <c r="AY2" s="48"/>
      <c r="AZ2" s="48"/>
      <c r="BA2" s="48"/>
      <c r="BB2" s="48"/>
      <c r="BC2" s="48"/>
      <c r="BD2" s="48"/>
      <c r="BE2" s="48"/>
      <c r="BF2" s="48"/>
      <c r="BG2" s="48"/>
      <c r="BH2" s="48"/>
      <c r="BI2" s="48"/>
      <c r="BJ2" s="48"/>
      <c r="BK2" s="48"/>
      <c r="BL2" s="48"/>
      <c r="BM2" s="48"/>
    </row>
    <row r="3" spans="1:66" x14ac:dyDescent="0.2">
      <c r="B3" s="152"/>
      <c r="C3" s="152"/>
      <c r="D3" s="152"/>
      <c r="E3" s="48"/>
      <c r="F3" s="48"/>
      <c r="G3" s="48"/>
      <c r="H3" s="48"/>
      <c r="I3" s="48"/>
      <c r="J3" s="48"/>
      <c r="K3" s="48"/>
      <c r="L3" s="48"/>
      <c r="M3" s="48"/>
      <c r="N3" s="48"/>
      <c r="O3" s="48"/>
      <c r="P3" s="48"/>
      <c r="Q3" s="48"/>
      <c r="R3" s="48"/>
      <c r="S3" s="48"/>
      <c r="T3" s="48"/>
      <c r="U3" s="48"/>
      <c r="V3" s="48"/>
      <c r="W3" s="48"/>
      <c r="X3" s="48"/>
      <c r="Y3" s="48"/>
      <c r="Z3" s="48"/>
      <c r="AA3" s="48"/>
      <c r="AB3" s="48"/>
      <c r="AC3" s="180"/>
      <c r="AD3" s="48"/>
      <c r="AE3" s="48"/>
      <c r="AF3" s="48"/>
      <c r="AG3" s="48"/>
      <c r="AH3" s="48"/>
      <c r="AI3" s="48"/>
      <c r="AJ3" s="48"/>
      <c r="AK3" s="48"/>
      <c r="AL3" s="48"/>
      <c r="AM3" s="48"/>
      <c r="AN3" s="48"/>
      <c r="AO3" s="48"/>
      <c r="AP3" s="48"/>
      <c r="AQ3" s="48"/>
      <c r="AR3" s="48"/>
      <c r="AS3" s="48"/>
      <c r="AT3" s="48"/>
      <c r="AU3" s="48"/>
      <c r="AV3" s="48"/>
      <c r="AW3" s="48"/>
      <c r="AX3" s="48"/>
      <c r="AY3" s="48"/>
      <c r="AZ3" s="48"/>
      <c r="BA3" s="48"/>
      <c r="BB3" s="48"/>
      <c r="BC3" s="48"/>
      <c r="BD3" s="48"/>
      <c r="BE3" s="48"/>
      <c r="BF3" s="48"/>
      <c r="BG3" s="48"/>
      <c r="BH3" s="48"/>
      <c r="BI3" s="48"/>
      <c r="BJ3" s="48"/>
      <c r="BK3" s="48"/>
      <c r="BL3" s="48"/>
      <c r="BM3" s="48"/>
    </row>
    <row r="4" spans="1:66" x14ac:dyDescent="0.2">
      <c r="A4" s="136"/>
      <c r="B4" s="152"/>
      <c r="C4" s="152"/>
      <c r="D4" s="152"/>
      <c r="E4" s="133">
        <v>3</v>
      </c>
      <c r="F4" s="131"/>
      <c r="G4" s="131"/>
      <c r="H4" s="131"/>
      <c r="I4" s="133">
        <v>4</v>
      </c>
      <c r="J4" s="131"/>
      <c r="K4" s="131"/>
      <c r="L4" s="131"/>
      <c r="M4" s="131"/>
      <c r="N4" s="133">
        <v>5</v>
      </c>
      <c r="O4" s="131"/>
      <c r="P4" s="131"/>
      <c r="Q4" s="131"/>
      <c r="R4" s="131"/>
      <c r="S4" s="133">
        <v>6</v>
      </c>
      <c r="T4" s="131"/>
      <c r="U4" s="131"/>
      <c r="V4" s="131"/>
      <c r="W4" s="131"/>
      <c r="X4" s="133">
        <v>7</v>
      </c>
      <c r="Y4" s="131"/>
      <c r="Z4" s="131"/>
      <c r="AA4" s="131"/>
      <c r="AB4" s="131"/>
      <c r="AC4" s="133">
        <v>8</v>
      </c>
      <c r="AD4" s="131"/>
      <c r="AE4" s="131"/>
      <c r="AF4" s="131"/>
      <c r="AG4" s="131"/>
      <c r="AH4" s="131"/>
      <c r="AI4" s="133">
        <v>9</v>
      </c>
      <c r="AJ4" s="131"/>
      <c r="AK4" s="131"/>
      <c r="AL4" s="131"/>
      <c r="AM4" s="131"/>
      <c r="AN4" s="131"/>
      <c r="AO4" s="131"/>
      <c r="AP4" s="133">
        <v>10</v>
      </c>
      <c r="AQ4" s="131"/>
      <c r="AR4" s="131"/>
      <c r="AS4" s="131"/>
      <c r="AT4" s="131"/>
      <c r="AU4" s="133">
        <f>AP4</f>
        <v>10</v>
      </c>
      <c r="AV4" s="131"/>
      <c r="AW4" s="131"/>
      <c r="AX4" s="131"/>
      <c r="AY4" s="133">
        <v>11</v>
      </c>
      <c r="AZ4" s="131"/>
      <c r="BA4" s="131"/>
      <c r="BB4" s="131"/>
      <c r="BC4" s="133">
        <v>12</v>
      </c>
      <c r="BD4" s="131"/>
      <c r="BE4" s="131"/>
      <c r="BF4" s="131"/>
      <c r="BG4" s="133" t="s">
        <v>1101</v>
      </c>
      <c r="BH4" s="131"/>
      <c r="BI4" s="131"/>
      <c r="BJ4" s="131"/>
      <c r="BK4" s="131"/>
      <c r="BL4" s="131"/>
      <c r="BM4" s="131"/>
      <c r="BN4" s="136"/>
    </row>
    <row r="5" spans="1:66" x14ac:dyDescent="0.2">
      <c r="B5" s="152"/>
      <c r="C5" s="152"/>
      <c r="D5" s="152"/>
      <c r="E5" s="48"/>
      <c r="F5" s="48"/>
      <c r="G5" s="48"/>
      <c r="H5" s="48"/>
      <c r="I5" s="48"/>
      <c r="J5" s="48"/>
      <c r="K5" s="48"/>
      <c r="L5" s="48"/>
      <c r="M5" s="48"/>
      <c r="N5" s="48"/>
      <c r="O5" s="48"/>
      <c r="P5" s="48"/>
      <c r="Q5" s="48"/>
      <c r="R5" s="48"/>
      <c r="S5" s="48"/>
      <c r="T5" s="48"/>
      <c r="U5" s="48"/>
      <c r="V5" s="48"/>
      <c r="W5" s="48"/>
      <c r="X5" s="48"/>
      <c r="Y5" s="48"/>
      <c r="Z5" s="48"/>
      <c r="AA5" s="48"/>
      <c r="AB5" s="48"/>
      <c r="AC5" s="48"/>
      <c r="AD5" s="48"/>
      <c r="AE5" s="48"/>
      <c r="AF5" s="48"/>
      <c r="AG5" s="48"/>
      <c r="AH5" s="48"/>
      <c r="AI5" s="48"/>
      <c r="AJ5" s="48"/>
      <c r="AK5" s="48"/>
      <c r="AL5" s="48"/>
      <c r="AM5" s="48"/>
      <c r="AN5" s="48"/>
      <c r="AO5" s="48"/>
      <c r="AP5" s="48"/>
      <c r="AQ5" s="48"/>
      <c r="AR5" s="48"/>
      <c r="AS5" s="48"/>
      <c r="AT5" s="48"/>
      <c r="AU5" s="48"/>
      <c r="AV5" s="48"/>
      <c r="AW5" s="48"/>
      <c r="AX5" s="48"/>
      <c r="AY5" s="48"/>
      <c r="AZ5" s="48"/>
      <c r="BA5" s="48"/>
      <c r="BB5" s="48"/>
      <c r="BC5" s="48"/>
      <c r="BD5" s="48"/>
      <c r="BE5" s="48"/>
      <c r="BF5" s="48"/>
      <c r="BG5" s="48"/>
      <c r="BH5" s="48"/>
      <c r="BI5" s="48"/>
      <c r="BJ5" s="48"/>
      <c r="BK5" s="48"/>
      <c r="BL5" s="48"/>
      <c r="BM5" s="48"/>
    </row>
    <row r="6" spans="1:66" ht="15.75" x14ac:dyDescent="0.2">
      <c r="B6" s="152"/>
      <c r="C6" s="145" t="s">
        <v>1153</v>
      </c>
      <c r="D6" s="152"/>
      <c r="E6" s="150" t="s">
        <v>3</v>
      </c>
      <c r="F6" s="48"/>
      <c r="G6" s="48"/>
      <c r="H6" s="48"/>
      <c r="I6" s="150" t="s">
        <v>4</v>
      </c>
      <c r="J6" s="48"/>
      <c r="K6" s="48"/>
      <c r="L6" s="48"/>
      <c r="M6" s="48"/>
      <c r="N6" s="150" t="s">
        <v>5</v>
      </c>
      <c r="O6" s="48"/>
      <c r="P6" s="48"/>
      <c r="Q6" s="48"/>
      <c r="R6" s="48"/>
      <c r="S6" s="150" t="s">
        <v>6</v>
      </c>
      <c r="T6" s="48"/>
      <c r="U6" s="48"/>
      <c r="V6" s="48"/>
      <c r="W6" s="48"/>
      <c r="X6" s="150" t="s">
        <v>1082</v>
      </c>
      <c r="Y6" s="48"/>
      <c r="Z6" s="48"/>
      <c r="AA6" s="48"/>
      <c r="AB6" s="48"/>
      <c r="AC6" s="150" t="s">
        <v>1346</v>
      </c>
      <c r="AD6" s="48"/>
      <c r="AE6" s="48"/>
      <c r="AF6" s="48"/>
      <c r="AG6" s="48"/>
      <c r="AH6" s="48"/>
      <c r="AI6" s="150" t="s">
        <v>11</v>
      </c>
      <c r="AJ6" s="48"/>
      <c r="AK6" s="48"/>
      <c r="AL6" s="48"/>
      <c r="AM6" s="48"/>
      <c r="AN6" s="48"/>
      <c r="AO6" s="48"/>
      <c r="AP6" s="150" t="s">
        <v>1098</v>
      </c>
      <c r="AQ6" s="48"/>
      <c r="AR6" s="48"/>
      <c r="AS6" s="48"/>
      <c r="AT6" s="48"/>
      <c r="AU6" s="121" t="s">
        <v>1099</v>
      </c>
      <c r="AV6" s="48"/>
      <c r="AW6" s="48"/>
      <c r="AX6" s="48"/>
      <c r="AY6" s="150" t="s">
        <v>13</v>
      </c>
      <c r="AZ6" s="48"/>
      <c r="BA6" s="48"/>
      <c r="BB6" s="48"/>
      <c r="BC6" s="150" t="s">
        <v>14</v>
      </c>
      <c r="BD6" s="48"/>
      <c r="BE6" s="48"/>
      <c r="BF6" s="48"/>
      <c r="BG6" s="150" t="s">
        <v>1102</v>
      </c>
      <c r="BH6" s="48"/>
      <c r="BI6" s="48"/>
      <c r="BJ6" s="48"/>
      <c r="BK6" s="48"/>
      <c r="BL6" s="48"/>
      <c r="BM6" s="48"/>
    </row>
    <row r="7" spans="1:66" ht="12.75" customHeight="1" x14ac:dyDescent="0.2">
      <c r="B7" s="152"/>
      <c r="C7" s="310" t="s">
        <v>1253</v>
      </c>
      <c r="D7" s="152"/>
      <c r="E7" s="48"/>
      <c r="F7" s="48"/>
      <c r="G7" s="48"/>
      <c r="H7" s="48"/>
      <c r="I7" s="48"/>
      <c r="J7" s="48"/>
      <c r="K7" s="48"/>
      <c r="L7" s="48"/>
      <c r="M7" s="48"/>
      <c r="N7" s="48"/>
      <c r="O7" s="48"/>
      <c r="P7" s="48"/>
      <c r="Q7" s="48"/>
      <c r="R7" s="48"/>
      <c r="S7" s="48"/>
      <c r="T7" s="48"/>
      <c r="U7" s="48"/>
      <c r="V7" s="48"/>
      <c r="W7" s="48"/>
      <c r="X7" s="48"/>
      <c r="Y7" s="48"/>
      <c r="Z7" s="48"/>
      <c r="AA7" s="48"/>
      <c r="AB7" s="48"/>
      <c r="AC7" s="48"/>
      <c r="AD7" s="48"/>
      <c r="AE7" s="48"/>
      <c r="AF7" s="48"/>
      <c r="AG7" s="48"/>
      <c r="AH7" s="48"/>
      <c r="AI7" s="48"/>
      <c r="AJ7" s="48"/>
      <c r="AK7" s="48"/>
      <c r="AL7" s="48"/>
      <c r="AM7" s="48"/>
      <c r="AN7" s="48"/>
      <c r="AO7" s="48"/>
      <c r="AP7" s="48"/>
      <c r="AQ7" s="48"/>
      <c r="AR7" s="48"/>
      <c r="AS7" s="48"/>
      <c r="AT7" s="307" t="s">
        <v>1159</v>
      </c>
      <c r="AU7" s="261" t="s">
        <v>125</v>
      </c>
      <c r="AV7" s="48"/>
      <c r="AW7" s="48"/>
      <c r="AX7" s="48"/>
      <c r="AY7" s="48"/>
      <c r="AZ7" s="48"/>
      <c r="BA7" s="48"/>
      <c r="BB7" s="48"/>
      <c r="BC7" s="48"/>
      <c r="BD7" s="48"/>
      <c r="BE7" s="48"/>
      <c r="BF7" s="48"/>
      <c r="BG7" s="48"/>
      <c r="BH7" s="48"/>
      <c r="BI7" s="48"/>
      <c r="BJ7" s="48"/>
      <c r="BK7" s="48"/>
      <c r="BL7" s="48"/>
      <c r="BM7" s="48"/>
    </row>
    <row r="8" spans="1:66" ht="25.5" x14ac:dyDescent="0.2">
      <c r="B8" s="152"/>
      <c r="C8" s="311"/>
      <c r="D8" s="152"/>
      <c r="E8" s="137" t="s">
        <v>950</v>
      </c>
      <c r="F8" s="138" t="s">
        <v>133</v>
      </c>
      <c r="G8" s="138" t="s">
        <v>134</v>
      </c>
      <c r="H8" s="48"/>
      <c r="I8" s="137" t="s">
        <v>953</v>
      </c>
      <c r="J8" s="138" t="s">
        <v>131</v>
      </c>
      <c r="K8" s="138" t="s">
        <v>132</v>
      </c>
      <c r="L8" s="48"/>
      <c r="M8" s="48"/>
      <c r="N8" s="137" t="s">
        <v>962</v>
      </c>
      <c r="O8" s="138" t="s">
        <v>131</v>
      </c>
      <c r="P8" s="138" t="s">
        <v>132</v>
      </c>
      <c r="Q8" s="48"/>
      <c r="R8" s="48"/>
      <c r="S8" s="137" t="s">
        <v>1167</v>
      </c>
      <c r="T8" s="138" t="s">
        <v>131</v>
      </c>
      <c r="U8" s="138" t="s">
        <v>132</v>
      </c>
      <c r="V8" s="48"/>
      <c r="W8" s="48"/>
      <c r="X8" s="137" t="str">
        <f>X6</f>
        <v>Você teve alguma experiência de trabalho relacionada à sua área de graduação?</v>
      </c>
      <c r="Y8" s="138" t="s">
        <v>133</v>
      </c>
      <c r="Z8" s="138" t="s">
        <v>134</v>
      </c>
      <c r="AA8" s="138" t="s">
        <v>621</v>
      </c>
      <c r="AB8" s="48"/>
      <c r="AC8" s="150" t="s">
        <v>1346</v>
      </c>
      <c r="AD8" s="138" t="s">
        <v>133</v>
      </c>
      <c r="AE8" s="138" t="s">
        <v>134</v>
      </c>
      <c r="AF8" s="138" t="s">
        <v>621</v>
      </c>
      <c r="AG8" s="48"/>
      <c r="AH8" s="48"/>
      <c r="AI8" s="137" t="s">
        <v>11</v>
      </c>
      <c r="AJ8" s="138" t="s">
        <v>131</v>
      </c>
      <c r="AK8" s="138" t="s">
        <v>132</v>
      </c>
      <c r="AL8" s="48"/>
      <c r="AM8" s="48"/>
      <c r="AN8" s="48"/>
      <c r="AO8" s="48"/>
      <c r="AP8" s="137" t="s">
        <v>1098</v>
      </c>
      <c r="AQ8" s="138" t="s">
        <v>131</v>
      </c>
      <c r="AR8" s="138" t="s">
        <v>132</v>
      </c>
      <c r="AS8" s="48"/>
      <c r="AT8" s="187" t="s">
        <v>931</v>
      </c>
      <c r="AU8" s="194" t="str">
        <f>AP8</f>
        <v>Qual o nome dessa outra graduação que você
cursou (ou está cursando)?</v>
      </c>
      <c r="AV8" s="187" t="str">
        <f>AQ8</f>
        <v>f</v>
      </c>
      <c r="AW8" s="187" t="str">
        <f>AR8</f>
        <v>%</v>
      </c>
      <c r="AX8" s="48"/>
      <c r="AY8" s="137" t="s">
        <v>13</v>
      </c>
      <c r="AZ8" s="138" t="s">
        <v>131</v>
      </c>
      <c r="BA8" s="138" t="s">
        <v>132</v>
      </c>
      <c r="BB8" s="48"/>
      <c r="BC8" s="137" t="s">
        <v>14</v>
      </c>
      <c r="BD8" s="138" t="s">
        <v>131</v>
      </c>
      <c r="BE8" s="138" t="s">
        <v>132</v>
      </c>
      <c r="BF8" s="48"/>
      <c r="BG8" s="137" t="s">
        <v>1102</v>
      </c>
      <c r="BH8" s="138">
        <v>1</v>
      </c>
      <c r="BI8" s="138">
        <v>2</v>
      </c>
      <c r="BJ8" s="138">
        <v>3</v>
      </c>
      <c r="BK8" s="138">
        <v>4</v>
      </c>
      <c r="BL8" s="138">
        <v>5</v>
      </c>
      <c r="BM8" s="138" t="s">
        <v>621</v>
      </c>
    </row>
    <row r="9" spans="1:66" x14ac:dyDescent="0.2">
      <c r="B9" s="152"/>
      <c r="C9" s="311"/>
      <c r="D9" s="307" t="s">
        <v>1159</v>
      </c>
      <c r="E9" s="261" t="s">
        <v>123</v>
      </c>
      <c r="F9" s="147">
        <f>IFERROR(COUNTIFS(Respostas_Formatadas!$C:$C,ContEstudos!$E$9,Respostas_Formatadas!$D:$D,ContEstudos!$F$8)/VLOOKUP($E9,CaractAmostra!$E$8:$H$21,2,0),"-")</f>
        <v>0.375</v>
      </c>
      <c r="G9" s="147">
        <f>IFERROR(COUNTIFS(Respostas_Formatadas!$C:$C,ContEstudos!$E$9,Respostas_Formatadas!$D:$D,ContEstudos!$G$8)/VLOOKUP($E9,CaractAmostra!$E$8:$H$21,2,0),"-")</f>
        <v>0.625</v>
      </c>
      <c r="H9" s="48"/>
      <c r="I9" s="51" t="str">
        <f>Tabulacao!J4</f>
        <v>Especialização</v>
      </c>
      <c r="J9" s="52">
        <f>IFERROR(VLOOKUP($I9,Tabulacao!$J$2:$L$9,2,0),"-")</f>
        <v>53</v>
      </c>
      <c r="K9" s="53">
        <f>J9/$J$15</f>
        <v>0.5145631067961165</v>
      </c>
      <c r="L9" s="48"/>
      <c r="M9" s="48"/>
      <c r="N9" s="51" t="str">
        <f>Tabulacao!M4</f>
        <v>Aumentar o salário</v>
      </c>
      <c r="O9" s="52">
        <f>IFERROR(VLOOKUP($N9,Tabulacao!$M$2:$O$8,2,0),"-")</f>
        <v>20</v>
      </c>
      <c r="P9" s="53">
        <f>O9/Tabulacao!$H$4</f>
        <v>0.1941747572815534</v>
      </c>
      <c r="Q9" s="48"/>
      <c r="R9" s="48"/>
      <c r="S9" s="51" t="str">
        <f>Tabulacao!P4</f>
        <v>Ensino médio</v>
      </c>
      <c r="T9" s="52">
        <f>IFERROR(COUNTIF(Respostas_Formatadas!$M:$M,ContEstudos!$S9),"-")</f>
        <v>175</v>
      </c>
      <c r="U9" s="53">
        <f>T9/$T$14</f>
        <v>0.64575645756457567</v>
      </c>
      <c r="V9" s="48"/>
      <c r="W9" s="48"/>
      <c r="X9" s="51" t="s">
        <v>1083</v>
      </c>
      <c r="Y9" s="120">
        <f>Tabulacao!T4</f>
        <v>62</v>
      </c>
      <c r="Z9" s="122">
        <f>Tabulacao!T5</f>
        <v>209</v>
      </c>
      <c r="AA9" s="252">
        <f>Y9+Z9</f>
        <v>271</v>
      </c>
      <c r="AB9" s="119"/>
      <c r="AC9" s="51" t="s">
        <v>1083</v>
      </c>
      <c r="AD9" s="122">
        <f>Tabulacao!Z4</f>
        <v>151</v>
      </c>
      <c r="AE9" s="122">
        <f>Tabulacao!Z5</f>
        <v>120</v>
      </c>
      <c r="AF9" s="252">
        <f>SUM(AD9:AE9)</f>
        <v>271</v>
      </c>
      <c r="AG9" s="119"/>
      <c r="AH9" s="119"/>
      <c r="AI9" s="51" t="s">
        <v>151</v>
      </c>
      <c r="AJ9" s="120">
        <f>Tabulacao!AF4</f>
        <v>213</v>
      </c>
      <c r="AK9" s="53">
        <f>AJ9/SUM(AJ$9:AJ$11)</f>
        <v>0.7859778597785978</v>
      </c>
      <c r="AL9" s="119"/>
      <c r="AM9" s="119"/>
      <c r="AN9" s="119"/>
      <c r="AO9" s="119"/>
      <c r="AP9" s="51" t="str">
        <f>Tabulacao!AH40</f>
        <v>Administração</v>
      </c>
      <c r="AQ9" s="122">
        <f>Tabulacao!AI40</f>
        <v>5</v>
      </c>
      <c r="AR9" s="53">
        <f t="shared" ref="AR9:AR40" si="0">AQ9/$AQ$41</f>
        <v>8.771929824561403E-2</v>
      </c>
      <c r="AS9" s="119"/>
      <c r="AT9" s="122">
        <v>1</v>
      </c>
      <c r="AU9" s="51" t="str">
        <f t="array" ref="AU9">INDEX($AP$49:$AP$80,SMALL(IF($AQ$49:$AQ$80=AV9,ROW($AQ$49:$AQ$80)-48),COUNTIF($AV$9:AV9,AV9)))</f>
        <v>Administração</v>
      </c>
      <c r="AV9" s="122">
        <f>LARGE($AQ$49:$AQ$80,AT9)</f>
        <v>2</v>
      </c>
      <c r="AW9" s="53">
        <f>IFERROR(AV9/$AV$41,"-")</f>
        <v>0.16666666666666666</v>
      </c>
      <c r="AX9" s="119"/>
      <c r="AY9" s="51" t="str">
        <f>Tabulacao!AK4</f>
        <v>Presencial</v>
      </c>
      <c r="AZ9" s="122">
        <f>Tabulacao!AL4</f>
        <v>48</v>
      </c>
      <c r="BA9" s="53">
        <f>AZ9/$AZ$11</f>
        <v>0.82758620689655171</v>
      </c>
      <c r="BB9" s="119"/>
      <c r="BC9" s="51" t="str">
        <f>Tabulacao!AN4</f>
        <v>IFS</v>
      </c>
      <c r="BD9" s="122">
        <f>Tabulacao!AO4</f>
        <v>10</v>
      </c>
      <c r="BE9" s="53">
        <f>BD9/$BD$14</f>
        <v>0.17241379310344829</v>
      </c>
      <c r="BF9" s="119"/>
      <c r="BG9" s="60" t="s">
        <v>15</v>
      </c>
      <c r="BH9" s="120">
        <f>VLOOKUP(BH$8,Tabulacao!$AQ$2:$AS$14,2,FALSE)</f>
        <v>16</v>
      </c>
      <c r="BI9" s="120">
        <f>VLOOKUP(BI$8,Tabulacao!$AQ$2:$AS$14,2,FALSE)</f>
        <v>8</v>
      </c>
      <c r="BJ9" s="120">
        <f>VLOOKUP(BJ$8,Tabulacao!$AQ$2:$AS$14,2,FALSE)</f>
        <v>13</v>
      </c>
      <c r="BK9" s="120">
        <f>VLOOKUP(BK$8,Tabulacao!$AQ$2:$AS$14,2,FALSE)</f>
        <v>12</v>
      </c>
      <c r="BL9" s="120">
        <f>VLOOKUP(BL$8,Tabulacao!$AQ$2:$AS$14,2,FALSE)</f>
        <v>9</v>
      </c>
      <c r="BM9" s="120">
        <f>SUM(BH9:BL9)</f>
        <v>58</v>
      </c>
    </row>
    <row r="10" spans="1:66" x14ac:dyDescent="0.2">
      <c r="B10" s="152"/>
      <c r="C10" s="311"/>
      <c r="D10" s="152"/>
      <c r="E10" s="143" t="s">
        <v>156</v>
      </c>
      <c r="F10" s="95">
        <f>IFERROR(COUNTIF(Respostas_Formatadas!$D:$D,ContEstudos!$F$8)/CaractAmostra!$F$21,"-")</f>
        <v>0.38007380073800739</v>
      </c>
      <c r="G10" s="95">
        <f>IFERROR(COUNTIF(Respostas_Formatadas!$D:$D,ContEstudos!$G$8)/CaractAmostra!$F$21,"-")</f>
        <v>0.61992619926199266</v>
      </c>
      <c r="H10" s="48"/>
      <c r="I10" s="51" t="str">
        <f>Tabulacao!J5</f>
        <v>MBA</v>
      </c>
      <c r="J10" s="52">
        <f>IFERROR(VLOOKUP($I10,Tabulacao!$J$2:$L$9,2,0),"-")</f>
        <v>9</v>
      </c>
      <c r="K10" s="53">
        <f t="shared" ref="K10:K14" si="1">J10/$J$15</f>
        <v>8.7378640776699032E-2</v>
      </c>
      <c r="L10" s="48"/>
      <c r="M10" s="48"/>
      <c r="N10" s="51" t="str">
        <f>Tabulacao!M5</f>
        <v>Desenvolver habilidades e conhecimentos</v>
      </c>
      <c r="O10" s="52">
        <f>IFERROR(VLOOKUP($N10,Tabulacao!$M$2:$O$8,2,0),"-")</f>
        <v>64</v>
      </c>
      <c r="P10" s="53">
        <f>O10/Tabulacao!$H$4</f>
        <v>0.62135922330097082</v>
      </c>
      <c r="Q10" s="48"/>
      <c r="R10" s="48"/>
      <c r="S10" s="51" t="str">
        <f>Tabulacao!P5</f>
        <v>Ensino técnico</v>
      </c>
      <c r="T10" s="52">
        <f>IFERROR(COUNTIF(Respostas_Formatadas!$M:$M,ContEstudos!$S10),"-")</f>
        <v>58</v>
      </c>
      <c r="U10" s="53">
        <f t="shared" ref="U10:U13" si="2">T10/$T$14</f>
        <v>0.2140221402214022</v>
      </c>
      <c r="V10" s="48"/>
      <c r="W10" s="48"/>
      <c r="X10" s="51" t="s">
        <v>1084</v>
      </c>
      <c r="Y10" s="122">
        <f>Tabulacao!W4</f>
        <v>183</v>
      </c>
      <c r="Z10" s="122">
        <f>Tabulacao!W5</f>
        <v>88</v>
      </c>
      <c r="AA10" s="252">
        <f>Y10+Z10</f>
        <v>271</v>
      </c>
      <c r="AB10" s="119"/>
      <c r="AC10" s="51" t="s">
        <v>1084</v>
      </c>
      <c r="AD10" s="122">
        <f>Tabulacao!AC4</f>
        <v>123</v>
      </c>
      <c r="AE10" s="122">
        <f>Tabulacao!AC5</f>
        <v>148</v>
      </c>
      <c r="AF10" s="252">
        <f>SUM(AD10:AE10)</f>
        <v>271</v>
      </c>
      <c r="AG10" s="119"/>
      <c r="AH10" s="119"/>
      <c r="AI10" s="51" t="s">
        <v>152</v>
      </c>
      <c r="AJ10" s="120">
        <f>Tabulacao!AF5</f>
        <v>19</v>
      </c>
      <c r="AK10" s="53">
        <f>AJ10/SUM(AJ$9:AJ$11)</f>
        <v>7.0110701107011064E-2</v>
      </c>
      <c r="AL10" s="119"/>
      <c r="AM10" s="119"/>
      <c r="AN10" s="119"/>
      <c r="AO10" s="119"/>
      <c r="AP10" s="51" t="str">
        <f>Tabulacao!AH41</f>
        <v>Engenharia Civil</v>
      </c>
      <c r="AQ10" s="122">
        <f>Tabulacao!AI41</f>
        <v>4</v>
      </c>
      <c r="AR10" s="53">
        <f t="shared" si="0"/>
        <v>7.0175438596491224E-2</v>
      </c>
      <c r="AS10" s="119"/>
      <c r="AT10" s="122">
        <v>2</v>
      </c>
      <c r="AU10" s="51" t="str">
        <f t="array" ref="AU10">INDEX($AP$49:$AP$80,SMALL(IF($AQ$49:$AQ$80=AV10,ROW($AQ$49:$AQ$80)-48),COUNTIF($AV$9:AV10,AV10)))</f>
        <v>Ciências Biológicas</v>
      </c>
      <c r="AV10" s="122">
        <f t="shared" ref="AV10:AV40" si="3">LARGE($AQ$49:$AQ$80,AT10)</f>
        <v>1</v>
      </c>
      <c r="AW10" s="53">
        <f t="shared" ref="AW10:AW40" si="4">IFERROR(AV10/$AV$41,"-")</f>
        <v>8.3333333333333329E-2</v>
      </c>
      <c r="AX10" s="119"/>
      <c r="AY10" s="51" t="str">
        <f>Tabulacao!AK5</f>
        <v>Semipresencial ou EaD</v>
      </c>
      <c r="AZ10" s="122">
        <f>Tabulacao!AL5</f>
        <v>10</v>
      </c>
      <c r="BA10" s="53">
        <f>AZ10/$AZ$11</f>
        <v>0.17241379310344829</v>
      </c>
      <c r="BB10" s="119"/>
      <c r="BC10" s="51" t="str">
        <f>Tabulacao!AN5</f>
        <v>UFS</v>
      </c>
      <c r="BD10" s="122">
        <f>Tabulacao!AO5</f>
        <v>25</v>
      </c>
      <c r="BE10" s="53">
        <f>BD10/$BD$14</f>
        <v>0.43103448275862066</v>
      </c>
      <c r="BF10" s="119"/>
      <c r="BG10" s="60" t="s">
        <v>16</v>
      </c>
      <c r="BH10" s="120">
        <f>VLOOKUP(BH$8,Tabulacao!$AT$2:$AV$14,2,FALSE)</f>
        <v>19</v>
      </c>
      <c r="BI10" s="120">
        <f>VLOOKUP(BI$8,Tabulacao!$AT$2:$AV$14,2,FALSE)</f>
        <v>9</v>
      </c>
      <c r="BJ10" s="120">
        <f>VLOOKUP(BJ$8,Tabulacao!$AT$2:$AV$14,2,FALSE)</f>
        <v>14</v>
      </c>
      <c r="BK10" s="120">
        <f>VLOOKUP(BK$8,Tabulacao!$AT$2:$AV$14,2,FALSE)</f>
        <v>5</v>
      </c>
      <c r="BL10" s="120">
        <f>VLOOKUP(BL$8,Tabulacao!$AT$2:$AV$14,2,FALSE)</f>
        <v>11</v>
      </c>
      <c r="BM10" s="120">
        <f t="shared" ref="BM10:BM11" si="5">SUM(BH10:BL10)</f>
        <v>58</v>
      </c>
    </row>
    <row r="11" spans="1:66" x14ac:dyDescent="0.2">
      <c r="B11" s="152"/>
      <c r="C11" s="311"/>
      <c r="D11" s="152"/>
      <c r="E11" s="48"/>
      <c r="F11" s="48"/>
      <c r="G11" s="48"/>
      <c r="H11" s="48"/>
      <c r="I11" s="51" t="str">
        <f>Tabulacao!J6</f>
        <v>Mestrado profissional</v>
      </c>
      <c r="J11" s="52">
        <f>IFERROR(VLOOKUP($I11,Tabulacao!$J$2:$L$9,2,0),"-")</f>
        <v>6</v>
      </c>
      <c r="K11" s="53">
        <f t="shared" si="1"/>
        <v>5.8252427184466021E-2</v>
      </c>
      <c r="L11" s="48"/>
      <c r="M11" s="48"/>
      <c r="N11" s="51" t="str">
        <f>Tabulacao!M6</f>
        <v>Obter maior status social</v>
      </c>
      <c r="O11" s="52">
        <f>IFERROR(VLOOKUP($N11,Tabulacao!$M$2:$O$8,2,0),"-")</f>
        <v>10</v>
      </c>
      <c r="P11" s="53">
        <f>O11/Tabulacao!$H$4</f>
        <v>9.7087378640776698E-2</v>
      </c>
      <c r="Q11" s="48"/>
      <c r="R11" s="48"/>
      <c r="S11" s="51" t="str">
        <f>Tabulacao!P6</f>
        <v>Graduação incompleta</v>
      </c>
      <c r="T11" s="52">
        <f>IFERROR(COUNTIF(Respostas_Formatadas!$M:$M,ContEstudos!$S11),"-")</f>
        <v>24</v>
      </c>
      <c r="U11" s="53">
        <f t="shared" si="2"/>
        <v>8.8560885608856083E-2</v>
      </c>
      <c r="V11" s="48"/>
      <c r="W11" s="48"/>
      <c r="X11" s="48"/>
      <c r="Y11" s="48"/>
      <c r="Z11" s="48"/>
      <c r="AA11" s="48"/>
      <c r="AB11" s="48"/>
      <c r="AC11" s="48"/>
      <c r="AD11" s="48"/>
      <c r="AE11" s="48"/>
      <c r="AF11" s="48"/>
      <c r="AG11" s="48"/>
      <c r="AH11" s="48"/>
      <c r="AI11" s="51" t="s">
        <v>153</v>
      </c>
      <c r="AJ11" s="120">
        <f>Tabulacao!AF6</f>
        <v>39</v>
      </c>
      <c r="AK11" s="53">
        <f>AJ11/SUM(AJ$9:AJ$11)</f>
        <v>0.14391143911439114</v>
      </c>
      <c r="AL11" s="48"/>
      <c r="AM11" s="48"/>
      <c r="AN11" s="48"/>
      <c r="AO11" s="48"/>
      <c r="AP11" s="51" t="str">
        <f>Tabulacao!AH42</f>
        <v>Química</v>
      </c>
      <c r="AQ11" s="122">
        <f>Tabulacao!AI42</f>
        <v>4</v>
      </c>
      <c r="AR11" s="53">
        <f t="shared" si="0"/>
        <v>7.0175438596491224E-2</v>
      </c>
      <c r="AS11" s="48"/>
      <c r="AT11" s="122">
        <v>3</v>
      </c>
      <c r="AU11" s="51" t="str">
        <f t="array" ref="AU11">INDEX($AP$49:$AP$80,SMALL(IF($AQ$49:$AQ$80=AV11,ROW($AQ$49:$AQ$80)-48),COUNTIF($AV$9:AV11,AV11)))</f>
        <v>Sistemas de Informação</v>
      </c>
      <c r="AV11" s="122">
        <f t="shared" si="3"/>
        <v>1</v>
      </c>
      <c r="AW11" s="53">
        <f t="shared" si="4"/>
        <v>8.3333333333333329E-2</v>
      </c>
      <c r="AX11" s="48"/>
      <c r="AY11" s="143" t="s">
        <v>621</v>
      </c>
      <c r="AZ11" s="94">
        <f>SUM(AZ9:AZ10)</f>
        <v>58</v>
      </c>
      <c r="BA11" s="95">
        <f>SUM(BA9:BA10)</f>
        <v>1</v>
      </c>
      <c r="BB11" s="48"/>
      <c r="BC11" s="51" t="str">
        <f>Tabulacao!AN6</f>
        <v>Outra Instituição de Ensino Superior Pública</v>
      </c>
      <c r="BD11" s="122">
        <f>Tabulacao!AO6</f>
        <v>1</v>
      </c>
      <c r="BE11" s="53">
        <f>BD11/$BD$14</f>
        <v>1.7241379310344827E-2</v>
      </c>
      <c r="BF11" s="48"/>
      <c r="BG11" s="60" t="s">
        <v>17</v>
      </c>
      <c r="BH11" s="120">
        <f>VLOOKUP(BH$8,Tabulacao!$AW$2:$AY$14,2,FALSE)</f>
        <v>7</v>
      </c>
      <c r="BI11" s="120">
        <f>VLOOKUP(BI$8,Tabulacao!$AW$2:$AY$14,2,FALSE)</f>
        <v>3</v>
      </c>
      <c r="BJ11" s="120">
        <f>VLOOKUP(BJ$8,Tabulacao!$AW$2:$AY$14,2,FALSE)</f>
        <v>17</v>
      </c>
      <c r="BK11" s="120">
        <f>VLOOKUP(BK$8,Tabulacao!$AW$2:$AY$14,2,FALSE)</f>
        <v>8</v>
      </c>
      <c r="BL11" s="120">
        <f>VLOOKUP(BL$8,Tabulacao!$AW$2:$AY$14,2,FALSE)</f>
        <v>23</v>
      </c>
      <c r="BM11" s="120">
        <f t="shared" si="5"/>
        <v>58</v>
      </c>
    </row>
    <row r="12" spans="1:66" x14ac:dyDescent="0.2">
      <c r="B12" s="152"/>
      <c r="C12" s="311"/>
      <c r="D12" s="152"/>
      <c r="E12" s="48"/>
      <c r="F12" s="48"/>
      <c r="G12" s="48"/>
      <c r="H12" s="48"/>
      <c r="I12" s="51" t="str">
        <f>Tabulacao!J7</f>
        <v>Mestrado acadêmico</v>
      </c>
      <c r="J12" s="52">
        <f>IFERROR(VLOOKUP($I12,Tabulacao!$J$2:$L$9,2,0),"-")</f>
        <v>43</v>
      </c>
      <c r="K12" s="53">
        <f t="shared" si="1"/>
        <v>0.41747572815533979</v>
      </c>
      <c r="L12" s="48"/>
      <c r="M12" s="48"/>
      <c r="N12" s="51" t="str">
        <f>Tabulacao!M7</f>
        <v>Ampliar as oportunidades de emprego</v>
      </c>
      <c r="O12" s="52">
        <f>IFERROR(VLOOKUP($N12,Tabulacao!$M$2:$O$8,2,0),"-")</f>
        <v>70</v>
      </c>
      <c r="P12" s="53">
        <f>O12/Tabulacao!$H$4</f>
        <v>0.67961165048543692</v>
      </c>
      <c r="Q12" s="48"/>
      <c r="R12" s="48"/>
      <c r="S12" s="51" t="str">
        <f>Tabulacao!P7</f>
        <v>Graduação completa</v>
      </c>
      <c r="T12" s="52">
        <f>IFERROR(COUNTIF(Respostas_Formatadas!$M:$M,ContEstudos!$S12),"-")</f>
        <v>11</v>
      </c>
      <c r="U12" s="53">
        <f t="shared" si="2"/>
        <v>4.0590405904059039E-2</v>
      </c>
      <c r="V12" s="48"/>
      <c r="W12" s="48"/>
      <c r="X12" s="48"/>
      <c r="Y12" s="48"/>
      <c r="Z12" s="48"/>
      <c r="AA12" s="48"/>
      <c r="AB12" s="48"/>
      <c r="AC12" s="48"/>
      <c r="AD12" s="48"/>
      <c r="AE12" s="48"/>
      <c r="AF12" s="48"/>
      <c r="AG12" s="48"/>
      <c r="AH12" s="48"/>
      <c r="AI12" s="48"/>
      <c r="AJ12" s="48"/>
      <c r="AK12" s="48"/>
      <c r="AL12" s="48"/>
      <c r="AM12" s="48"/>
      <c r="AN12" s="48"/>
      <c r="AO12" s="48"/>
      <c r="AP12" s="51" t="str">
        <f>Tabulacao!AH43</f>
        <v>Ciências Biológicas</v>
      </c>
      <c r="AQ12" s="122">
        <f>Tabulacao!AI43</f>
        <v>3</v>
      </c>
      <c r="AR12" s="53">
        <f t="shared" si="0"/>
        <v>5.2631578947368418E-2</v>
      </c>
      <c r="AS12" s="48"/>
      <c r="AT12" s="122">
        <v>4</v>
      </c>
      <c r="AU12" s="51" t="str">
        <f t="array" ref="AU12">INDEX($AP$49:$AP$80,SMALL(IF($AQ$49:$AQ$80=AV12,ROW($AQ$49:$AQ$80)-48),COUNTIF($AV$9:AV12,AV12)))</f>
        <v>Ciências Contábeis</v>
      </c>
      <c r="AV12" s="122">
        <f t="shared" si="3"/>
        <v>1</v>
      </c>
      <c r="AW12" s="53">
        <f t="shared" si="4"/>
        <v>8.3333333333333329E-2</v>
      </c>
      <c r="AX12" s="48"/>
      <c r="AY12" s="48"/>
      <c r="AZ12" s="48"/>
      <c r="BA12" s="48"/>
      <c r="BB12" s="48"/>
      <c r="BC12" s="51" t="str">
        <f>Tabulacao!AN7</f>
        <v>Instituição de Ensino Superior Privada</v>
      </c>
      <c r="BD12" s="122">
        <f>Tabulacao!AO7</f>
        <v>22</v>
      </c>
      <c r="BE12" s="53">
        <f>BD12/$BD$14</f>
        <v>0.37931034482758619</v>
      </c>
      <c r="BF12" s="48"/>
      <c r="BG12" s="48"/>
      <c r="BH12" s="48"/>
      <c r="BI12" s="48"/>
      <c r="BJ12" s="48"/>
      <c r="BK12" s="48"/>
      <c r="BL12" s="48"/>
      <c r="BM12" s="48"/>
    </row>
    <row r="13" spans="1:66" x14ac:dyDescent="0.2">
      <c r="B13" s="152"/>
      <c r="C13" s="311"/>
      <c r="D13" s="152"/>
      <c r="E13" s="146" t="s">
        <v>1091</v>
      </c>
      <c r="F13" s="48"/>
      <c r="G13" s="48"/>
      <c r="H13" s="48"/>
      <c r="I13" s="51" t="str">
        <f>Tabulacao!J8</f>
        <v>Doutorado</v>
      </c>
      <c r="J13" s="52">
        <f>IFERROR(VLOOKUP($I13,Tabulacao!$J$2:$L$9,2,0),"-")</f>
        <v>9</v>
      </c>
      <c r="K13" s="53">
        <f t="shared" si="1"/>
        <v>8.7378640776699032E-2</v>
      </c>
      <c r="L13" s="48"/>
      <c r="M13" s="48"/>
      <c r="N13" s="51" t="str">
        <f>Tabulacao!M8</f>
        <v>Outros</v>
      </c>
      <c r="O13" s="52">
        <f>IFERROR(VLOOKUP($N13,Tabulacao!$M$2:$O$8,2,0),"-")</f>
        <v>9</v>
      </c>
      <c r="P13" s="53">
        <f>O13/Tabulacao!$H$4</f>
        <v>8.7378640776699032E-2</v>
      </c>
      <c r="Q13" s="48"/>
      <c r="R13" s="48"/>
      <c r="S13" s="51" t="str">
        <f>Tabulacao!P8</f>
        <v>Pós graduação</v>
      </c>
      <c r="T13" s="52">
        <f>IFERROR(COUNTIF(Respostas_Formatadas!$M:$M,ContEstudos!$S13),"-")</f>
        <v>3</v>
      </c>
      <c r="U13" s="53">
        <f t="shared" si="2"/>
        <v>1.107011070110701E-2</v>
      </c>
      <c r="V13" s="48"/>
      <c r="W13" s="48"/>
      <c r="X13" s="48"/>
      <c r="Y13" s="48"/>
      <c r="Z13" s="48"/>
      <c r="AA13" s="48"/>
      <c r="AB13" s="48"/>
      <c r="AC13" s="48"/>
      <c r="AD13" s="48"/>
      <c r="AE13" s="48"/>
      <c r="AF13" s="48"/>
      <c r="AG13" s="48"/>
      <c r="AH13" s="48"/>
      <c r="AI13" s="121" t="s">
        <v>1172</v>
      </c>
      <c r="AJ13" s="48"/>
      <c r="AK13" s="48"/>
      <c r="AL13" s="48"/>
      <c r="AM13" s="48"/>
      <c r="AN13" s="48"/>
      <c r="AO13" s="48"/>
      <c r="AP13" s="51" t="str">
        <f>Tabulacao!AH44</f>
        <v>Engenharia Elétrica</v>
      </c>
      <c r="AQ13" s="122">
        <f>Tabulacao!AI44</f>
        <v>3</v>
      </c>
      <c r="AR13" s="53">
        <f t="shared" si="0"/>
        <v>5.2631578947368418E-2</v>
      </c>
      <c r="AS13" s="48"/>
      <c r="AT13" s="122">
        <v>5</v>
      </c>
      <c r="AU13" s="51" t="str">
        <f t="array" ref="AU13">INDEX($AP$49:$AP$80,SMALL(IF($AQ$49:$AQ$80=AV13,ROW($AQ$49:$AQ$80)-48),COUNTIF($AV$9:AV13,AV13)))</f>
        <v>Ciência da Computação</v>
      </c>
      <c r="AV13" s="122">
        <f t="shared" si="3"/>
        <v>1</v>
      </c>
      <c r="AW13" s="53">
        <f t="shared" si="4"/>
        <v>8.3333333333333329E-2</v>
      </c>
      <c r="AX13" s="48"/>
      <c r="AY13" s="48"/>
      <c r="AZ13" s="48"/>
      <c r="BA13" s="48"/>
      <c r="BB13" s="48"/>
      <c r="BC13" s="51" t="str">
        <f>Tabulacao!AN8</f>
        <v>Outros</v>
      </c>
      <c r="BD13" s="122">
        <f>Tabulacao!AO8</f>
        <v>0</v>
      </c>
      <c r="BE13" s="53">
        <f>BD13/$BD$14</f>
        <v>0</v>
      </c>
      <c r="BF13" s="48"/>
      <c r="BG13" s="48"/>
      <c r="BH13" s="48"/>
      <c r="BI13" s="48"/>
      <c r="BJ13" s="48"/>
      <c r="BK13" s="48"/>
      <c r="BL13" s="48"/>
      <c r="BM13" s="48"/>
    </row>
    <row r="14" spans="1:66" ht="38.25" x14ac:dyDescent="0.2">
      <c r="B14" s="152"/>
      <c r="C14" s="311"/>
      <c r="D14" s="152"/>
      <c r="E14" s="48"/>
      <c r="F14" s="48"/>
      <c r="G14" s="48"/>
      <c r="H14" s="48"/>
      <c r="I14" s="51" t="str">
        <f>Tabulacao!J9</f>
        <v>Pós doutorado</v>
      </c>
      <c r="J14" s="52">
        <f>IFERROR(VLOOKUP($I14,Tabulacao!$J$2:$L$9,2,0),"-")</f>
        <v>0</v>
      </c>
      <c r="K14" s="53">
        <f t="shared" si="1"/>
        <v>0</v>
      </c>
      <c r="L14" s="48"/>
      <c r="M14" s="48"/>
      <c r="N14" s="143" t="s">
        <v>621</v>
      </c>
      <c r="O14" s="155">
        <f>COUNTA(Respostas_Formatadas!$H:$H)-2</f>
        <v>103</v>
      </c>
      <c r="P14" s="154" t="s">
        <v>933</v>
      </c>
      <c r="Q14" s="48"/>
      <c r="R14" s="48"/>
      <c r="S14" s="143" t="s">
        <v>621</v>
      </c>
      <c r="T14" s="94">
        <f>SUM(T9:T13)</f>
        <v>271</v>
      </c>
      <c r="U14" s="154">
        <f>SUM(U9:U13)</f>
        <v>1</v>
      </c>
      <c r="V14" s="48"/>
      <c r="W14" s="48"/>
      <c r="X14" s="137" t="str">
        <f>X6</f>
        <v>Você teve alguma experiência de trabalho relacionada à sua área de graduação?</v>
      </c>
      <c r="Y14" s="138" t="s">
        <v>133</v>
      </c>
      <c r="Z14" s="138" t="s">
        <v>134</v>
      </c>
      <c r="AA14" s="138" t="str">
        <f>AA8</f>
        <v>Total</v>
      </c>
      <c r="AB14" s="48"/>
      <c r="AC14" s="150" t="s">
        <v>1346</v>
      </c>
      <c r="AD14" s="138" t="s">
        <v>133</v>
      </c>
      <c r="AE14" s="138" t="s">
        <v>134</v>
      </c>
      <c r="AF14" s="138" t="s">
        <v>621</v>
      </c>
      <c r="AG14" s="48"/>
      <c r="AH14" s="48"/>
      <c r="AI14" s="194" t="s">
        <v>620</v>
      </c>
      <c r="AJ14" s="187" t="s">
        <v>1168</v>
      </c>
      <c r="AK14" s="187" t="s">
        <v>1169</v>
      </c>
      <c r="AL14" s="187" t="s">
        <v>1173</v>
      </c>
      <c r="AM14" s="187" t="s">
        <v>1170</v>
      </c>
      <c r="AN14" s="187" t="s">
        <v>1171</v>
      </c>
      <c r="AO14" s="48"/>
      <c r="AP14" s="51" t="str">
        <f>Tabulacao!AH45</f>
        <v>Física</v>
      </c>
      <c r="AQ14" s="122">
        <f>Tabulacao!AI45</f>
        <v>3</v>
      </c>
      <c r="AR14" s="53">
        <f t="shared" si="0"/>
        <v>5.2631578947368418E-2</v>
      </c>
      <c r="AS14" s="48"/>
      <c r="AT14" s="122">
        <v>6</v>
      </c>
      <c r="AU14" s="51" t="str">
        <f t="array" ref="AU14">INDEX($AP$49:$AP$80,SMALL(IF($AQ$49:$AQ$80=AV14,ROW($AQ$49:$AQ$80)-48),COUNTIF($AV$9:AV14,AV14)))</f>
        <v>Engenharia da Computação</v>
      </c>
      <c r="AV14" s="122">
        <f t="shared" si="3"/>
        <v>1</v>
      </c>
      <c r="AW14" s="53">
        <f t="shared" si="4"/>
        <v>8.3333333333333329E-2</v>
      </c>
      <c r="AX14" s="48"/>
      <c r="AY14" s="146" t="s">
        <v>1261</v>
      </c>
      <c r="AZ14" s="48"/>
      <c r="BA14" s="48"/>
      <c r="BB14" s="48"/>
      <c r="BC14" s="143" t="s">
        <v>621</v>
      </c>
      <c r="BD14" s="94">
        <f>SUM(BD9:BD13)</f>
        <v>58</v>
      </c>
      <c r="BE14" s="95">
        <f>SUM(BE9:BE13)</f>
        <v>1</v>
      </c>
      <c r="BF14" s="48"/>
      <c r="BG14" s="137" t="str">
        <f>BG8</f>
        <v>Em que medida as seguintes sentenças se aplicam à sua decisão
de cursar outra graduação?</v>
      </c>
      <c r="BH14" s="138">
        <v>1</v>
      </c>
      <c r="BI14" s="138">
        <v>2</v>
      </c>
      <c r="BJ14" s="138">
        <v>3</v>
      </c>
      <c r="BK14" s="138">
        <v>4</v>
      </c>
      <c r="BL14" s="138">
        <v>5</v>
      </c>
      <c r="BM14" s="138" t="s">
        <v>160</v>
      </c>
    </row>
    <row r="15" spans="1:66" x14ac:dyDescent="0.2">
      <c r="B15" s="152"/>
      <c r="C15" s="311"/>
      <c r="D15" s="152"/>
      <c r="E15" s="137" t="s">
        <v>950</v>
      </c>
      <c r="F15" s="138" t="str">
        <f>F8</f>
        <v>Sim</v>
      </c>
      <c r="G15" s="138" t="str">
        <f>G8</f>
        <v>Não</v>
      </c>
      <c r="H15" s="48"/>
      <c r="I15" s="143" t="s">
        <v>621</v>
      </c>
      <c r="J15" s="155">
        <f>COUNTA(Respostas_Formatadas!$E:$E)-2</f>
        <v>103</v>
      </c>
      <c r="K15" s="154" t="s">
        <v>933</v>
      </c>
      <c r="L15" s="48"/>
      <c r="M15" s="48"/>
      <c r="N15" s="48"/>
      <c r="O15" s="48"/>
      <c r="P15" s="48"/>
      <c r="Q15" s="48"/>
      <c r="R15" s="48"/>
      <c r="S15" s="48"/>
      <c r="T15" s="48"/>
      <c r="U15" s="48"/>
      <c r="V15" s="48"/>
      <c r="W15" s="48"/>
      <c r="X15" s="51" t="s">
        <v>1083</v>
      </c>
      <c r="Y15" s="53">
        <f>Y9/$AA$9</f>
        <v>0.22878228782287824</v>
      </c>
      <c r="Z15" s="53">
        <f>Z9/$AA$9</f>
        <v>0.77121771217712176</v>
      </c>
      <c r="AA15" s="95">
        <f>Y15+Z15</f>
        <v>1</v>
      </c>
      <c r="AB15" s="48"/>
      <c r="AC15" s="51" t="s">
        <v>1083</v>
      </c>
      <c r="AD15" s="53">
        <f>AD9/$AF$9</f>
        <v>0.55719557195571956</v>
      </c>
      <c r="AE15" s="53">
        <f>AE9/$AF$9</f>
        <v>0.44280442804428044</v>
      </c>
      <c r="AF15" s="95">
        <f>SUM(AD15:AE15)</f>
        <v>1</v>
      </c>
      <c r="AG15" s="48"/>
      <c r="AH15" s="48"/>
      <c r="AI15" s="51" t="str">
        <f>CaractAmostra!E9</f>
        <v>Licenciatura em Física</v>
      </c>
      <c r="AJ15" s="52">
        <f>IFERROR(COUNTIFS(Respostas_Formatadas!$R:$R,ContEstudos!$AI$10,Respostas_Formatadas!$C:$C,ContEstudos!$AI15),"-")</f>
        <v>0</v>
      </c>
      <c r="AK15" s="52">
        <f>IFERROR(COUNTIFS(Respostas_Formatadas!$R:$R,ContEstudos!$AI$11,Respostas_Formatadas!$C:$C,ContEstudos!$AI15),"-")</f>
        <v>0</v>
      </c>
      <c r="AL15" s="52">
        <f>AJ15+AK15</f>
        <v>0</v>
      </c>
      <c r="AM15" s="53" t="str">
        <f>IFERROR(AJ15/AL15,"-")</f>
        <v>-</v>
      </c>
      <c r="AN15" s="53" t="str">
        <f>IFERROR(AK15/AL15,"-")</f>
        <v>-</v>
      </c>
      <c r="AO15" s="48"/>
      <c r="AP15" s="51" t="str">
        <f>Tabulacao!AH46</f>
        <v>Pedagogia</v>
      </c>
      <c r="AQ15" s="122">
        <f>Tabulacao!AI46</f>
        <v>3</v>
      </c>
      <c r="AR15" s="53">
        <f t="shared" si="0"/>
        <v>5.2631578947368418E-2</v>
      </c>
      <c r="AS15" s="48"/>
      <c r="AT15" s="122">
        <v>7</v>
      </c>
      <c r="AU15" s="51" t="str">
        <f t="array" ref="AU15">INDEX($AP$49:$AP$80,SMALL(IF($AQ$49:$AQ$80=AV15,ROW($AQ$49:$AQ$80)-48),COUNTIF($AV$9:AV15,AV15)))</f>
        <v>Estética e Cosmética</v>
      </c>
      <c r="AV15" s="122">
        <f t="shared" si="3"/>
        <v>1</v>
      </c>
      <c r="AW15" s="53">
        <f t="shared" si="4"/>
        <v>8.3333333333333329E-2</v>
      </c>
      <c r="AX15" s="48"/>
      <c r="AY15" s="48"/>
      <c r="AZ15" s="48"/>
      <c r="BA15" s="48"/>
      <c r="BB15" s="48"/>
      <c r="BC15" s="48"/>
      <c r="BD15" s="48"/>
      <c r="BE15" s="48"/>
      <c r="BF15" s="48"/>
      <c r="BG15" s="60" t="str">
        <f>Tabulacao!AQ2</f>
        <v>A graduação que fiz no IFS não me trouxe o retorno esperado no mercado de trabalho</v>
      </c>
      <c r="BH15" s="125">
        <f>VLOOKUP(BH$14,Tabulacao!$AQ$2:$AS$14,2,FALSE)/SUM(Tabulacao!$AR$4:$AR$8)</f>
        <v>0.27586206896551724</v>
      </c>
      <c r="BI15" s="125">
        <f>VLOOKUP(BI$14,Tabulacao!$AQ$2:$AS$14,2,FALSE)/SUM(Tabulacao!$AR$4:$AR$8)</f>
        <v>0.13793103448275862</v>
      </c>
      <c r="BJ15" s="125">
        <f>VLOOKUP(BJ$14,Tabulacao!$AQ$2:$AS$14,2,FALSE)/SUM(Tabulacao!$AR$4:$AR$8)</f>
        <v>0.22413793103448276</v>
      </c>
      <c r="BK15" s="125">
        <f>VLOOKUP(BK$14,Tabulacao!$AQ$2:$AS$14,2,FALSE)/SUM(Tabulacao!$AR$4:$AR$8)</f>
        <v>0.20689655172413793</v>
      </c>
      <c r="BL15" s="125">
        <f>VLOOKUP(BL$14,Tabulacao!$AQ$2:$AS$14,2,FALSE)/SUM(Tabulacao!$AR$4:$AR$8)</f>
        <v>0.15517241379310345</v>
      </c>
      <c r="BM15" s="124">
        <f>Tabulacao!AR10</f>
        <v>2.8275862068965516</v>
      </c>
    </row>
    <row r="16" spans="1:66" x14ac:dyDescent="0.2">
      <c r="B16" s="152"/>
      <c r="C16" s="311"/>
      <c r="D16" s="152"/>
      <c r="E16" s="51" t="str">
        <f>CaractAmostra!E9</f>
        <v>Licenciatura em Física</v>
      </c>
      <c r="F16" s="53">
        <f>IFERROR(COUNTIFS(Respostas_Formatadas!$C:$C,ContEstudos!$E16,Respostas_Formatadas!$D:$D,ContEstudos!$F$15)/VLOOKUP($E16,CaractAmostra!$E$8:$G$21,2,FALSE),"-")</f>
        <v>0.375</v>
      </c>
      <c r="G16" s="53">
        <f>IFERROR(COUNTIFS(Respostas_Formatadas!$C:$C,ContEstudos!$E16,Respostas_Formatadas!$D:$D,ContEstudos!$G$15)/VLOOKUP($E16,CaractAmostra!$E$8:$G$21,2,FALSE),"-")</f>
        <v>0.625</v>
      </c>
      <c r="H16" s="48"/>
      <c r="I16" s="48"/>
      <c r="J16" s="48"/>
      <c r="K16" s="48"/>
      <c r="L16" s="48"/>
      <c r="M16" s="48"/>
      <c r="N16" s="48"/>
      <c r="O16" s="48"/>
      <c r="P16" s="48"/>
      <c r="Q16" s="48"/>
      <c r="R16" s="48"/>
      <c r="S16" s="48"/>
      <c r="T16" s="48"/>
      <c r="U16" s="48"/>
      <c r="V16" s="48"/>
      <c r="W16" s="48"/>
      <c r="X16" s="51" t="s">
        <v>1084</v>
      </c>
      <c r="Y16" s="53">
        <f>Y10/$AA$10</f>
        <v>0.67527675276752763</v>
      </c>
      <c r="Z16" s="53">
        <f>Z10/$AA$10</f>
        <v>0.32472324723247231</v>
      </c>
      <c r="AA16" s="95">
        <f>Y16+Z16</f>
        <v>1</v>
      </c>
      <c r="AB16" s="48"/>
      <c r="AC16" s="51" t="s">
        <v>1084</v>
      </c>
      <c r="AD16" s="53">
        <f>AD10/$AF$10</f>
        <v>0.45387453874538747</v>
      </c>
      <c r="AE16" s="53">
        <f>AE10/$AF$10</f>
        <v>0.54612546125461259</v>
      </c>
      <c r="AF16" s="95">
        <f>SUM(AD16:AE16)</f>
        <v>1</v>
      </c>
      <c r="AG16" s="48"/>
      <c r="AH16" s="48"/>
      <c r="AI16" s="51" t="str">
        <f>CaractAmostra!E10</f>
        <v>Bacharelado em Sistemas de Informação</v>
      </c>
      <c r="AJ16" s="52">
        <f>IFERROR(COUNTIFS(Respostas_Formatadas!$R:$R,ContEstudos!$AI$10,Respostas_Formatadas!$C:$C,ContEstudos!$AI16),"-")</f>
        <v>0</v>
      </c>
      <c r="AK16" s="52">
        <f>IFERROR(COUNTIFS(Respostas_Formatadas!$R:$R,ContEstudos!$AI$11,Respostas_Formatadas!$C:$C,ContEstudos!$AI16),"-")</f>
        <v>0</v>
      </c>
      <c r="AL16" s="52">
        <f t="shared" ref="AL16:AL26" si="6">AJ16+AK16</f>
        <v>0</v>
      </c>
      <c r="AM16" s="53" t="str">
        <f t="shared" ref="AM16:AM27" si="7">IFERROR(AJ16/AL16,"-")</f>
        <v>-</v>
      </c>
      <c r="AN16" s="53" t="str">
        <f t="shared" ref="AN16:AN27" si="8">IFERROR(AK16/AL16,"-")</f>
        <v>-</v>
      </c>
      <c r="AO16" s="48"/>
      <c r="AP16" s="51" t="str">
        <f>Tabulacao!AH47</f>
        <v>Sistemas de Informação</v>
      </c>
      <c r="AQ16" s="122">
        <f>Tabulacao!AI47</f>
        <v>3</v>
      </c>
      <c r="AR16" s="53">
        <f t="shared" si="0"/>
        <v>5.2631578947368418E-2</v>
      </c>
      <c r="AS16" s="48"/>
      <c r="AT16" s="122">
        <v>8</v>
      </c>
      <c r="AU16" s="51" t="str">
        <f t="array" ref="AU16">INDEX($AP$49:$AP$80,SMALL(IF($AQ$49:$AQ$80=AV16,ROW($AQ$49:$AQ$80)-48),COUNTIF($AV$9:AV16,AV16)))</f>
        <v>Letras Português - Espanhol</v>
      </c>
      <c r="AV16" s="122">
        <f t="shared" si="3"/>
        <v>1</v>
      </c>
      <c r="AW16" s="53">
        <f t="shared" si="4"/>
        <v>8.3333333333333329E-2</v>
      </c>
      <c r="AX16" s="307" t="s">
        <v>1159</v>
      </c>
      <c r="AY16" s="261" t="s">
        <v>124</v>
      </c>
      <c r="AZ16" s="48"/>
      <c r="BA16" s="48"/>
      <c r="BB16" s="48"/>
      <c r="BC16" s="48"/>
      <c r="BD16" s="48"/>
      <c r="BE16" s="48"/>
      <c r="BF16" s="48"/>
      <c r="BG16" s="60" t="str">
        <f>Tabulacao!AT2</f>
        <v>Não me adaptei à área do curso que fiz no IFS</v>
      </c>
      <c r="BH16" s="125">
        <f>VLOOKUP(BH$14,Tabulacao!$AT$2:$AV$14,2,FALSE)/SUM(Tabulacao!$AU$4:$AU$8)</f>
        <v>0.32758620689655171</v>
      </c>
      <c r="BI16" s="125">
        <f>VLOOKUP(BI$14,Tabulacao!$AT$2:$AV$14,2,FALSE)/SUM(Tabulacao!$AU$4:$AU$8)</f>
        <v>0.15517241379310345</v>
      </c>
      <c r="BJ16" s="125">
        <f>VLOOKUP(BJ$14,Tabulacao!$AT$2:$AV$14,2,FALSE)/SUM(Tabulacao!$AU$4:$AU$8)</f>
        <v>0.2413793103448276</v>
      </c>
      <c r="BK16" s="125">
        <f>VLOOKUP(BK$14,Tabulacao!$AT$2:$AV$14,2,FALSE)/SUM(Tabulacao!$AU$4:$AU$8)</f>
        <v>8.6206896551724144E-2</v>
      </c>
      <c r="BL16" s="125">
        <f>VLOOKUP(BL$14,Tabulacao!$AT$2:$AV$14,2,FALSE)/SUM(Tabulacao!$AU$4:$AU$8)</f>
        <v>0.18965517241379309</v>
      </c>
      <c r="BM16" s="124">
        <f>Tabulacao!AU10</f>
        <v>2.6551724137931036</v>
      </c>
    </row>
    <row r="17" spans="2:65" x14ac:dyDescent="0.2">
      <c r="B17" s="152"/>
      <c r="C17" s="311"/>
      <c r="D17" s="152"/>
      <c r="E17" s="51" t="str">
        <f>CaractAmostra!E10</f>
        <v>Bacharelado em Sistemas de Informação</v>
      </c>
      <c r="F17" s="53">
        <f>IFERROR(COUNTIFS(Respostas_Formatadas!$C:$C,ContEstudos!$E17,Respostas_Formatadas!$D:$D,ContEstudos!$F$15)/VLOOKUP($E17,CaractAmostra!$E$8:$G$21,2,FALSE),"-")</f>
        <v>0.47368421052631576</v>
      </c>
      <c r="G17" s="53">
        <f>IFERROR(COUNTIFS(Respostas_Formatadas!$C:$C,ContEstudos!$E17,Respostas_Formatadas!$D:$D,ContEstudos!$G$15)/VLOOKUP($E17,CaractAmostra!$E$8:$G$21,2,FALSE),"-")</f>
        <v>0.52631578947368418</v>
      </c>
      <c r="H17" s="48"/>
      <c r="I17" s="48"/>
      <c r="J17" s="48"/>
      <c r="K17" s="48"/>
      <c r="L17" s="48"/>
      <c r="M17" s="48"/>
      <c r="N17" s="48"/>
      <c r="O17" s="48"/>
      <c r="P17" s="48"/>
      <c r="Q17" s="48"/>
      <c r="R17" s="48"/>
      <c r="S17" s="48"/>
      <c r="T17" s="48"/>
      <c r="U17" s="48"/>
      <c r="V17" s="48"/>
      <c r="W17" s="48"/>
      <c r="X17" s="48"/>
      <c r="Y17" s="48"/>
      <c r="Z17" s="48"/>
      <c r="AA17" s="48"/>
      <c r="AB17" s="48"/>
      <c r="AC17" s="48"/>
      <c r="AD17" s="48"/>
      <c r="AE17" s="48"/>
      <c r="AF17" s="48"/>
      <c r="AG17" s="48"/>
      <c r="AH17" s="48"/>
      <c r="AI17" s="51" t="str">
        <f>CaractAmostra!E11</f>
        <v>Tecnologia em Automação Industrial</v>
      </c>
      <c r="AJ17" s="52">
        <f>IFERROR(COUNTIFS(Respostas_Formatadas!$R:$R,ContEstudos!$AI$10,Respostas_Formatadas!$C:$C,ContEstudos!$AI17),"-")</f>
        <v>3</v>
      </c>
      <c r="AK17" s="52">
        <f>IFERROR(COUNTIFS(Respostas_Formatadas!$R:$R,ContEstudos!$AI$11,Respostas_Formatadas!$C:$C,ContEstudos!$AI17),"-")</f>
        <v>1</v>
      </c>
      <c r="AL17" s="52">
        <f t="shared" si="6"/>
        <v>4</v>
      </c>
      <c r="AM17" s="53">
        <f t="shared" si="7"/>
        <v>0.75</v>
      </c>
      <c r="AN17" s="53">
        <f t="shared" si="8"/>
        <v>0.25</v>
      </c>
      <c r="AO17" s="48"/>
      <c r="AP17" s="51" t="str">
        <f>Tabulacao!AH48</f>
        <v>Ciências Contábeis</v>
      </c>
      <c r="AQ17" s="122">
        <f>Tabulacao!AI48</f>
        <v>2</v>
      </c>
      <c r="AR17" s="53">
        <f t="shared" si="0"/>
        <v>3.5087719298245612E-2</v>
      </c>
      <c r="AS17" s="48"/>
      <c r="AT17" s="122">
        <v>9</v>
      </c>
      <c r="AU17" s="51" t="str">
        <f t="array" ref="AU17">INDEX($AP$49:$AP$80,SMALL(IF($AQ$49:$AQ$80=AV17,ROW($AQ$49:$AQ$80)-48),COUNTIF($AV$9:AV17,AV17)))</f>
        <v>Recursos Humanos</v>
      </c>
      <c r="AV17" s="122">
        <f t="shared" si="3"/>
        <v>1</v>
      </c>
      <c r="AW17" s="53">
        <f t="shared" si="4"/>
        <v>8.3333333333333329E-2</v>
      </c>
      <c r="AX17" s="48"/>
      <c r="AY17" s="194" t="s">
        <v>13</v>
      </c>
      <c r="AZ17" s="187" t="s">
        <v>131</v>
      </c>
      <c r="BA17" s="187" t="s">
        <v>132</v>
      </c>
      <c r="BB17" s="48"/>
      <c r="BC17" s="121" t="s">
        <v>1100</v>
      </c>
      <c r="BD17" s="48"/>
      <c r="BE17" s="48"/>
      <c r="BF17" s="48"/>
      <c r="BG17" s="60" t="str">
        <f>Tabulacao!AW2</f>
        <v>Quis aprimorar os conhecimentos que eu adquiri na graduação do IFS</v>
      </c>
      <c r="BH17" s="125">
        <f>VLOOKUP(BH$14,Tabulacao!$AW$2:$AY$14,2,FALSE)/SUM(Tabulacao!$AX$4:$AX$8)</f>
        <v>0.1206896551724138</v>
      </c>
      <c r="BI17" s="125">
        <f>VLOOKUP(BI$14,Tabulacao!$AW$2:$AY$14,2,FALSE)/SUM(Tabulacao!$AX$4:$AX$8)</f>
        <v>5.1724137931034482E-2</v>
      </c>
      <c r="BJ17" s="125">
        <f>VLOOKUP(BJ$14,Tabulacao!$AW$2:$AY$14,2,FALSE)/SUM(Tabulacao!$AX$4:$AX$8)</f>
        <v>0.29310344827586204</v>
      </c>
      <c r="BK17" s="125">
        <f>VLOOKUP(BK$14,Tabulacao!$AW$2:$AY$14,2,FALSE)/SUM(Tabulacao!$AX$4:$AX$8)</f>
        <v>0.13793103448275862</v>
      </c>
      <c r="BL17" s="125">
        <f>VLOOKUP(BL$14,Tabulacao!$AW$2:$AY$14,2,FALSE)/SUM(Tabulacao!$AX$4:$AX$8)</f>
        <v>0.39655172413793105</v>
      </c>
      <c r="BM17" s="124">
        <f>Tabulacao!AX10</f>
        <v>3.6379310344827585</v>
      </c>
    </row>
    <row r="18" spans="2:65" x14ac:dyDescent="0.2">
      <c r="B18" s="152"/>
      <c r="C18" s="311"/>
      <c r="D18" s="152"/>
      <c r="E18" s="51" t="str">
        <f>CaractAmostra!E11</f>
        <v>Tecnologia em Automação Industrial</v>
      </c>
      <c r="F18" s="53">
        <f>IFERROR(COUNTIFS(Respostas_Formatadas!$C:$C,ContEstudos!$E18,Respostas_Formatadas!$D:$D,ContEstudos!$F$15)/VLOOKUP($E18,CaractAmostra!$E$8:$G$21,2,FALSE),"-")</f>
        <v>0.11764705882352941</v>
      </c>
      <c r="G18" s="53">
        <f>IFERROR(COUNTIFS(Respostas_Formatadas!$C:$C,ContEstudos!$E18,Respostas_Formatadas!$D:$D,ContEstudos!$G$15)/VLOOKUP($E18,CaractAmostra!$E$8:$G$21,2,FALSE),"-")</f>
        <v>0.88235294117647056</v>
      </c>
      <c r="H18" s="48"/>
      <c r="I18" s="48"/>
      <c r="J18" s="48"/>
      <c r="K18" s="48"/>
      <c r="L18" s="48"/>
      <c r="M18" s="48"/>
      <c r="N18" s="48"/>
      <c r="O18" s="48"/>
      <c r="P18" s="48"/>
      <c r="Q18" s="48"/>
      <c r="R18" s="48"/>
      <c r="S18" s="48"/>
      <c r="T18" s="48"/>
      <c r="U18" s="48"/>
      <c r="V18" s="48"/>
      <c r="W18" s="48"/>
      <c r="X18" s="146" t="s">
        <v>1097</v>
      </c>
      <c r="Y18" s="48"/>
      <c r="Z18" s="48"/>
      <c r="AA18" s="48"/>
      <c r="AB18" s="48"/>
      <c r="AC18" s="146" t="s">
        <v>1347</v>
      </c>
      <c r="AD18" s="48"/>
      <c r="AE18" s="48"/>
      <c r="AF18" s="48"/>
      <c r="AG18" s="48"/>
      <c r="AH18" s="48"/>
      <c r="AI18" s="51" t="str">
        <f>CaractAmostra!E12</f>
        <v>Tecnologia em Logística</v>
      </c>
      <c r="AJ18" s="52">
        <f>IFERROR(COUNTIFS(Respostas_Formatadas!$R:$R,ContEstudos!$AI$10,Respostas_Formatadas!$C:$C,ContEstudos!$AI18),"-")</f>
        <v>0</v>
      </c>
      <c r="AK18" s="52">
        <f>IFERROR(COUNTIFS(Respostas_Formatadas!$R:$R,ContEstudos!$AI$11,Respostas_Formatadas!$C:$C,ContEstudos!$AI18),"-")</f>
        <v>5</v>
      </c>
      <c r="AL18" s="52">
        <f t="shared" si="6"/>
        <v>5</v>
      </c>
      <c r="AM18" s="53">
        <f t="shared" si="7"/>
        <v>0</v>
      </c>
      <c r="AN18" s="53">
        <f t="shared" si="8"/>
        <v>1</v>
      </c>
      <c r="AO18" s="48"/>
      <c r="AP18" s="51" t="str">
        <f>Tabulacao!AH49</f>
        <v>Engenharia Ambiental</v>
      </c>
      <c r="AQ18" s="122">
        <f>Tabulacao!AI49</f>
        <v>2</v>
      </c>
      <c r="AR18" s="53">
        <f t="shared" si="0"/>
        <v>3.5087719298245612E-2</v>
      </c>
      <c r="AS18" s="48"/>
      <c r="AT18" s="122">
        <v>10</v>
      </c>
      <c r="AU18" s="51" t="str">
        <f t="array" ref="AU18">INDEX($AP$49:$AP$80,SMALL(IF($AQ$49:$AQ$80=AV18,ROW($AQ$49:$AQ$80)-48),COUNTIF($AV$9:AV18,AV18)))</f>
        <v>Saneamento Ambiental</v>
      </c>
      <c r="AV18" s="122">
        <f t="shared" si="3"/>
        <v>1</v>
      </c>
      <c r="AW18" s="53">
        <f t="shared" si="4"/>
        <v>8.3333333333333329E-2</v>
      </c>
      <c r="AX18" s="48"/>
      <c r="AY18" s="51" t="str">
        <f>AY9</f>
        <v>Presencial</v>
      </c>
      <c r="AZ18" s="122">
        <f>COUNTIFS(Respostas_Formatadas!$C:$C,ContEstudos!$AY$16,Respostas_Formatadas!$T:$T,ContEstudos!AY18)</f>
        <v>15</v>
      </c>
      <c r="BA18" s="53">
        <f>IFERROR(AZ18/$AZ$20,"-")</f>
        <v>0.88235294117647056</v>
      </c>
      <c r="BB18" s="48"/>
      <c r="BC18" s="48"/>
      <c r="BD18" s="48"/>
      <c r="BE18" s="48"/>
      <c r="BF18" s="48"/>
      <c r="BG18" s="48"/>
      <c r="BH18" s="48"/>
      <c r="BI18" s="48"/>
      <c r="BJ18" s="48"/>
      <c r="BK18" s="48"/>
      <c r="BL18" s="48"/>
      <c r="BM18" s="48"/>
    </row>
    <row r="19" spans="2:65" x14ac:dyDescent="0.2">
      <c r="B19" s="152"/>
      <c r="C19" s="311"/>
      <c r="D19" s="152"/>
      <c r="E19" s="51" t="str">
        <f>CaractAmostra!E12</f>
        <v>Tecnologia em Logística</v>
      </c>
      <c r="F19" s="53">
        <f>IFERROR(COUNTIFS(Respostas_Formatadas!$C:$C,ContEstudos!$E19,Respostas_Formatadas!$D:$D,ContEstudos!$F$15)/VLOOKUP($E19,CaractAmostra!$E$8:$G$21,2,FALSE),"-")</f>
        <v>0.11764705882352941</v>
      </c>
      <c r="G19" s="53">
        <f>IFERROR(COUNTIFS(Respostas_Formatadas!$C:$C,ContEstudos!$E19,Respostas_Formatadas!$D:$D,ContEstudos!$G$15)/VLOOKUP($E19,CaractAmostra!$E$8:$G$21,2,FALSE),"-")</f>
        <v>0.88235294117647056</v>
      </c>
      <c r="H19" s="48"/>
      <c r="I19" s="48"/>
      <c r="J19" s="48"/>
      <c r="K19" s="48"/>
      <c r="L19" s="48"/>
      <c r="M19" s="48"/>
      <c r="N19" s="48"/>
      <c r="O19" s="48"/>
      <c r="P19" s="48"/>
      <c r="Q19" s="48"/>
      <c r="R19" s="48"/>
      <c r="S19" s="48"/>
      <c r="T19" s="48"/>
      <c r="U19" s="48"/>
      <c r="V19" s="48"/>
      <c r="W19" s="48"/>
      <c r="X19" s="48"/>
      <c r="Y19" s="48"/>
      <c r="Z19" s="48"/>
      <c r="AA19" s="48"/>
      <c r="AB19" s="48"/>
      <c r="AC19" s="48"/>
      <c r="AD19" s="48"/>
      <c r="AE19" s="48"/>
      <c r="AF19" s="48"/>
      <c r="AG19" s="48"/>
      <c r="AH19" s="48"/>
      <c r="AI19" s="51" t="str">
        <f>CaractAmostra!E13</f>
        <v>Tecnologia em Agroecologia</v>
      </c>
      <c r="AJ19" s="52">
        <f>IFERROR(COUNTIFS(Respostas_Formatadas!$R:$R,ContEstudos!$AI$10,Respostas_Formatadas!$C:$C,ContEstudos!$AI19),"-")</f>
        <v>2</v>
      </c>
      <c r="AK19" s="52">
        <f>IFERROR(COUNTIFS(Respostas_Formatadas!$R:$R,ContEstudos!$AI$11,Respostas_Formatadas!$C:$C,ContEstudos!$AI19),"-")</f>
        <v>2</v>
      </c>
      <c r="AL19" s="52">
        <f t="shared" si="6"/>
        <v>4</v>
      </c>
      <c r="AM19" s="53">
        <f t="shared" si="7"/>
        <v>0.5</v>
      </c>
      <c r="AN19" s="53">
        <f t="shared" si="8"/>
        <v>0.5</v>
      </c>
      <c r="AO19" s="48"/>
      <c r="AP19" s="51" t="str">
        <f>Tabulacao!AH50</f>
        <v>Engenharia de Produção</v>
      </c>
      <c r="AQ19" s="122">
        <f>Tabulacao!AI50</f>
        <v>2</v>
      </c>
      <c r="AR19" s="53">
        <f t="shared" si="0"/>
        <v>3.5087719298245612E-2</v>
      </c>
      <c r="AS19" s="48"/>
      <c r="AT19" s="122">
        <v>11</v>
      </c>
      <c r="AU19" s="51" t="str">
        <f t="array" ref="AU19">INDEX($AP$49:$AP$80,SMALL(IF($AQ$49:$AQ$80=AV19,ROW($AQ$49:$AQ$80)-48),COUNTIF($AV$9:AV19,AV19)))</f>
        <v>Técnico em Hospedagem</v>
      </c>
      <c r="AV19" s="122">
        <f t="shared" si="3"/>
        <v>1</v>
      </c>
      <c r="AW19" s="53">
        <f t="shared" si="4"/>
        <v>8.3333333333333329E-2</v>
      </c>
      <c r="AX19" s="48"/>
      <c r="AY19" s="51" t="str">
        <f>AY10</f>
        <v>Semipresencial ou EaD</v>
      </c>
      <c r="AZ19" s="122">
        <f>COUNTIFS(Respostas_Formatadas!$C:$C,ContEstudos!$AY$16,Respostas_Formatadas!$T:$T,ContEstudos!AY19)</f>
        <v>2</v>
      </c>
      <c r="BA19" s="53">
        <f>IFERROR(AZ19/$AZ$20,"-")</f>
        <v>0.11764705882352941</v>
      </c>
      <c r="BB19" s="307" t="s">
        <v>1159</v>
      </c>
      <c r="BC19" s="261" t="s">
        <v>125</v>
      </c>
      <c r="BD19" s="48"/>
      <c r="BE19" s="48"/>
      <c r="BF19" s="48"/>
      <c r="BG19" s="48"/>
      <c r="BH19" s="48"/>
      <c r="BI19" s="48"/>
      <c r="BJ19" s="48"/>
      <c r="BK19" s="48"/>
      <c r="BL19" s="48"/>
      <c r="BM19" s="48"/>
    </row>
    <row r="20" spans="2:65" x14ac:dyDescent="0.2">
      <c r="B20" s="152"/>
      <c r="C20" s="311"/>
      <c r="D20" s="152"/>
      <c r="E20" s="51" t="str">
        <f>CaractAmostra!E13</f>
        <v>Tecnologia em Agroecologia</v>
      </c>
      <c r="F20" s="53">
        <f>IFERROR(COUNTIFS(Respostas_Formatadas!$C:$C,ContEstudos!$E20,Respostas_Formatadas!$D:$D,ContEstudos!$F$15)/VLOOKUP($E20,CaractAmostra!$E$8:$G$21,2,FALSE),"-")</f>
        <v>0.625</v>
      </c>
      <c r="G20" s="53">
        <f>IFERROR(COUNTIFS(Respostas_Formatadas!$C:$C,ContEstudos!$E20,Respostas_Formatadas!$D:$D,ContEstudos!$G$15)/VLOOKUP($E20,CaractAmostra!$E$8:$G$21,2,FALSE),"-")</f>
        <v>0.375</v>
      </c>
      <c r="H20" s="48"/>
      <c r="I20" s="48"/>
      <c r="J20" s="48"/>
      <c r="K20" s="48"/>
      <c r="L20" s="48"/>
      <c r="M20" s="48"/>
      <c r="N20" s="48"/>
      <c r="O20" s="48"/>
      <c r="P20" s="48"/>
      <c r="Q20" s="48"/>
      <c r="R20" s="48"/>
      <c r="S20" s="48"/>
      <c r="T20" s="48"/>
      <c r="U20" s="48"/>
      <c r="V20" s="48"/>
      <c r="W20" s="307" t="s">
        <v>1159</v>
      </c>
      <c r="X20" s="261" t="s">
        <v>120</v>
      </c>
      <c r="Y20" s="48"/>
      <c r="Z20" s="48"/>
      <c r="AA20" s="48"/>
      <c r="AB20" s="307" t="s">
        <v>1159</v>
      </c>
      <c r="AC20" s="261" t="s">
        <v>120</v>
      </c>
      <c r="AD20" s="48"/>
      <c r="AE20" s="48"/>
      <c r="AF20" s="48"/>
      <c r="AG20" s="48"/>
      <c r="AH20" s="48"/>
      <c r="AI20" s="51" t="str">
        <f>CaractAmostra!E14</f>
        <v>Tecnologia em Saneamento Ambiental</v>
      </c>
      <c r="AJ20" s="52">
        <f>IFERROR(COUNTIFS(Respostas_Formatadas!$R:$R,ContEstudos!$AI$10,Respostas_Formatadas!$C:$C,ContEstudos!$AI20),"-")</f>
        <v>5</v>
      </c>
      <c r="AK20" s="52">
        <f>IFERROR(COUNTIFS(Respostas_Formatadas!$R:$R,ContEstudos!$AI$11,Respostas_Formatadas!$C:$C,ContEstudos!$AI20),"-")</f>
        <v>12</v>
      </c>
      <c r="AL20" s="52">
        <f t="shared" si="6"/>
        <v>17</v>
      </c>
      <c r="AM20" s="53">
        <f t="shared" si="7"/>
        <v>0.29411764705882354</v>
      </c>
      <c r="AN20" s="53">
        <f t="shared" si="8"/>
        <v>0.70588235294117652</v>
      </c>
      <c r="AO20" s="48"/>
      <c r="AP20" s="51" t="str">
        <f>Tabulacao!AH51</f>
        <v>Matemática</v>
      </c>
      <c r="AQ20" s="122">
        <f>Tabulacao!AI51</f>
        <v>2</v>
      </c>
      <c r="AR20" s="53">
        <f t="shared" si="0"/>
        <v>3.5087719298245612E-2</v>
      </c>
      <c r="AS20" s="48"/>
      <c r="AT20" s="122">
        <v>12</v>
      </c>
      <c r="AU20" s="51" t="str">
        <f t="array" ref="AU20">INDEX($AP$49:$AP$80,SMALL(IF($AQ$49:$AQ$80=AV20,ROW($AQ$49:$AQ$80)-48),COUNTIF($AV$9:AV20,AV20)))</f>
        <v>Engenharia Civil</v>
      </c>
      <c r="AV20" s="122">
        <f t="shared" si="3"/>
        <v>0</v>
      </c>
      <c r="AW20" s="53">
        <f t="shared" si="4"/>
        <v>0</v>
      </c>
      <c r="AX20" s="48"/>
      <c r="AY20" s="148" t="s">
        <v>621</v>
      </c>
      <c r="AZ20" s="192">
        <f>SUM(AZ18:AZ19)</f>
        <v>17</v>
      </c>
      <c r="BA20" s="193">
        <f>SUM(BA18:BA19)</f>
        <v>1</v>
      </c>
      <c r="BB20" s="48"/>
      <c r="BC20" s="194" t="s">
        <v>14</v>
      </c>
      <c r="BD20" s="187" t="s">
        <v>131</v>
      </c>
      <c r="BE20" s="187" t="s">
        <v>132</v>
      </c>
      <c r="BF20" s="48"/>
      <c r="BG20" s="121" t="s">
        <v>1103</v>
      </c>
      <c r="BH20" s="48"/>
      <c r="BI20" s="48"/>
      <c r="BJ20" s="48"/>
      <c r="BK20" s="48"/>
      <c r="BL20" s="48"/>
      <c r="BM20" s="48"/>
    </row>
    <row r="21" spans="2:65" x14ac:dyDescent="0.2">
      <c r="B21" s="152"/>
      <c r="C21" s="311"/>
      <c r="D21" s="152"/>
      <c r="E21" s="51" t="str">
        <f>CaractAmostra!E14</f>
        <v>Tecnologia em Saneamento Ambiental</v>
      </c>
      <c r="F21" s="53">
        <f>IFERROR(COUNTIFS(Respostas_Formatadas!$C:$C,ContEstudos!$E21,Respostas_Formatadas!$D:$D,ContEstudos!$F$15)/VLOOKUP($E21,CaractAmostra!$E$8:$G$21,2,FALSE),"-")</f>
        <v>0.44444444444444442</v>
      </c>
      <c r="G21" s="53">
        <f>IFERROR(COUNTIFS(Respostas_Formatadas!$C:$C,ContEstudos!$E21,Respostas_Formatadas!$D:$D,ContEstudos!$G$15)/VLOOKUP($E21,CaractAmostra!$E$8:$G$21,2,FALSE),"-")</f>
        <v>0.55555555555555558</v>
      </c>
      <c r="H21" s="48"/>
      <c r="I21" s="48"/>
      <c r="J21" s="48"/>
      <c r="K21" s="48"/>
      <c r="L21" s="48"/>
      <c r="M21" s="48"/>
      <c r="N21" s="48"/>
      <c r="O21" s="48"/>
      <c r="P21" s="48"/>
      <c r="Q21" s="48"/>
      <c r="R21" s="48"/>
      <c r="S21" s="48"/>
      <c r="T21" s="48"/>
      <c r="U21" s="48"/>
      <c r="V21" s="48"/>
      <c r="W21" s="48"/>
      <c r="X21" s="194" t="str">
        <f>X14</f>
        <v>Você teve alguma experiência de trabalho relacionada à sua área de graduação?</v>
      </c>
      <c r="Y21" s="187" t="s">
        <v>133</v>
      </c>
      <c r="Z21" s="187" t="s">
        <v>134</v>
      </c>
      <c r="AA21" s="187" t="s">
        <v>621</v>
      </c>
      <c r="AB21" s="48"/>
      <c r="AC21" s="194" t="s">
        <v>1346</v>
      </c>
      <c r="AD21" s="187" t="s">
        <v>133</v>
      </c>
      <c r="AE21" s="187" t="s">
        <v>134</v>
      </c>
      <c r="AF21" s="187" t="s">
        <v>621</v>
      </c>
      <c r="AG21" s="48"/>
      <c r="AH21" s="48"/>
      <c r="AI21" s="51" t="str">
        <f>CaractAmostra!E15</f>
        <v>Bacharelado em Engenharia Civil</v>
      </c>
      <c r="AJ21" s="52">
        <f>IFERROR(COUNTIFS(Respostas_Formatadas!$R:$R,ContEstudos!$AI$10,Respostas_Formatadas!$C:$C,ContEstudos!$AI21),"-")</f>
        <v>1</v>
      </c>
      <c r="AK21" s="52">
        <f>IFERROR(COUNTIFS(Respostas_Formatadas!$R:$R,ContEstudos!$AI$11,Respostas_Formatadas!$C:$C,ContEstudos!$AI21),"-")</f>
        <v>0</v>
      </c>
      <c r="AL21" s="52">
        <f t="shared" si="6"/>
        <v>1</v>
      </c>
      <c r="AM21" s="53">
        <f t="shared" si="7"/>
        <v>1</v>
      </c>
      <c r="AN21" s="53">
        <f t="shared" si="8"/>
        <v>0</v>
      </c>
      <c r="AO21" s="48"/>
      <c r="AP21" s="51" t="str">
        <f>Tabulacao!AH52</f>
        <v>Nutrição</v>
      </c>
      <c r="AQ21" s="122">
        <f>Tabulacao!AI52</f>
        <v>2</v>
      </c>
      <c r="AR21" s="53">
        <f t="shared" si="0"/>
        <v>3.5087719298245612E-2</v>
      </c>
      <c r="AS21" s="48"/>
      <c r="AT21" s="122">
        <v>13</v>
      </c>
      <c r="AU21" s="51" t="str">
        <f t="array" ref="AU21">INDEX($AP$49:$AP$80,SMALL(IF($AQ$49:$AQ$80=AV21,ROW($AQ$49:$AQ$80)-48),COUNTIF($AV$9:AV21,AV21)))</f>
        <v>Química</v>
      </c>
      <c r="AV21" s="122">
        <f t="shared" si="3"/>
        <v>0</v>
      </c>
      <c r="AW21" s="53">
        <f t="shared" si="4"/>
        <v>0</v>
      </c>
      <c r="AX21" s="48"/>
      <c r="AY21" s="48"/>
      <c r="AZ21" s="48"/>
      <c r="BA21" s="48"/>
      <c r="BB21" s="48"/>
      <c r="BC21" s="51" t="str">
        <f>BC9</f>
        <v>IFS</v>
      </c>
      <c r="BD21" s="122">
        <f>COUNTIFS(Respostas_Formatadas!$C:$C,ContEstudos!$BC$19,Respostas_Formatadas!$U:$U,ContEstudos!$BC21)</f>
        <v>2</v>
      </c>
      <c r="BE21" s="53">
        <f>IFERROR(BD21/$BD$26,"-")</f>
        <v>0.16666666666666666</v>
      </c>
      <c r="BF21" s="48"/>
      <c r="BG21" s="48"/>
      <c r="BH21" s="48"/>
      <c r="BI21" s="48"/>
      <c r="BJ21" s="48"/>
      <c r="BK21" s="48"/>
      <c r="BL21" s="48"/>
      <c r="BM21" s="48"/>
    </row>
    <row r="22" spans="2:65" x14ac:dyDescent="0.2">
      <c r="B22" s="152"/>
      <c r="C22" s="311"/>
      <c r="D22" s="152"/>
      <c r="E22" s="51" t="str">
        <f>CaractAmostra!E15</f>
        <v>Bacharelado em Engenharia Civil</v>
      </c>
      <c r="F22" s="53">
        <f>IFERROR(COUNTIFS(Respostas_Formatadas!$C:$C,ContEstudos!$E22,Respostas_Formatadas!$D:$D,ContEstudos!$F$15)/VLOOKUP($E22,CaractAmostra!$E$8:$G$21,2,FALSE),"-")</f>
        <v>0.45833333333333331</v>
      </c>
      <c r="G22" s="53">
        <f>IFERROR(COUNTIFS(Respostas_Formatadas!$C:$C,ContEstudos!$E22,Respostas_Formatadas!$D:$D,ContEstudos!$G$15)/VLOOKUP($E22,CaractAmostra!$E$8:$G$21,2,FALSE),"-")</f>
        <v>0.54166666666666663</v>
      </c>
      <c r="H22" s="48"/>
      <c r="I22" s="48"/>
      <c r="J22" s="48"/>
      <c r="K22" s="48"/>
      <c r="L22" s="48"/>
      <c r="M22" s="48"/>
      <c r="N22" s="48"/>
      <c r="O22" s="48"/>
      <c r="P22" s="48"/>
      <c r="Q22" s="48"/>
      <c r="R22" s="48"/>
      <c r="S22" s="48"/>
      <c r="T22" s="48"/>
      <c r="U22" s="48"/>
      <c r="V22" s="48"/>
      <c r="W22" s="48"/>
      <c r="X22" s="51" t="s">
        <v>1083</v>
      </c>
      <c r="Y22" s="120">
        <f>COUNTIFS(Respostas_Formatadas!$C:$C,ContEstudos!$X$20,Respostas_Formatadas!$N:$N,ContEstudos!$Y$21)</f>
        <v>12</v>
      </c>
      <c r="Z22" s="120">
        <f>COUNTIFS(Respostas_Formatadas!$C:$C,ContEstudos!$X$20,Respostas_Formatadas!$N:$N,ContEstudos!$Z$21)</f>
        <v>7</v>
      </c>
      <c r="AA22" s="253">
        <f>Y22+Z22</f>
        <v>19</v>
      </c>
      <c r="AB22" s="48"/>
      <c r="AC22" s="51" t="s">
        <v>1083</v>
      </c>
      <c r="AD22" s="120">
        <f>COUNTIFS(Respostas_Formatadas!$C:$C,ContEstudos!$AC$20,Respostas_Formatadas!$P:$P,ContEstudos!AD$21)</f>
        <v>11</v>
      </c>
      <c r="AE22" s="120">
        <f>COUNTIFS(Respostas_Formatadas!$C:$C,ContEstudos!$AC$20,Respostas_Formatadas!$P:$P,ContEstudos!AE$21)</f>
        <v>8</v>
      </c>
      <c r="AF22" s="252">
        <f>SUM(AD22:AE22)</f>
        <v>19</v>
      </c>
      <c r="AG22" s="48"/>
      <c r="AH22" s="48"/>
      <c r="AI22" s="51" t="str">
        <f>CaractAmostra!E16</f>
        <v>Licenciatura em Química</v>
      </c>
      <c r="AJ22" s="52">
        <f>IFERROR(COUNTIFS(Respostas_Formatadas!$R:$R,ContEstudos!$AI$10,Respostas_Formatadas!$C:$C,ContEstudos!$AI22),"-")</f>
        <v>2</v>
      </c>
      <c r="AK22" s="52">
        <f>IFERROR(COUNTIFS(Respostas_Formatadas!$R:$R,ContEstudos!$AI$11,Respostas_Formatadas!$C:$C,ContEstudos!$AI22),"-")</f>
        <v>5</v>
      </c>
      <c r="AL22" s="52">
        <f t="shared" si="6"/>
        <v>7</v>
      </c>
      <c r="AM22" s="53">
        <f t="shared" si="7"/>
        <v>0.2857142857142857</v>
      </c>
      <c r="AN22" s="53">
        <f t="shared" si="8"/>
        <v>0.7142857142857143</v>
      </c>
      <c r="AO22" s="48"/>
      <c r="AP22" s="51" t="str">
        <f>Tabulacao!AH53</f>
        <v>Análise e Desenvolvimento de Sistemas</v>
      </c>
      <c r="AQ22" s="122">
        <f>Tabulacao!AI53</f>
        <v>1</v>
      </c>
      <c r="AR22" s="53">
        <f t="shared" si="0"/>
        <v>1.7543859649122806E-2</v>
      </c>
      <c r="AS22" s="48"/>
      <c r="AT22" s="122">
        <v>14</v>
      </c>
      <c r="AU22" s="51" t="str">
        <f t="array" ref="AU22">INDEX($AP$49:$AP$80,SMALL(IF($AQ$49:$AQ$80=AV22,ROW($AQ$49:$AQ$80)-48),COUNTIF($AV$9:AV22,AV22)))</f>
        <v>Engenharia Elétrica</v>
      </c>
      <c r="AV22" s="122">
        <f t="shared" si="3"/>
        <v>0</v>
      </c>
      <c r="AW22" s="53">
        <f t="shared" si="4"/>
        <v>0</v>
      </c>
      <c r="AX22" s="48"/>
      <c r="AY22" s="48"/>
      <c r="AZ22" s="48"/>
      <c r="BA22" s="48"/>
      <c r="BB22" s="48"/>
      <c r="BC22" s="51" t="str">
        <f>BC10</f>
        <v>UFS</v>
      </c>
      <c r="BD22" s="122">
        <f>COUNTIFS(Respostas_Formatadas!$C:$C,ContEstudos!$BC$19,Respostas_Formatadas!$U:$U,ContEstudos!$BC22)</f>
        <v>6</v>
      </c>
      <c r="BE22" s="53">
        <f>IFERROR(BD22/$BD$26,"-")</f>
        <v>0.5</v>
      </c>
      <c r="BF22" s="307" t="s">
        <v>1159</v>
      </c>
      <c r="BG22" s="261" t="s">
        <v>124</v>
      </c>
      <c r="BH22" s="48"/>
      <c r="BI22" s="48"/>
      <c r="BJ22" s="48"/>
      <c r="BK22" s="48"/>
      <c r="BL22" s="48"/>
      <c r="BM22" s="48"/>
    </row>
    <row r="23" spans="2:65" ht="25.5" x14ac:dyDescent="0.2">
      <c r="B23" s="152"/>
      <c r="C23" s="311"/>
      <c r="D23" s="152"/>
      <c r="E23" s="51" t="str">
        <f>CaractAmostra!E16</f>
        <v>Licenciatura em Química</v>
      </c>
      <c r="F23" s="53">
        <f>IFERROR(COUNTIFS(Respostas_Formatadas!$C:$C,ContEstudos!$E23,Respostas_Formatadas!$D:$D,ContEstudos!$F$15)/VLOOKUP($E23,CaractAmostra!$E$8:$G$21,2,FALSE),"-")</f>
        <v>0.42857142857142855</v>
      </c>
      <c r="G23" s="53">
        <f>IFERROR(COUNTIFS(Respostas_Formatadas!$C:$C,ContEstudos!$E23,Respostas_Formatadas!$D:$D,ContEstudos!$G$15)/VLOOKUP($E23,CaractAmostra!$E$8:$G$21,2,FALSE),"-")</f>
        <v>0.5714285714285714</v>
      </c>
      <c r="H23" s="48"/>
      <c r="I23" s="146" t="s">
        <v>954</v>
      </c>
      <c r="J23" s="48"/>
      <c r="K23" s="48"/>
      <c r="L23" s="48"/>
      <c r="M23" s="48"/>
      <c r="N23" s="48"/>
      <c r="O23" s="48"/>
      <c r="P23" s="48"/>
      <c r="Q23" s="48"/>
      <c r="R23" s="48"/>
      <c r="S23" s="48"/>
      <c r="T23" s="48"/>
      <c r="U23" s="48"/>
      <c r="V23" s="48"/>
      <c r="W23" s="48"/>
      <c r="X23" s="51" t="s">
        <v>1084</v>
      </c>
      <c r="Y23" s="120">
        <f>COUNTIFS(Respostas_Formatadas!$C:$C,ContEstudos!$X$20,Respostas_Formatadas!$O:$O,ContEstudos!$Y$21)</f>
        <v>18</v>
      </c>
      <c r="Z23" s="120">
        <f>COUNTIFS(Respostas_Formatadas!$C:$C,ContEstudos!$X$20,Respostas_Formatadas!$O:$O,ContEstudos!$Z$21)</f>
        <v>1</v>
      </c>
      <c r="AA23" s="253">
        <f>Y23+Z23</f>
        <v>19</v>
      </c>
      <c r="AB23" s="48"/>
      <c r="AC23" s="51" t="s">
        <v>1084</v>
      </c>
      <c r="AD23" s="120">
        <f>COUNTIFS(Respostas_Formatadas!$C:$C,ContEstudos!$AC$20,Respostas_Formatadas!$Q:$Q,ContEstudos!AD$21)</f>
        <v>9</v>
      </c>
      <c r="AE23" s="120">
        <f>COUNTIFS(Respostas_Formatadas!$C:$C,ContEstudos!$AC$20,Respostas_Formatadas!$Q:$Q,ContEstudos!AE$21)</f>
        <v>10</v>
      </c>
      <c r="AF23" s="252">
        <f>SUM(AD23:AE23)</f>
        <v>19</v>
      </c>
      <c r="AG23" s="48"/>
      <c r="AH23" s="48"/>
      <c r="AI23" s="51" t="str">
        <f>CaractAmostra!E17</f>
        <v>Licenciatura em Matemática</v>
      </c>
      <c r="AJ23" s="52">
        <f>IFERROR(COUNTIFS(Respostas_Formatadas!$R:$R,ContEstudos!$AI$10,Respostas_Formatadas!$C:$C,ContEstudos!$AI23),"-")</f>
        <v>3</v>
      </c>
      <c r="AK23" s="52">
        <f>IFERROR(COUNTIFS(Respostas_Formatadas!$R:$R,ContEstudos!$AI$11,Respostas_Formatadas!$C:$C,ContEstudos!$AI23),"-")</f>
        <v>2</v>
      </c>
      <c r="AL23" s="52">
        <f t="shared" si="6"/>
        <v>5</v>
      </c>
      <c r="AM23" s="53">
        <f t="shared" si="7"/>
        <v>0.6</v>
      </c>
      <c r="AN23" s="53">
        <f t="shared" si="8"/>
        <v>0.4</v>
      </c>
      <c r="AO23" s="48"/>
      <c r="AP23" s="51" t="str">
        <f>Tabulacao!AH54</f>
        <v>Arqueologia</v>
      </c>
      <c r="AQ23" s="122">
        <f>Tabulacao!AI54</f>
        <v>1</v>
      </c>
      <c r="AR23" s="53">
        <f t="shared" si="0"/>
        <v>1.7543859649122806E-2</v>
      </c>
      <c r="AS23" s="48"/>
      <c r="AT23" s="122">
        <v>15</v>
      </c>
      <c r="AU23" s="51" t="str">
        <f t="array" ref="AU23">INDEX($AP$49:$AP$80,SMALL(IF($AQ$49:$AQ$80=AV23,ROW($AQ$49:$AQ$80)-48),COUNTIF($AV$9:AV23,AV23)))</f>
        <v>Física</v>
      </c>
      <c r="AV23" s="122">
        <f t="shared" si="3"/>
        <v>0</v>
      </c>
      <c r="AW23" s="53">
        <f t="shared" si="4"/>
        <v>0</v>
      </c>
      <c r="AX23" s="48"/>
      <c r="AY23" s="48"/>
      <c r="AZ23" s="48"/>
      <c r="BA23" s="48"/>
      <c r="BB23" s="48"/>
      <c r="BC23" s="51" t="str">
        <f>BC11</f>
        <v>Outra Instituição de Ensino Superior Pública</v>
      </c>
      <c r="BD23" s="122">
        <f>COUNTIFS(Respostas_Formatadas!$C:$C,ContEstudos!$BC$19,Respostas_Formatadas!$U:$U,ContEstudos!$BC23)</f>
        <v>0</v>
      </c>
      <c r="BE23" s="53">
        <f>IFERROR(BD23/$BD$26,"-")</f>
        <v>0</v>
      </c>
      <c r="BF23" s="48"/>
      <c r="BG23" s="194" t="str">
        <f t="shared" ref="BG23:BM23" si="9">BG14</f>
        <v>Em que medida as seguintes sentenças se aplicam à sua decisão
de cursar outra graduação?</v>
      </c>
      <c r="BH23" s="187">
        <f t="shared" si="9"/>
        <v>1</v>
      </c>
      <c r="BI23" s="187">
        <f t="shared" si="9"/>
        <v>2</v>
      </c>
      <c r="BJ23" s="187">
        <f t="shared" si="9"/>
        <v>3</v>
      </c>
      <c r="BK23" s="187">
        <f t="shared" si="9"/>
        <v>4</v>
      </c>
      <c r="BL23" s="187">
        <f t="shared" si="9"/>
        <v>5</v>
      </c>
      <c r="BM23" s="187" t="str">
        <f t="shared" si="9"/>
        <v>Média</v>
      </c>
    </row>
    <row r="24" spans="2:65" x14ac:dyDescent="0.2">
      <c r="B24" s="152"/>
      <c r="C24" s="311"/>
      <c r="D24" s="152"/>
      <c r="E24" s="51" t="str">
        <f>CaractAmostra!E17</f>
        <v>Licenciatura em Matemática</v>
      </c>
      <c r="F24" s="53">
        <f>IFERROR(COUNTIFS(Respostas_Formatadas!$C:$C,ContEstudos!$E24,Respostas_Formatadas!$D:$D,ContEstudos!$F$15)/VLOOKUP($E24,CaractAmostra!$E$8:$G$21,2,FALSE),"-")</f>
        <v>0.31818181818181818</v>
      </c>
      <c r="G24" s="53">
        <f>IFERROR(COUNTIFS(Respostas_Formatadas!$C:$C,ContEstudos!$E24,Respostas_Formatadas!$D:$D,ContEstudos!$G$15)/VLOOKUP($E24,CaractAmostra!$E$8:$G$21,2,FALSE),"-")</f>
        <v>0.68181818181818177</v>
      </c>
      <c r="H24" s="48"/>
      <c r="I24" s="48"/>
      <c r="J24" s="48"/>
      <c r="K24" s="48"/>
      <c r="L24" s="48"/>
      <c r="M24" s="48"/>
      <c r="N24" s="48"/>
      <c r="O24" s="48"/>
      <c r="P24" s="48"/>
      <c r="Q24" s="48"/>
      <c r="R24" s="48"/>
      <c r="S24" s="48"/>
      <c r="T24" s="48"/>
      <c r="U24" s="48"/>
      <c r="V24" s="48"/>
      <c r="W24" s="48"/>
      <c r="X24" s="48"/>
      <c r="Y24" s="48"/>
      <c r="Z24" s="48"/>
      <c r="AA24" s="48"/>
      <c r="AB24" s="48"/>
      <c r="AC24" s="48"/>
      <c r="AD24" s="48"/>
      <c r="AE24" s="48"/>
      <c r="AF24" s="48"/>
      <c r="AG24" s="48"/>
      <c r="AH24" s="48"/>
      <c r="AI24" s="51" t="str">
        <f>CaractAmostra!E18</f>
        <v>Tecnologia em Laticínios</v>
      </c>
      <c r="AJ24" s="52">
        <f>IFERROR(COUNTIFS(Respostas_Formatadas!$R:$R,ContEstudos!$AI$10,Respostas_Formatadas!$C:$C,ContEstudos!$AI24),"-")</f>
        <v>0</v>
      </c>
      <c r="AK24" s="52">
        <f>IFERROR(COUNTIFS(Respostas_Formatadas!$R:$R,ContEstudos!$AI$11,Respostas_Formatadas!$C:$C,ContEstudos!$AI24),"-")</f>
        <v>3</v>
      </c>
      <c r="AL24" s="52">
        <f t="shared" si="6"/>
        <v>3</v>
      </c>
      <c r="AM24" s="53">
        <f t="shared" si="7"/>
        <v>0</v>
      </c>
      <c r="AN24" s="53">
        <f t="shared" si="8"/>
        <v>1</v>
      </c>
      <c r="AO24" s="48"/>
      <c r="AP24" s="51" t="str">
        <f>Tabulacao!AH55</f>
        <v>Ciência da Computação</v>
      </c>
      <c r="AQ24" s="122">
        <f>Tabulacao!AI55</f>
        <v>1</v>
      </c>
      <c r="AR24" s="53">
        <f t="shared" si="0"/>
        <v>1.7543859649122806E-2</v>
      </c>
      <c r="AS24" s="48"/>
      <c r="AT24" s="122">
        <v>16</v>
      </c>
      <c r="AU24" s="51" t="str">
        <f t="array" ref="AU24">INDEX($AP$49:$AP$80,SMALL(IF($AQ$49:$AQ$80=AV24,ROW($AQ$49:$AQ$80)-48),COUNTIF($AV$9:AV24,AV24)))</f>
        <v>Pedagogia</v>
      </c>
      <c r="AV24" s="122">
        <f t="shared" si="3"/>
        <v>0</v>
      </c>
      <c r="AW24" s="53">
        <f t="shared" si="4"/>
        <v>0</v>
      </c>
      <c r="AX24" s="48"/>
      <c r="AY24" s="48"/>
      <c r="AZ24" s="48"/>
      <c r="BA24" s="48"/>
      <c r="BB24" s="48"/>
      <c r="BC24" s="51" t="str">
        <f>BC12</f>
        <v>Instituição de Ensino Superior Privada</v>
      </c>
      <c r="BD24" s="122">
        <f>COUNTIFS(Respostas_Formatadas!$C:$C,ContEstudos!$BC$19,Respostas_Formatadas!$U:$U,ContEstudos!$BC24)</f>
        <v>4</v>
      </c>
      <c r="BE24" s="53">
        <f>IFERROR(BD24/$BD$26,"-")</f>
        <v>0.33333333333333331</v>
      </c>
      <c r="BF24" s="48"/>
      <c r="BG24" s="60" t="str">
        <f>BG15</f>
        <v>A graduação que fiz no IFS não me trouxe o retorno esperado no mercado de trabalho</v>
      </c>
      <c r="BH24" s="52">
        <f>COUNTIFS(Respostas_Formatadas!$C:$C,ContEstudos!$BG$22,Respostas_Formatadas!$V:$V,ContEstudos!BH$23)</f>
        <v>2</v>
      </c>
      <c r="BI24" s="52">
        <f>COUNTIFS(Respostas_Formatadas!$C:$C,ContEstudos!$BG$22,Respostas_Formatadas!$V:$V,ContEstudos!BI$23)</f>
        <v>5</v>
      </c>
      <c r="BJ24" s="52">
        <f>COUNTIFS(Respostas_Formatadas!$C:$C,ContEstudos!$BG$22,Respostas_Formatadas!$V:$V,ContEstudos!BJ$23)</f>
        <v>2</v>
      </c>
      <c r="BK24" s="52">
        <f>COUNTIFS(Respostas_Formatadas!$C:$C,ContEstudos!$BG$22,Respostas_Formatadas!$V:$V,ContEstudos!BK$23)</f>
        <v>4</v>
      </c>
      <c r="BL24" s="52">
        <f>COUNTIFS(Respostas_Formatadas!$C:$C,ContEstudos!$BG$22,Respostas_Formatadas!$V:$V,ContEstudos!BL$23)</f>
        <v>4</v>
      </c>
      <c r="BM24" s="124">
        <f>IFERROR(AVERAGEIF(Respostas_Formatadas!$C:$C,ContEstudos!$BG$22,Respostas_Formatadas!$V:$V),"-")</f>
        <v>3.1764705882352939</v>
      </c>
    </row>
    <row r="25" spans="2:65" x14ac:dyDescent="0.2">
      <c r="B25" s="152"/>
      <c r="C25" s="311"/>
      <c r="D25" s="152"/>
      <c r="E25" s="51" t="str">
        <f>CaractAmostra!E18</f>
        <v>Tecnologia em Laticínios</v>
      </c>
      <c r="F25" s="53">
        <f>IFERROR(COUNTIFS(Respostas_Formatadas!$C:$C,ContEstudos!$E25,Respostas_Formatadas!$D:$D,ContEstudos!$F$15)/VLOOKUP($E25,CaractAmostra!$E$8:$G$21,2,FALSE),"-")</f>
        <v>0.15384615384615385</v>
      </c>
      <c r="G25" s="53">
        <f>IFERROR(COUNTIFS(Respostas_Formatadas!$C:$C,ContEstudos!$E25,Respostas_Formatadas!$D:$D,ContEstudos!$G$15)/VLOOKUP($E25,CaractAmostra!$E$8:$G$21,2,FALSE),"-")</f>
        <v>0.84615384615384615</v>
      </c>
      <c r="H25" s="307" t="s">
        <v>1159</v>
      </c>
      <c r="I25" s="261" t="s">
        <v>124</v>
      </c>
      <c r="J25" s="48"/>
      <c r="K25" s="48"/>
      <c r="L25" s="48"/>
      <c r="M25" s="48"/>
      <c r="N25" s="48"/>
      <c r="O25" s="48"/>
      <c r="P25" s="48"/>
      <c r="Q25" s="48"/>
      <c r="R25" s="48"/>
      <c r="S25" s="48"/>
      <c r="T25" s="48"/>
      <c r="U25" s="48"/>
      <c r="V25" s="48"/>
      <c r="W25" s="48"/>
      <c r="X25" s="157" t="str">
        <f>X20</f>
        <v>Bacharelado em Sistemas de Informação</v>
      </c>
      <c r="Y25" s="48"/>
      <c r="Z25" s="48"/>
      <c r="AA25" s="48"/>
      <c r="AB25" s="48"/>
      <c r="AC25" s="157" t="str">
        <f>AC20</f>
        <v>Bacharelado em Sistemas de Informação</v>
      </c>
      <c r="AD25" s="48"/>
      <c r="AE25" s="48"/>
      <c r="AF25" s="48"/>
      <c r="AG25" s="48"/>
      <c r="AH25" s="48"/>
      <c r="AI25" s="51" t="str">
        <f>CaractAmostra!E19</f>
        <v>Tecnologia em Gestão de Turismo</v>
      </c>
      <c r="AJ25" s="52">
        <f>IFERROR(COUNTIFS(Respostas_Formatadas!$R:$R,ContEstudos!$AI$10,Respostas_Formatadas!$C:$C,ContEstudos!$AI25),"-")</f>
        <v>3</v>
      </c>
      <c r="AK25" s="52">
        <f>IFERROR(COUNTIFS(Respostas_Formatadas!$R:$R,ContEstudos!$AI$11,Respostas_Formatadas!$C:$C,ContEstudos!$AI25),"-")</f>
        <v>9</v>
      </c>
      <c r="AL25" s="52">
        <f t="shared" si="6"/>
        <v>12</v>
      </c>
      <c r="AM25" s="53">
        <f t="shared" si="7"/>
        <v>0.25</v>
      </c>
      <c r="AN25" s="53">
        <f t="shared" si="8"/>
        <v>0.75</v>
      </c>
      <c r="AO25" s="48"/>
      <c r="AP25" s="51" t="str">
        <f>Tabulacao!AH56</f>
        <v>Ciências Econômicas</v>
      </c>
      <c r="AQ25" s="122">
        <f>Tabulacao!AI56</f>
        <v>1</v>
      </c>
      <c r="AR25" s="53">
        <f t="shared" si="0"/>
        <v>1.7543859649122806E-2</v>
      </c>
      <c r="AS25" s="48"/>
      <c r="AT25" s="122">
        <v>17</v>
      </c>
      <c r="AU25" s="51" t="str">
        <f t="array" ref="AU25">INDEX($AP$49:$AP$80,SMALL(IF($AQ$49:$AQ$80=AV25,ROW($AQ$49:$AQ$80)-48),COUNTIF($AV$9:AV25,AV25)))</f>
        <v>Engenharia Ambiental</v>
      </c>
      <c r="AV25" s="122">
        <f t="shared" si="3"/>
        <v>0</v>
      </c>
      <c r="AW25" s="53">
        <f t="shared" si="4"/>
        <v>0</v>
      </c>
      <c r="AX25" s="48"/>
      <c r="AY25" s="48"/>
      <c r="AZ25" s="48"/>
      <c r="BA25" s="48"/>
      <c r="BB25" s="48"/>
      <c r="BC25" s="51" t="str">
        <f>BC13</f>
        <v>Outros</v>
      </c>
      <c r="BD25" s="122">
        <f>COUNTIFS(Respostas_Formatadas!$C:$C,ContEstudos!$BC$19,Respostas_Formatadas!$U:$U,ContEstudos!$BC25)</f>
        <v>0</v>
      </c>
      <c r="BE25" s="53">
        <f>IFERROR(BD25/$BD$26,"-")</f>
        <v>0</v>
      </c>
      <c r="BF25" s="48"/>
      <c r="BG25" s="60" t="str">
        <f>BG16</f>
        <v>Não me adaptei à área do curso que fiz no IFS</v>
      </c>
      <c r="BH25" s="52">
        <f>COUNTIFS(Respostas_Formatadas!$C:$C,ContEstudos!$BG$22,Respostas_Formatadas!$W:$W,ContEstudos!BH$23)</f>
        <v>5</v>
      </c>
      <c r="BI25" s="52">
        <f>COUNTIFS(Respostas_Formatadas!$C:$C,ContEstudos!$BG$22,Respostas_Formatadas!$W:$W,ContEstudos!BI$23)</f>
        <v>1</v>
      </c>
      <c r="BJ25" s="52">
        <f>COUNTIFS(Respostas_Formatadas!$C:$C,ContEstudos!$BG$22,Respostas_Formatadas!$W:$W,ContEstudos!BJ$23)</f>
        <v>6</v>
      </c>
      <c r="BK25" s="52">
        <f>COUNTIFS(Respostas_Formatadas!$C:$C,ContEstudos!$BG$22,Respostas_Formatadas!$W:$W,ContEstudos!BK$23)</f>
        <v>1</v>
      </c>
      <c r="BL25" s="52">
        <f>COUNTIFS(Respostas_Formatadas!$C:$C,ContEstudos!$BG$22,Respostas_Formatadas!$W:$W,ContEstudos!BL$23)</f>
        <v>4</v>
      </c>
      <c r="BM25" s="124">
        <f>IFERROR(AVERAGEIF(Respostas_Formatadas!$C:$C,ContEstudos!$BG$22,Respostas_Formatadas!$W:$W),"-")</f>
        <v>2.8823529411764706</v>
      </c>
    </row>
    <row r="26" spans="2:65" x14ac:dyDescent="0.2">
      <c r="B26" s="152"/>
      <c r="C26" s="311"/>
      <c r="D26" s="152"/>
      <c r="E26" s="51" t="str">
        <f>CaractAmostra!E19</f>
        <v>Tecnologia em Gestão de Turismo</v>
      </c>
      <c r="F26" s="53">
        <f>IFERROR(COUNTIFS(Respostas_Formatadas!$C:$C,ContEstudos!$E26,Respostas_Formatadas!$D:$D,ContEstudos!$F$15)/VLOOKUP($E26,CaractAmostra!$E$8:$G$21,2,FALSE),"-")</f>
        <v>0.37142857142857144</v>
      </c>
      <c r="G26" s="53">
        <f>IFERROR(COUNTIFS(Respostas_Formatadas!$C:$C,ContEstudos!$E26,Respostas_Formatadas!$D:$D,ContEstudos!$G$15)/VLOOKUP($E26,CaractAmostra!$E$8:$G$21,2,FALSE),"-")</f>
        <v>0.62857142857142856</v>
      </c>
      <c r="H26" s="48"/>
      <c r="I26" s="194" t="str">
        <f>I8</f>
        <v>Tipos de pós-graduação procuradas após a conclusão da graduação</v>
      </c>
      <c r="J26" s="187" t="str">
        <f>J8</f>
        <v>f</v>
      </c>
      <c r="K26" s="187" t="str">
        <f>K8</f>
        <v>%</v>
      </c>
      <c r="L26" s="48"/>
      <c r="M26" s="48"/>
      <c r="N26" s="48"/>
      <c r="O26" s="48"/>
      <c r="P26" s="48"/>
      <c r="Q26" s="48"/>
      <c r="R26" s="48"/>
      <c r="S26" s="48"/>
      <c r="T26" s="48"/>
      <c r="U26" s="48"/>
      <c r="V26" s="48"/>
      <c r="W26" s="48"/>
      <c r="X26" s="194" t="str">
        <f>X21</f>
        <v>Você teve alguma experiência de trabalho relacionada à sua área de graduação?</v>
      </c>
      <c r="Y26" s="187" t="str">
        <f>Y21</f>
        <v>Sim</v>
      </c>
      <c r="Z26" s="187" t="str">
        <f t="shared" ref="Z26:AA26" si="10">Z21</f>
        <v>Não</v>
      </c>
      <c r="AA26" s="187" t="str">
        <f t="shared" si="10"/>
        <v>Total</v>
      </c>
      <c r="AB26" s="48"/>
      <c r="AC26" s="194" t="s">
        <v>1346</v>
      </c>
      <c r="AD26" s="187" t="s">
        <v>133</v>
      </c>
      <c r="AE26" s="187" t="s">
        <v>134</v>
      </c>
      <c r="AF26" s="187" t="s">
        <v>621</v>
      </c>
      <c r="AG26" s="48"/>
      <c r="AH26" s="48"/>
      <c r="AI26" s="51" t="str">
        <f>CaractAmostra!E20</f>
        <v>Tecnologia em Alimentos</v>
      </c>
      <c r="AJ26" s="52">
        <f>IFERROR(COUNTIFS(Respostas_Formatadas!$R:$R,ContEstudos!$AI$10,Respostas_Formatadas!$C:$C,ContEstudos!$AI26),"-")</f>
        <v>0</v>
      </c>
      <c r="AK26" s="52">
        <f>IFERROR(COUNTIFS(Respostas_Formatadas!$R:$R,ContEstudos!$AI$11,Respostas_Formatadas!$C:$C,ContEstudos!$AI26),"-")</f>
        <v>0</v>
      </c>
      <c r="AL26" s="52">
        <f t="shared" si="6"/>
        <v>0</v>
      </c>
      <c r="AM26" s="53" t="str">
        <f t="shared" si="7"/>
        <v>-</v>
      </c>
      <c r="AN26" s="53" t="str">
        <f t="shared" si="8"/>
        <v>-</v>
      </c>
      <c r="AO26" s="48"/>
      <c r="AP26" s="51" t="str">
        <f>Tabulacao!AH57</f>
        <v>Design de Interiores</v>
      </c>
      <c r="AQ26" s="122">
        <f>Tabulacao!AI57</f>
        <v>1</v>
      </c>
      <c r="AR26" s="53">
        <f t="shared" si="0"/>
        <v>1.7543859649122806E-2</v>
      </c>
      <c r="AS26" s="48"/>
      <c r="AT26" s="122">
        <v>18</v>
      </c>
      <c r="AU26" s="51" t="str">
        <f t="array" ref="AU26">INDEX($AP$49:$AP$80,SMALL(IF($AQ$49:$AQ$80=AV26,ROW($AQ$49:$AQ$80)-48),COUNTIF($AV$9:AV26,AV26)))</f>
        <v>Engenharia de Produção</v>
      </c>
      <c r="AV26" s="122">
        <f t="shared" si="3"/>
        <v>0</v>
      </c>
      <c r="AW26" s="53">
        <f t="shared" si="4"/>
        <v>0</v>
      </c>
      <c r="AX26" s="48"/>
      <c r="AY26" s="48"/>
      <c r="AZ26" s="48"/>
      <c r="BA26" s="48"/>
      <c r="BB26" s="48"/>
      <c r="BC26" s="148" t="s">
        <v>621</v>
      </c>
      <c r="BD26" s="192">
        <f>SUM(BD21:BD25)</f>
        <v>12</v>
      </c>
      <c r="BE26" s="193">
        <f>SUM(BE21:BE25)</f>
        <v>1</v>
      </c>
      <c r="BF26" s="48"/>
      <c r="BG26" s="60" t="str">
        <f>BG17</f>
        <v>Quis aprimorar os conhecimentos que eu adquiri na graduação do IFS</v>
      </c>
      <c r="BH26" s="52">
        <f>COUNTIFS(Respostas_Formatadas!$C:$C,ContEstudos!$BG$22,Respostas_Formatadas!$X:$X,ContEstudos!BH$23)</f>
        <v>2</v>
      </c>
      <c r="BI26" s="52">
        <f>COUNTIFS(Respostas_Formatadas!$C:$C,ContEstudos!$BG$22,Respostas_Formatadas!$X:$X,ContEstudos!BI$23)</f>
        <v>1</v>
      </c>
      <c r="BJ26" s="52">
        <f>COUNTIFS(Respostas_Formatadas!$C:$C,ContEstudos!$BG$22,Respostas_Formatadas!$X:$X,ContEstudos!BJ$23)</f>
        <v>5</v>
      </c>
      <c r="BK26" s="52">
        <f>COUNTIFS(Respostas_Formatadas!$C:$C,ContEstudos!$BG$22,Respostas_Formatadas!$X:$X,ContEstudos!BK$23)</f>
        <v>2</v>
      </c>
      <c r="BL26" s="52">
        <f>COUNTIFS(Respostas_Formatadas!$C:$C,ContEstudos!$BG$22,Respostas_Formatadas!$X:$X,ContEstudos!BL$23)</f>
        <v>7</v>
      </c>
      <c r="BM26" s="124">
        <f>IFERROR(AVERAGEIF(Respostas_Formatadas!$C:$C,ContEstudos!$BG$22,Respostas_Formatadas!$X:$X),"-")</f>
        <v>3.6470588235294117</v>
      </c>
    </row>
    <row r="27" spans="2:65" x14ac:dyDescent="0.2">
      <c r="B27" s="152"/>
      <c r="C27" s="311"/>
      <c r="D27" s="152"/>
      <c r="E27" s="51" t="str">
        <f>CaractAmostra!E20</f>
        <v>Tecnologia em Alimentos</v>
      </c>
      <c r="F27" s="53">
        <f>IFERROR(COUNTIFS(Respostas_Formatadas!$C:$C,ContEstudos!$E27,Respostas_Formatadas!$D:$D,ContEstudos!$F$15)/VLOOKUP($E27,CaractAmostra!$E$8:$G$21,2,FALSE),"-")</f>
        <v>0.33333333333333331</v>
      </c>
      <c r="G27" s="53">
        <f>IFERROR(COUNTIFS(Respostas_Formatadas!$C:$C,ContEstudos!$E27,Respostas_Formatadas!$D:$D,ContEstudos!$G$15)/VLOOKUP($E27,CaractAmostra!$E$8:$G$21,2,FALSE),"-")</f>
        <v>0.66666666666666663</v>
      </c>
      <c r="H27" s="48"/>
      <c r="I27" s="51" t="str">
        <f t="shared" ref="I27:I32" si="11">I9</f>
        <v>Especialização</v>
      </c>
      <c r="J27" s="52">
        <f>IFERROR(COUNTIFS(Respostas_Formatadas!$C:$C,ContEstudos!$I$25,Respostas_Formatadas!$E:$E,ContEstudos!$I27)+COUNTIFS(Respostas_Formatadas!$C:$C,ContEstudos!$I$25,Respostas_Formatadas!$F:$F,ContEstudos!$I27)+COUNTIFS(Respostas_Formatadas!$C:$C,ContEstudos!$I$25,Respostas_Formatadas!$G:$G,ContEstudos!$I27),"-")</f>
        <v>10</v>
      </c>
      <c r="K27" s="53">
        <f t="shared" ref="K27:K32" si="12">J27/$J$33</f>
        <v>0.5</v>
      </c>
      <c r="L27" s="48"/>
      <c r="M27" s="48"/>
      <c r="N27" s="48"/>
      <c r="O27" s="48"/>
      <c r="P27" s="48"/>
      <c r="Q27" s="48"/>
      <c r="R27" s="48"/>
      <c r="S27" s="48"/>
      <c r="T27" s="48"/>
      <c r="U27" s="48"/>
      <c r="V27" s="48"/>
      <c r="W27" s="48"/>
      <c r="X27" s="51" t="s">
        <v>1083</v>
      </c>
      <c r="Y27" s="53">
        <f>Y22/$AA$22</f>
        <v>0.63157894736842102</v>
      </c>
      <c r="Z27" s="53">
        <f>Z22/$AA$22</f>
        <v>0.36842105263157893</v>
      </c>
      <c r="AA27" s="95">
        <f>Y27+Z27</f>
        <v>1</v>
      </c>
      <c r="AB27" s="48"/>
      <c r="AC27" s="51" t="s">
        <v>1083</v>
      </c>
      <c r="AD27" s="53">
        <f>AD22/$AF$22</f>
        <v>0.57894736842105265</v>
      </c>
      <c r="AE27" s="53">
        <f>AE22/$AF$22</f>
        <v>0.42105263157894735</v>
      </c>
      <c r="AF27" s="95">
        <f>SUM(AD27:AE27)</f>
        <v>1</v>
      </c>
      <c r="AG27" s="48"/>
      <c r="AH27" s="48"/>
      <c r="AI27" s="148" t="s">
        <v>621</v>
      </c>
      <c r="AJ27" s="192">
        <f>SUM(AJ15:AJ26)</f>
        <v>19</v>
      </c>
      <c r="AK27" s="192">
        <f>SUM(AK15:AK26)</f>
        <v>39</v>
      </c>
      <c r="AL27" s="192">
        <f>SUM(AL15:AL26)</f>
        <v>58</v>
      </c>
      <c r="AM27" s="193">
        <f t="shared" si="7"/>
        <v>0.32758620689655171</v>
      </c>
      <c r="AN27" s="193">
        <f t="shared" si="8"/>
        <v>0.67241379310344829</v>
      </c>
      <c r="AO27" s="48"/>
      <c r="AP27" s="51" t="str">
        <f>Tabulacao!AH58</f>
        <v>Direito</v>
      </c>
      <c r="AQ27" s="122">
        <f>Tabulacao!AI58</f>
        <v>1</v>
      </c>
      <c r="AR27" s="53">
        <f t="shared" si="0"/>
        <v>1.7543859649122806E-2</v>
      </c>
      <c r="AS27" s="48"/>
      <c r="AT27" s="122">
        <v>19</v>
      </c>
      <c r="AU27" s="51" t="str">
        <f t="array" ref="AU27">INDEX($AP$49:$AP$80,SMALL(IF($AQ$49:$AQ$80=AV27,ROW($AQ$49:$AQ$80)-48),COUNTIF($AV$9:AV27,AV27)))</f>
        <v>Matemática</v>
      </c>
      <c r="AV27" s="122">
        <f t="shared" si="3"/>
        <v>0</v>
      </c>
      <c r="AW27" s="53">
        <f t="shared" si="4"/>
        <v>0</v>
      </c>
      <c r="AX27" s="48"/>
      <c r="AY27" s="48"/>
      <c r="AZ27" s="48"/>
      <c r="BA27" s="48"/>
      <c r="BB27" s="48"/>
      <c r="BC27" s="48"/>
      <c r="BD27" s="48"/>
      <c r="BE27" s="48"/>
      <c r="BF27" s="48"/>
      <c r="BG27" s="48"/>
      <c r="BH27" s="48"/>
      <c r="BI27" s="48"/>
      <c r="BJ27" s="48"/>
      <c r="BK27" s="48"/>
      <c r="BL27" s="48"/>
      <c r="BM27" s="48"/>
    </row>
    <row r="28" spans="2:65" x14ac:dyDescent="0.2">
      <c r="B28" s="152"/>
      <c r="C28" s="311"/>
      <c r="D28" s="152"/>
      <c r="E28" s="143" t="str">
        <f>CaractAmostra!E21</f>
        <v>Total</v>
      </c>
      <c r="F28" s="154">
        <f>F10</f>
        <v>0.38007380073800739</v>
      </c>
      <c r="G28" s="154">
        <f>G10</f>
        <v>0.61992619926199266</v>
      </c>
      <c r="H28" s="48"/>
      <c r="I28" s="51" t="str">
        <f t="shared" si="11"/>
        <v>MBA</v>
      </c>
      <c r="J28" s="52">
        <f>IFERROR(COUNTIFS(Respostas_Formatadas!$C:$C,ContEstudos!$I$25,Respostas_Formatadas!$E:$E,ContEstudos!$I28)+COUNTIFS(Respostas_Formatadas!$C:$C,ContEstudos!$I$25,Respostas_Formatadas!$F:$F,ContEstudos!$I28)+COUNTIFS(Respostas_Formatadas!$C:$C,ContEstudos!$I$25,Respostas_Formatadas!$G:$G,ContEstudos!$I28),"-")</f>
        <v>3</v>
      </c>
      <c r="K28" s="53">
        <f t="shared" si="12"/>
        <v>0.15</v>
      </c>
      <c r="L28" s="48"/>
      <c r="M28" s="48"/>
      <c r="N28" s="146" t="s">
        <v>963</v>
      </c>
      <c r="O28" s="48"/>
      <c r="P28" s="48"/>
      <c r="Q28" s="48"/>
      <c r="R28" s="48"/>
      <c r="S28" s="146" t="s">
        <v>963</v>
      </c>
      <c r="T28" s="48"/>
      <c r="U28" s="48"/>
      <c r="V28" s="48"/>
      <c r="W28" s="48"/>
      <c r="X28" s="51" t="s">
        <v>1084</v>
      </c>
      <c r="Y28" s="53">
        <f>Y23/$AA$23</f>
        <v>0.94736842105263153</v>
      </c>
      <c r="Z28" s="53">
        <f>Z23/$AA$23</f>
        <v>5.2631578947368418E-2</v>
      </c>
      <c r="AA28" s="95">
        <f>Y28+Z28</f>
        <v>1</v>
      </c>
      <c r="AB28" s="48"/>
      <c r="AC28" s="51" t="s">
        <v>1084</v>
      </c>
      <c r="AD28" s="53">
        <f>AD23/$AF$23</f>
        <v>0.47368421052631576</v>
      </c>
      <c r="AE28" s="53">
        <f>AE23/$AF$23</f>
        <v>0.52631578947368418</v>
      </c>
      <c r="AF28" s="95">
        <f>SUM(AD28:AE28)</f>
        <v>1</v>
      </c>
      <c r="AG28" s="48"/>
      <c r="AH28" s="48"/>
      <c r="AI28" s="48"/>
      <c r="AJ28" s="48"/>
      <c r="AK28" s="48"/>
      <c r="AL28" s="48"/>
      <c r="AM28" s="48"/>
      <c r="AN28" s="48"/>
      <c r="AO28" s="48"/>
      <c r="AP28" s="51" t="str">
        <f>Tabulacao!AH59</f>
        <v>Enfermagem</v>
      </c>
      <c r="AQ28" s="122">
        <f>Tabulacao!AI59</f>
        <v>1</v>
      </c>
      <c r="AR28" s="53">
        <f t="shared" si="0"/>
        <v>1.7543859649122806E-2</v>
      </c>
      <c r="AS28" s="48"/>
      <c r="AT28" s="122">
        <v>20</v>
      </c>
      <c r="AU28" s="51" t="str">
        <f t="array" ref="AU28">INDEX($AP$49:$AP$80,SMALL(IF($AQ$49:$AQ$80=AV28,ROW($AQ$49:$AQ$80)-48),COUNTIF($AV$9:AV28,AV28)))</f>
        <v>Nutrição</v>
      </c>
      <c r="AV28" s="122">
        <f t="shared" si="3"/>
        <v>0</v>
      </c>
      <c r="AW28" s="53">
        <f t="shared" si="4"/>
        <v>0</v>
      </c>
      <c r="AX28" s="48"/>
      <c r="AY28" s="48"/>
      <c r="AZ28" s="48"/>
      <c r="BA28" s="48"/>
      <c r="BB28" s="48"/>
      <c r="BC28" s="48"/>
      <c r="BD28" s="48"/>
      <c r="BE28" s="48"/>
      <c r="BF28" s="48"/>
      <c r="BG28" s="158" t="str">
        <f>BG22</f>
        <v>Tecnologia em Saneamento Ambiental</v>
      </c>
      <c r="BH28" s="48"/>
      <c r="BI28" s="48"/>
      <c r="BJ28" s="48"/>
      <c r="BK28" s="48"/>
      <c r="BL28" s="48"/>
      <c r="BM28" s="48"/>
    </row>
    <row r="29" spans="2:65" ht="25.5" x14ac:dyDescent="0.2">
      <c r="B29" s="152"/>
      <c r="C29" s="311"/>
      <c r="D29" s="152"/>
      <c r="E29" s="48"/>
      <c r="F29" s="48"/>
      <c r="G29" s="48"/>
      <c r="H29" s="48"/>
      <c r="I29" s="51" t="str">
        <f t="shared" si="11"/>
        <v>Mestrado profissional</v>
      </c>
      <c r="J29" s="52">
        <f>IFERROR(COUNTIFS(Respostas_Formatadas!$C:$C,ContEstudos!$I$25,Respostas_Formatadas!$E:$E,ContEstudos!$I29)+COUNTIFS(Respostas_Formatadas!$C:$C,ContEstudos!$I$25,Respostas_Formatadas!$F:$F,ContEstudos!$I29)+COUNTIFS(Respostas_Formatadas!$C:$C,ContEstudos!$I$25,Respostas_Formatadas!$G:$G,ContEstudos!$I29),"-")</f>
        <v>1</v>
      </c>
      <c r="K29" s="53">
        <f t="shared" si="12"/>
        <v>0.05</v>
      </c>
      <c r="L29" s="48"/>
      <c r="M29" s="48"/>
      <c r="N29" s="48"/>
      <c r="O29" s="48"/>
      <c r="P29" s="48"/>
      <c r="Q29" s="48"/>
      <c r="R29" s="48"/>
      <c r="S29" s="48"/>
      <c r="T29" s="48"/>
      <c r="U29" s="48"/>
      <c r="V29" s="48"/>
      <c r="W29" s="48"/>
      <c r="X29" s="48"/>
      <c r="Y29" s="48"/>
      <c r="Z29" s="48"/>
      <c r="AA29" s="48"/>
      <c r="AB29" s="48"/>
      <c r="AC29" s="48"/>
      <c r="AD29" s="48"/>
      <c r="AE29" s="48"/>
      <c r="AF29" s="48"/>
      <c r="AG29" s="48"/>
      <c r="AH29" s="48"/>
      <c r="AI29" s="48"/>
      <c r="AJ29" s="48"/>
      <c r="AK29" s="48"/>
      <c r="AL29" s="48"/>
      <c r="AM29" s="48"/>
      <c r="AN29" s="48"/>
      <c r="AO29" s="48"/>
      <c r="AP29" s="51" t="str">
        <f>Tabulacao!AH60</f>
        <v>Engenharia Agrícola</v>
      </c>
      <c r="AQ29" s="122">
        <f>Tabulacao!AI60</f>
        <v>1</v>
      </c>
      <c r="AR29" s="53">
        <f t="shared" si="0"/>
        <v>1.7543859649122806E-2</v>
      </c>
      <c r="AS29" s="48"/>
      <c r="AT29" s="122">
        <v>21</v>
      </c>
      <c r="AU29" s="51" t="str">
        <f t="array" ref="AU29">INDEX($AP$49:$AP$80,SMALL(IF($AQ$49:$AQ$80=AV29,ROW($AQ$49:$AQ$80)-48),COUNTIF($AV$9:AV29,AV29)))</f>
        <v>Análise e Desenvolvimento de Sistemas</v>
      </c>
      <c r="AV29" s="122">
        <f t="shared" si="3"/>
        <v>0</v>
      </c>
      <c r="AW29" s="53">
        <f t="shared" si="4"/>
        <v>0</v>
      </c>
      <c r="AX29" s="48"/>
      <c r="AY29" s="48"/>
      <c r="AZ29" s="48"/>
      <c r="BA29" s="48"/>
      <c r="BB29" s="48"/>
      <c r="BC29" s="48"/>
      <c r="BD29" s="48"/>
      <c r="BE29" s="48"/>
      <c r="BF29" s="48"/>
      <c r="BG29" s="194" t="str">
        <f>BG23</f>
        <v>Em que medida as seguintes sentenças se aplicam à sua decisão
de cursar outra graduação?</v>
      </c>
      <c r="BH29" s="187">
        <f t="shared" ref="BH29:BM29" si="13">BH23</f>
        <v>1</v>
      </c>
      <c r="BI29" s="187">
        <f t="shared" si="13"/>
        <v>2</v>
      </c>
      <c r="BJ29" s="187">
        <f t="shared" si="13"/>
        <v>3</v>
      </c>
      <c r="BK29" s="187">
        <f t="shared" si="13"/>
        <v>4</v>
      </c>
      <c r="BL29" s="187">
        <f t="shared" si="13"/>
        <v>5</v>
      </c>
      <c r="BM29" s="187" t="str">
        <f t="shared" si="13"/>
        <v>Média</v>
      </c>
    </row>
    <row r="30" spans="2:65" x14ac:dyDescent="0.2">
      <c r="B30" s="152"/>
      <c r="C30" s="311"/>
      <c r="D30" s="152"/>
      <c r="E30" s="146" t="s">
        <v>1092</v>
      </c>
      <c r="F30" s="48"/>
      <c r="G30" s="48"/>
      <c r="H30" s="48"/>
      <c r="I30" s="51" t="str">
        <f t="shared" si="11"/>
        <v>Mestrado acadêmico</v>
      </c>
      <c r="J30" s="52">
        <f>IFERROR(COUNTIFS(Respostas_Formatadas!$C:$C,ContEstudos!$I$25,Respostas_Formatadas!$E:$E,ContEstudos!$I30)+COUNTIFS(Respostas_Formatadas!$C:$C,ContEstudos!$I$25,Respostas_Formatadas!$F:$F,ContEstudos!$I30)+COUNTIFS(Respostas_Formatadas!$C:$C,ContEstudos!$I$25,Respostas_Formatadas!$G:$G,ContEstudos!$I30),"-")</f>
        <v>7</v>
      </c>
      <c r="K30" s="53">
        <f t="shared" si="12"/>
        <v>0.35</v>
      </c>
      <c r="L30" s="48"/>
      <c r="M30" s="307" t="s">
        <v>1159</v>
      </c>
      <c r="N30" s="261" t="s">
        <v>119</v>
      </c>
      <c r="O30" s="48"/>
      <c r="P30" s="48"/>
      <c r="Q30" s="48"/>
      <c r="R30" s="307" t="s">
        <v>1159</v>
      </c>
      <c r="S30" s="261" t="s">
        <v>130</v>
      </c>
      <c r="T30" s="48"/>
      <c r="U30" s="48"/>
      <c r="V30" s="48"/>
      <c r="W30" s="48"/>
      <c r="X30" s="48"/>
      <c r="Y30" s="48"/>
      <c r="Z30" s="48"/>
      <c r="AA30" s="48"/>
      <c r="AB30" s="48"/>
      <c r="AC30" s="48"/>
      <c r="AD30" s="48"/>
      <c r="AE30" s="48"/>
      <c r="AF30" s="48"/>
      <c r="AG30" s="48"/>
      <c r="AH30" s="48"/>
      <c r="AI30" s="48"/>
      <c r="AJ30" s="48"/>
      <c r="AK30" s="48"/>
      <c r="AL30" s="48"/>
      <c r="AM30" s="48"/>
      <c r="AN30" s="48"/>
      <c r="AO30" s="48"/>
      <c r="AP30" s="51" t="str">
        <f>Tabulacao!AH61</f>
        <v>Engenharia da Computação</v>
      </c>
      <c r="AQ30" s="122">
        <f>Tabulacao!AI61</f>
        <v>1</v>
      </c>
      <c r="AR30" s="53">
        <f t="shared" si="0"/>
        <v>1.7543859649122806E-2</v>
      </c>
      <c r="AS30" s="48"/>
      <c r="AT30" s="122">
        <v>22</v>
      </c>
      <c r="AU30" s="51" t="str">
        <f t="array" ref="AU30">INDEX($AP$49:$AP$80,SMALL(IF($AQ$49:$AQ$80=AV30,ROW($AQ$49:$AQ$80)-48),COUNTIF($AV$9:AV30,AV30)))</f>
        <v>Arqueologia</v>
      </c>
      <c r="AV30" s="122">
        <f t="shared" si="3"/>
        <v>0</v>
      </c>
      <c r="AW30" s="53">
        <f t="shared" si="4"/>
        <v>0</v>
      </c>
      <c r="AX30" s="48"/>
      <c r="AY30" s="48"/>
      <c r="AZ30" s="48"/>
      <c r="BA30" s="48"/>
      <c r="BB30" s="48"/>
      <c r="BC30" s="48"/>
      <c r="BD30" s="48"/>
      <c r="BE30" s="48"/>
      <c r="BF30" s="48"/>
      <c r="BG30" s="60" t="str">
        <f>BG24</f>
        <v>A graduação que fiz no IFS não me trouxe o retorno esperado no mercado de trabalho</v>
      </c>
      <c r="BH30" s="123">
        <f t="shared" ref="BH30:BL32" si="14">IFERROR(BH24/SUM($BH24:$BL24),"-")</f>
        <v>0.11764705882352941</v>
      </c>
      <c r="BI30" s="123">
        <f t="shared" si="14"/>
        <v>0.29411764705882354</v>
      </c>
      <c r="BJ30" s="123">
        <f t="shared" si="14"/>
        <v>0.11764705882352941</v>
      </c>
      <c r="BK30" s="123">
        <f t="shared" si="14"/>
        <v>0.23529411764705882</v>
      </c>
      <c r="BL30" s="123">
        <f t="shared" si="14"/>
        <v>0.23529411764705882</v>
      </c>
      <c r="BM30" s="124">
        <f>BM24</f>
        <v>3.1764705882352939</v>
      </c>
    </row>
    <row r="31" spans="2:65" x14ac:dyDescent="0.2">
      <c r="B31" s="152"/>
      <c r="C31" s="311"/>
      <c r="D31" s="152"/>
      <c r="E31" s="48"/>
      <c r="F31" s="48"/>
      <c r="G31" s="48"/>
      <c r="H31" s="48"/>
      <c r="I31" s="51" t="str">
        <f t="shared" si="11"/>
        <v>Doutorado</v>
      </c>
      <c r="J31" s="52">
        <f>IFERROR(COUNTIFS(Respostas_Formatadas!$C:$C,ContEstudos!$I$25,Respostas_Formatadas!$E:$E,ContEstudos!$I31)+COUNTIFS(Respostas_Formatadas!$C:$C,ContEstudos!$I$25,Respostas_Formatadas!$F:$F,ContEstudos!$I31)+COUNTIFS(Respostas_Formatadas!$C:$C,ContEstudos!$I$25,Respostas_Formatadas!$G:$G,ContEstudos!$I31),"-")</f>
        <v>5</v>
      </c>
      <c r="K31" s="53">
        <f t="shared" si="12"/>
        <v>0.25</v>
      </c>
      <c r="L31" s="48"/>
      <c r="M31" s="48"/>
      <c r="N31" s="218" t="s">
        <v>962</v>
      </c>
      <c r="O31" s="219" t="s">
        <v>131</v>
      </c>
      <c r="P31" s="219" t="s">
        <v>132</v>
      </c>
      <c r="Q31" s="48"/>
      <c r="R31" s="48"/>
      <c r="S31" s="194" t="s">
        <v>962</v>
      </c>
      <c r="T31" s="187" t="s">
        <v>131</v>
      </c>
      <c r="U31" s="187" t="s">
        <v>132</v>
      </c>
      <c r="V31" s="48"/>
      <c r="W31" s="48"/>
      <c r="X31" s="48"/>
      <c r="Y31" s="48"/>
      <c r="Z31" s="48"/>
      <c r="AA31" s="48"/>
      <c r="AB31" s="48"/>
      <c r="AC31" s="48"/>
      <c r="AD31" s="48"/>
      <c r="AE31" s="48"/>
      <c r="AF31" s="48"/>
      <c r="AG31" s="48"/>
      <c r="AH31" s="48"/>
      <c r="AI31" s="48"/>
      <c r="AJ31" s="48"/>
      <c r="AK31" s="48"/>
      <c r="AL31" s="48"/>
      <c r="AM31" s="48"/>
      <c r="AN31" s="48"/>
      <c r="AO31" s="48"/>
      <c r="AP31" s="51" t="str">
        <f>Tabulacao!AH62</f>
        <v>Engenharia de Materiais</v>
      </c>
      <c r="AQ31" s="122">
        <f>Tabulacao!AI62</f>
        <v>1</v>
      </c>
      <c r="AR31" s="53">
        <f t="shared" si="0"/>
        <v>1.7543859649122806E-2</v>
      </c>
      <c r="AS31" s="48"/>
      <c r="AT31" s="122">
        <v>23</v>
      </c>
      <c r="AU31" s="51" t="str">
        <f t="array" ref="AU31">INDEX($AP$49:$AP$80,SMALL(IF($AQ$49:$AQ$80=AV31,ROW($AQ$49:$AQ$80)-48),COUNTIF($AV$9:AV31,AV31)))</f>
        <v>Ciências Econômicas</v>
      </c>
      <c r="AV31" s="122">
        <f t="shared" si="3"/>
        <v>0</v>
      </c>
      <c r="AW31" s="53">
        <f t="shared" si="4"/>
        <v>0</v>
      </c>
      <c r="AX31" s="48"/>
      <c r="AY31" s="48"/>
      <c r="AZ31" s="48"/>
      <c r="BA31" s="48"/>
      <c r="BB31" s="48"/>
      <c r="BC31" s="48"/>
      <c r="BD31" s="48"/>
      <c r="BE31" s="48"/>
      <c r="BF31" s="48"/>
      <c r="BG31" s="60" t="str">
        <f>BG25</f>
        <v>Não me adaptei à área do curso que fiz no IFS</v>
      </c>
      <c r="BH31" s="123">
        <f t="shared" si="14"/>
        <v>0.29411764705882354</v>
      </c>
      <c r="BI31" s="123">
        <f t="shared" si="14"/>
        <v>5.8823529411764705E-2</v>
      </c>
      <c r="BJ31" s="123">
        <f t="shared" si="14"/>
        <v>0.35294117647058826</v>
      </c>
      <c r="BK31" s="123">
        <f t="shared" si="14"/>
        <v>5.8823529411764705E-2</v>
      </c>
      <c r="BL31" s="123">
        <f t="shared" si="14"/>
        <v>0.23529411764705882</v>
      </c>
      <c r="BM31" s="124">
        <f>BM25</f>
        <v>2.8823529411764706</v>
      </c>
    </row>
    <row r="32" spans="2:65" x14ac:dyDescent="0.2">
      <c r="B32" s="152"/>
      <c r="C32" s="311"/>
      <c r="D32" s="152"/>
      <c r="E32" s="137" t="s">
        <v>764</v>
      </c>
      <c r="F32" s="138" t="str">
        <f>F8</f>
        <v>Sim</v>
      </c>
      <c r="G32" s="138" t="str">
        <f>G8</f>
        <v>Não</v>
      </c>
      <c r="H32" s="48"/>
      <c r="I32" s="51" t="str">
        <f t="shared" si="11"/>
        <v>Pós doutorado</v>
      </c>
      <c r="J32" s="52">
        <f>IFERROR(COUNTIFS(Respostas_Formatadas!$C:$C,ContEstudos!$I$25,Respostas_Formatadas!$E:$E,ContEstudos!$I32)+COUNTIFS(Respostas_Formatadas!$C:$C,ContEstudos!$I$25,Respostas_Formatadas!$F:$F,ContEstudos!$I32)+COUNTIFS(Respostas_Formatadas!$C:$C,ContEstudos!$I$25,Respostas_Formatadas!$G:$G,ContEstudos!$I32),"-")</f>
        <v>0</v>
      </c>
      <c r="K32" s="53">
        <f t="shared" si="12"/>
        <v>0</v>
      </c>
      <c r="L32" s="48"/>
      <c r="M32" s="48"/>
      <c r="N32" s="51" t="str">
        <f>N9</f>
        <v>Aumentar o salário</v>
      </c>
      <c r="O32" s="52">
        <f>IFERROR(COUNTIFS(Respostas_Formatadas!$C:$C,ContEstudos!$N$30,Respostas_Formatadas!$H:$H,ContEstudos!$N32)+COUNTIFS(Respostas_Formatadas!$C:$C,ContEstudos!$N$30,Respostas_Formatadas!$I:$I,ContEstudos!$N32)+COUNTIFS(Respostas_Formatadas!$C:$C,ContEstudos!$N$30,Respostas_Formatadas!$J:$J,ContEstudos!$N32)+COUNTIFS(Respostas_Formatadas!$C:$C,ContEstudos!$N$30,Respostas_Formatadas!$K:$K,ContEstudos!$N32)+COUNTIFS(Respostas_Formatadas!$C:$C,ContEstudos!$N$30,Respostas_Formatadas!$L:$L,ContEstudos!$N32),"-")</f>
        <v>3</v>
      </c>
      <c r="P32" s="53">
        <f>O32/$O$37</f>
        <v>0.13636363636363635</v>
      </c>
      <c r="Q32" s="48"/>
      <c r="R32" s="48"/>
      <c r="S32" s="51" t="str">
        <f>S9</f>
        <v>Ensino médio</v>
      </c>
      <c r="T32" s="52">
        <f>IFERROR(COUNTIFS(Respostas_Formatadas!$C:$C,ContEstudos!$S$30,Respostas_Formatadas!$M:$M,ContEstudos!$S32),"-")</f>
        <v>8</v>
      </c>
      <c r="U32" s="53">
        <f>T32/SUM($T$32:$T$36)</f>
        <v>0.5</v>
      </c>
      <c r="V32" s="48"/>
      <c r="W32" s="48"/>
      <c r="X32" s="48"/>
      <c r="Y32" s="48"/>
      <c r="Z32" s="48"/>
      <c r="AA32" s="48"/>
      <c r="AB32" s="48"/>
      <c r="AC32" s="48"/>
      <c r="AD32" s="48"/>
      <c r="AE32" s="48"/>
      <c r="AF32" s="48"/>
      <c r="AG32" s="48"/>
      <c r="AH32" s="48"/>
      <c r="AI32" s="48"/>
      <c r="AJ32" s="48"/>
      <c r="AK32" s="48"/>
      <c r="AL32" s="48"/>
      <c r="AM32" s="48"/>
      <c r="AN32" s="48"/>
      <c r="AO32" s="48"/>
      <c r="AP32" s="51" t="str">
        <f>Tabulacao!AH63</f>
        <v>Estatística</v>
      </c>
      <c r="AQ32" s="122">
        <f>Tabulacao!AI63</f>
        <v>1</v>
      </c>
      <c r="AR32" s="53">
        <f t="shared" si="0"/>
        <v>1.7543859649122806E-2</v>
      </c>
      <c r="AS32" s="48"/>
      <c r="AT32" s="122">
        <v>24</v>
      </c>
      <c r="AU32" s="51" t="str">
        <f t="array" ref="AU32">INDEX($AP$49:$AP$80,SMALL(IF($AQ$49:$AQ$80=AV32,ROW($AQ$49:$AQ$80)-48),COUNTIF($AV$9:AV32,AV32)))</f>
        <v>Design de Interiores</v>
      </c>
      <c r="AV32" s="122">
        <f t="shared" si="3"/>
        <v>0</v>
      </c>
      <c r="AW32" s="53">
        <f t="shared" si="4"/>
        <v>0</v>
      </c>
      <c r="AX32" s="48"/>
      <c r="AY32" s="48"/>
      <c r="AZ32" s="48"/>
      <c r="BA32" s="48"/>
      <c r="BB32" s="48"/>
      <c r="BC32" s="48"/>
      <c r="BD32" s="48"/>
      <c r="BE32" s="48"/>
      <c r="BF32" s="48"/>
      <c r="BG32" s="60" t="str">
        <f>BG26</f>
        <v>Quis aprimorar os conhecimentos que eu adquiri na graduação do IFS</v>
      </c>
      <c r="BH32" s="123">
        <f t="shared" si="14"/>
        <v>0.11764705882352941</v>
      </c>
      <c r="BI32" s="123">
        <f t="shared" si="14"/>
        <v>5.8823529411764705E-2</v>
      </c>
      <c r="BJ32" s="123">
        <f t="shared" si="14"/>
        <v>0.29411764705882354</v>
      </c>
      <c r="BK32" s="123">
        <f t="shared" si="14"/>
        <v>0.11764705882352941</v>
      </c>
      <c r="BL32" s="123">
        <f t="shared" si="14"/>
        <v>0.41176470588235292</v>
      </c>
      <c r="BM32" s="124">
        <f>BM26</f>
        <v>3.6470588235294117</v>
      </c>
    </row>
    <row r="33" spans="2:65" x14ac:dyDescent="0.2">
      <c r="B33" s="152"/>
      <c r="C33" s="311"/>
      <c r="D33" s="152"/>
      <c r="E33" s="51" t="s">
        <v>292</v>
      </c>
      <c r="F33" s="53">
        <f>IFERROR(COUNTIFS(Respostas_Formatadas!$FI:$FI,ContEstudos!$E33,Respostas_Formatadas!$D:$D,ContEstudos!$F$32)/VLOOKUP($E33,CaractAmostra!$E$26:$G$32,2,FALSE),"-")</f>
        <v>0.4157303370786517</v>
      </c>
      <c r="G33" s="53">
        <f>IFERROR(COUNTIFS(Respostas_Formatadas!$FI:$FI,ContEstudos!$E33,Respostas_Formatadas!$D:$D,ContEstudos!$G$32)/VLOOKUP($E33,CaractAmostra!$E$26:$G$32,2,FALSE),"-")</f>
        <v>0.5842696629213483</v>
      </c>
      <c r="H33" s="48"/>
      <c r="I33" s="148" t="s">
        <v>621</v>
      </c>
      <c r="J33" s="262">
        <f>COUNTIFS(Respostas_Formatadas!$C:$C,$I$25,Respostas_Formatadas!$E:$E,I27)+COUNTIFS(Respostas_Formatadas!$C:$C,$I$25,Respostas_Formatadas!$E:$E,I28)+COUNTIFS(Respostas_Formatadas!$C:$C,$I$25,Respostas_Formatadas!$E:$E,I29)+COUNTIFS(Respostas_Formatadas!$C:$C,$I$25,Respostas_Formatadas!$E:$E,I30)+COUNTIFS(Respostas_Formatadas!$C:$C,$I$25,Respostas_Formatadas!$E:$E,I31)+COUNTIFS(Respostas_Formatadas!$C:$C,$I$25,Respostas_Formatadas!$E:$E,I32)</f>
        <v>20</v>
      </c>
      <c r="K33" s="263" t="s">
        <v>933</v>
      </c>
      <c r="L33" s="48"/>
      <c r="M33" s="48"/>
      <c r="N33" s="51" t="str">
        <f>N10</f>
        <v>Desenvolver habilidades e conhecimentos</v>
      </c>
      <c r="O33" s="52">
        <f>IFERROR(COUNTIFS(Respostas_Formatadas!$C:$C,ContEstudos!$N$30,Respostas_Formatadas!$H:$H,ContEstudos!$N33)+COUNTIFS(Respostas_Formatadas!$C:$C,ContEstudos!$N$30,Respostas_Formatadas!$I:$I,ContEstudos!$N33)+COUNTIFS(Respostas_Formatadas!$C:$C,ContEstudos!$N$30,Respostas_Formatadas!$J:$J,ContEstudos!$N33)+COUNTIFS(Respostas_Formatadas!$C:$C,ContEstudos!$N$30,Respostas_Formatadas!$K:$K,ContEstudos!$N33)+COUNTIFS(Respostas_Formatadas!$C:$C,ContEstudos!$N$30,Respostas_Formatadas!$L:$L,ContEstudos!$N33),"-")</f>
        <v>16</v>
      </c>
      <c r="P33" s="53">
        <f t="shared" ref="P33:P35" si="15">O33/$O$37</f>
        <v>0.72727272727272729</v>
      </c>
      <c r="Q33" s="48"/>
      <c r="R33" s="48"/>
      <c r="S33" s="51" t="str">
        <f>S10</f>
        <v>Ensino técnico</v>
      </c>
      <c r="T33" s="52">
        <f>IFERROR(COUNTIFS(Respostas_Formatadas!$C:$C,ContEstudos!$S$30,Respostas_Formatadas!$M:$M,ContEstudos!$S33),"-")</f>
        <v>5</v>
      </c>
      <c r="U33" s="53">
        <f>T33/SUM($T$32:$T$36)</f>
        <v>0.3125</v>
      </c>
      <c r="V33" s="48"/>
      <c r="W33" s="48"/>
      <c r="X33" s="48"/>
      <c r="Y33" s="48"/>
      <c r="Z33" s="48"/>
      <c r="AA33" s="48"/>
      <c r="AB33" s="48"/>
      <c r="AC33" s="48"/>
      <c r="AD33" s="48"/>
      <c r="AE33" s="48"/>
      <c r="AF33" s="48"/>
      <c r="AG33" s="48"/>
      <c r="AH33" s="48"/>
      <c r="AI33" s="48"/>
      <c r="AJ33" s="48"/>
      <c r="AK33" s="48"/>
      <c r="AL33" s="48"/>
      <c r="AM33" s="48"/>
      <c r="AN33" s="48"/>
      <c r="AO33" s="48"/>
      <c r="AP33" s="51" t="str">
        <f>Tabulacao!AH64</f>
        <v>Estética e Cosmética</v>
      </c>
      <c r="AQ33" s="122">
        <f>Tabulacao!AI64</f>
        <v>1</v>
      </c>
      <c r="AR33" s="53">
        <f t="shared" si="0"/>
        <v>1.7543859649122806E-2</v>
      </c>
      <c r="AS33" s="48"/>
      <c r="AT33" s="122">
        <v>25</v>
      </c>
      <c r="AU33" s="51" t="str">
        <f t="array" ref="AU33">INDEX($AP$49:$AP$80,SMALL(IF($AQ$49:$AQ$80=AV33,ROW($AQ$49:$AQ$80)-48),COUNTIF($AV$9:AV33,AV33)))</f>
        <v>Direito</v>
      </c>
      <c r="AV33" s="122">
        <f t="shared" si="3"/>
        <v>0</v>
      </c>
      <c r="AW33" s="53">
        <f t="shared" si="4"/>
        <v>0</v>
      </c>
      <c r="AX33" s="48"/>
      <c r="AY33" s="48"/>
      <c r="AZ33" s="48"/>
      <c r="BA33" s="48"/>
      <c r="BB33" s="48"/>
      <c r="BC33" s="48"/>
      <c r="BD33" s="48"/>
      <c r="BE33" s="48"/>
      <c r="BF33" s="48"/>
      <c r="BG33" s="48"/>
      <c r="BH33" s="48"/>
      <c r="BI33" s="48"/>
      <c r="BJ33" s="48"/>
      <c r="BK33" s="48"/>
      <c r="BL33" s="48"/>
      <c r="BM33" s="48"/>
    </row>
    <row r="34" spans="2:65" x14ac:dyDescent="0.2">
      <c r="B34" s="152"/>
      <c r="C34" s="311"/>
      <c r="D34" s="152"/>
      <c r="E34" s="51" t="s">
        <v>322</v>
      </c>
      <c r="F34" s="53">
        <f>IFERROR(COUNTIFS(Respostas_Formatadas!$FI:$FI,ContEstudos!$E34,Respostas_Formatadas!$D:$D,ContEstudos!$F$32)/VLOOKUP($E34,CaractAmostra!$E$26:$G$32,2,FALSE),"-")</f>
        <v>0.11764705882352941</v>
      </c>
      <c r="G34" s="53">
        <f>IFERROR(COUNTIFS(Respostas_Formatadas!$FI:$FI,ContEstudos!$E34,Respostas_Formatadas!$D:$D,ContEstudos!$G$32)/VLOOKUP($E34,CaractAmostra!$E$26:$G$32,2,FALSE),"-")</f>
        <v>0.88235294117647056</v>
      </c>
      <c r="H34" s="48"/>
      <c r="I34" s="48"/>
      <c r="J34" s="48"/>
      <c r="K34" s="48"/>
      <c r="L34" s="48"/>
      <c r="M34" s="48"/>
      <c r="N34" s="51" t="str">
        <f>N11</f>
        <v>Obter maior status social</v>
      </c>
      <c r="O34" s="52">
        <f>IFERROR(COUNTIFS(Respostas_Formatadas!$C:$C,ContEstudos!$N$30,Respostas_Formatadas!$H:$H,ContEstudos!$N34)+COUNTIFS(Respostas_Formatadas!$C:$C,ContEstudos!$N$30,Respostas_Formatadas!$I:$I,ContEstudos!$N34)+COUNTIFS(Respostas_Formatadas!$C:$C,ContEstudos!$N$30,Respostas_Formatadas!$J:$J,ContEstudos!$N34)+COUNTIFS(Respostas_Formatadas!$C:$C,ContEstudos!$N$30,Respostas_Formatadas!$K:$K,ContEstudos!$N34)+COUNTIFS(Respostas_Formatadas!$C:$C,ContEstudos!$N$30,Respostas_Formatadas!$L:$L,ContEstudos!$N34),"-")</f>
        <v>2</v>
      </c>
      <c r="P34" s="53">
        <f t="shared" si="15"/>
        <v>9.0909090909090912E-2</v>
      </c>
      <c r="Q34" s="48"/>
      <c r="R34" s="48"/>
      <c r="S34" s="51" t="str">
        <f>S11</f>
        <v>Graduação incompleta</v>
      </c>
      <c r="T34" s="52">
        <f>IFERROR(COUNTIFS(Respostas_Formatadas!$C:$C,ContEstudos!$S$30,Respostas_Formatadas!$M:$M,ContEstudos!$S34),"-")</f>
        <v>3</v>
      </c>
      <c r="U34" s="53">
        <f>T34/SUM($T$32:$T$36)</f>
        <v>0.1875</v>
      </c>
      <c r="V34" s="48"/>
      <c r="W34" s="48"/>
      <c r="X34" s="48"/>
      <c r="Y34" s="48"/>
      <c r="Z34" s="48"/>
      <c r="AA34" s="48"/>
      <c r="AB34" s="48"/>
      <c r="AC34" s="48"/>
      <c r="AD34" s="48"/>
      <c r="AE34" s="48"/>
      <c r="AF34" s="48"/>
      <c r="AG34" s="48"/>
      <c r="AH34" s="48"/>
      <c r="AI34" s="48"/>
      <c r="AJ34" s="48"/>
      <c r="AK34" s="48"/>
      <c r="AL34" s="48"/>
      <c r="AM34" s="48"/>
      <c r="AN34" s="48"/>
      <c r="AO34" s="48"/>
      <c r="AP34" s="51" t="str">
        <f>Tabulacao!AH65</f>
        <v>Fonoaudiologia</v>
      </c>
      <c r="AQ34" s="122">
        <f>Tabulacao!AI65</f>
        <v>1</v>
      </c>
      <c r="AR34" s="53">
        <f t="shared" si="0"/>
        <v>1.7543859649122806E-2</v>
      </c>
      <c r="AS34" s="48"/>
      <c r="AT34" s="122">
        <v>26</v>
      </c>
      <c r="AU34" s="51" t="str">
        <f t="array" ref="AU34">INDEX($AP$49:$AP$80,SMALL(IF($AQ$49:$AQ$80=AV34,ROW($AQ$49:$AQ$80)-48),COUNTIF($AV$9:AV34,AV34)))</f>
        <v>Enfermagem</v>
      </c>
      <c r="AV34" s="122">
        <f t="shared" si="3"/>
        <v>0</v>
      </c>
      <c r="AW34" s="53">
        <f t="shared" si="4"/>
        <v>0</v>
      </c>
      <c r="AX34" s="48"/>
      <c r="AY34" s="48"/>
      <c r="AZ34" s="48"/>
      <c r="BA34" s="48"/>
      <c r="BB34" s="48"/>
      <c r="BC34" s="48"/>
      <c r="BD34" s="48"/>
      <c r="BE34" s="48"/>
      <c r="BF34" s="48"/>
      <c r="BG34" s="48"/>
      <c r="BH34" s="48"/>
      <c r="BI34" s="48"/>
      <c r="BJ34" s="48"/>
      <c r="BK34" s="48"/>
      <c r="BL34" s="48"/>
      <c r="BM34" s="48"/>
    </row>
    <row r="35" spans="2:65" x14ac:dyDescent="0.2">
      <c r="B35" s="152"/>
      <c r="C35" s="311"/>
      <c r="D35" s="152"/>
      <c r="E35" s="51" t="s">
        <v>291</v>
      </c>
      <c r="F35" s="53">
        <f>IFERROR(COUNTIFS(Respostas_Formatadas!$FI:$FI,ContEstudos!$E35,Respostas_Formatadas!$D:$D,ContEstudos!$F$32)/VLOOKUP($E35,CaractAmostra!$E$26:$G$32,2,FALSE),"-")</f>
        <v>0.31818181818181818</v>
      </c>
      <c r="G35" s="53">
        <f>IFERROR(COUNTIFS(Respostas_Formatadas!$FI:$FI,ContEstudos!$E35,Respostas_Formatadas!$D:$D,ContEstudos!$G$32)/VLOOKUP($E35,CaractAmostra!$E$26:$G$32,2,FALSE),"-")</f>
        <v>0.68181818181818177</v>
      </c>
      <c r="H35" s="48"/>
      <c r="I35" s="48"/>
      <c r="J35" s="48"/>
      <c r="K35" s="48"/>
      <c r="L35" s="48"/>
      <c r="M35" s="48"/>
      <c r="N35" s="51" t="str">
        <f>N12</f>
        <v>Ampliar as oportunidades de emprego</v>
      </c>
      <c r="O35" s="52">
        <f>IFERROR(COUNTIFS(Respostas_Formatadas!$C:$C,ContEstudos!$N$30,Respostas_Formatadas!$H:$H,ContEstudos!$N35)+COUNTIFS(Respostas_Formatadas!$C:$C,ContEstudos!$N$30,Respostas_Formatadas!$I:$I,ContEstudos!$N35)+COUNTIFS(Respostas_Formatadas!$C:$C,ContEstudos!$N$30,Respostas_Formatadas!$J:$J,ContEstudos!$N35)+COUNTIFS(Respostas_Formatadas!$C:$C,ContEstudos!$N$30,Respostas_Formatadas!$K:$K,ContEstudos!$N35)+COUNTIFS(Respostas_Formatadas!$C:$C,ContEstudos!$N$30,Respostas_Formatadas!$L:$L,ContEstudos!$N35),"-")</f>
        <v>16</v>
      </c>
      <c r="P35" s="53">
        <f t="shared" si="15"/>
        <v>0.72727272727272729</v>
      </c>
      <c r="Q35" s="48"/>
      <c r="R35" s="48"/>
      <c r="S35" s="51" t="str">
        <f>S12</f>
        <v>Graduação completa</v>
      </c>
      <c r="T35" s="52">
        <f>IFERROR(COUNTIFS(Respostas_Formatadas!$C:$C,ContEstudos!$S$30,Respostas_Formatadas!$M:$M,ContEstudos!$S35),"-")</f>
        <v>0</v>
      </c>
      <c r="U35" s="53">
        <f>T35/SUM($T$32:$T$36)</f>
        <v>0</v>
      </c>
      <c r="V35" s="48"/>
      <c r="W35" s="48"/>
      <c r="X35" s="48"/>
      <c r="Y35" s="48"/>
      <c r="Z35" s="48"/>
      <c r="AA35" s="48"/>
      <c r="AB35" s="48"/>
      <c r="AC35" s="48"/>
      <c r="AD35" s="48"/>
      <c r="AE35" s="48"/>
      <c r="AF35" s="48"/>
      <c r="AG35" s="48"/>
      <c r="AH35" s="48"/>
      <c r="AI35" s="48"/>
      <c r="AJ35" s="48"/>
      <c r="AK35" s="48"/>
      <c r="AL35" s="48"/>
      <c r="AM35" s="48"/>
      <c r="AN35" s="48"/>
      <c r="AO35" s="48"/>
      <c r="AP35" s="51" t="str">
        <f>Tabulacao!AH66</f>
        <v>Geografia</v>
      </c>
      <c r="AQ35" s="122">
        <f>Tabulacao!AI66</f>
        <v>1</v>
      </c>
      <c r="AR35" s="53">
        <f t="shared" si="0"/>
        <v>1.7543859649122806E-2</v>
      </c>
      <c r="AS35" s="48"/>
      <c r="AT35" s="122">
        <v>27</v>
      </c>
      <c r="AU35" s="51" t="str">
        <f t="array" ref="AU35">INDEX($AP$49:$AP$80,SMALL(IF($AQ$49:$AQ$80=AV35,ROW($AQ$49:$AQ$80)-48),COUNTIF($AV$9:AV35,AV35)))</f>
        <v>Engenharia Agrícola</v>
      </c>
      <c r="AV35" s="122">
        <f t="shared" si="3"/>
        <v>0</v>
      </c>
      <c r="AW35" s="53">
        <f t="shared" si="4"/>
        <v>0</v>
      </c>
      <c r="AX35" s="48"/>
      <c r="AY35" s="48"/>
      <c r="AZ35" s="48"/>
      <c r="BA35" s="48"/>
      <c r="BB35" s="48"/>
      <c r="BC35" s="48"/>
      <c r="BD35" s="48"/>
      <c r="BE35" s="48"/>
      <c r="BF35" s="48"/>
      <c r="BG35" s="48"/>
      <c r="BH35" s="48"/>
      <c r="BI35" s="48"/>
      <c r="BJ35" s="48"/>
      <c r="BK35" s="48"/>
      <c r="BL35" s="48"/>
      <c r="BM35" s="48"/>
    </row>
    <row r="36" spans="2:65" x14ac:dyDescent="0.2">
      <c r="B36" s="152"/>
      <c r="C36" s="312"/>
      <c r="D36" s="152"/>
      <c r="E36" s="51" t="s">
        <v>399</v>
      </c>
      <c r="F36" s="53">
        <f>IFERROR(COUNTIFS(Respostas_Formatadas!$FI:$FI,ContEstudos!$E36,Respostas_Formatadas!$D:$D,ContEstudos!$F$32)/VLOOKUP($E36,CaractAmostra!$E$26:$G$32,2,FALSE),"-")</f>
        <v>0.57894736842105265</v>
      </c>
      <c r="G36" s="53">
        <f>IFERROR(COUNTIFS(Respostas_Formatadas!$FI:$FI,ContEstudos!$E36,Respostas_Formatadas!$D:$D,ContEstudos!$G$32)/VLOOKUP($E36,CaractAmostra!$E$26:$G$32,2,FALSE),"-")</f>
        <v>0.42105263157894735</v>
      </c>
      <c r="H36" s="48"/>
      <c r="I36" s="48"/>
      <c r="J36" s="48"/>
      <c r="K36" s="48"/>
      <c r="L36" s="48"/>
      <c r="M36" s="48"/>
      <c r="N36" s="56" t="str">
        <f>N13</f>
        <v>Outros</v>
      </c>
      <c r="O36" s="57">
        <f>IFERROR(COUNTIFS(Respostas_Formatadas!$C:$C,ContEstudos!$N$30,Respostas_Formatadas!$H:$H,ContEstudos!$N36)+COUNTIFS(Respostas_Formatadas!$C:$C,ContEstudos!$N$30,Respostas_Formatadas!$I:$I,ContEstudos!$N36)+COUNTIFS(Respostas_Formatadas!$C:$C,ContEstudos!$N$30,Respostas_Formatadas!$J:$J,ContEstudos!$N36)+COUNTIFS(Respostas_Formatadas!$C:$C,ContEstudos!$N$30,Respostas_Formatadas!$K:$K,ContEstudos!$N36)+COUNTIFS(Respostas_Formatadas!$C:$C,ContEstudos!$N$30,Respostas_Formatadas!$L:$L,ContEstudos!$N36),"-")</f>
        <v>0</v>
      </c>
      <c r="P36" s="58">
        <f>O36/SUM($O$32:$O$36)</f>
        <v>0</v>
      </c>
      <c r="Q36" s="48"/>
      <c r="R36" s="48"/>
      <c r="S36" s="59" t="str">
        <f>S13</f>
        <v>Pós graduação</v>
      </c>
      <c r="T36" s="52">
        <f>IFERROR(COUNTIFS(Respostas_Formatadas!$C:$C,ContEstudos!$S$30,Respostas_Formatadas!$M:$M,ContEstudos!$S36),"-")</f>
        <v>0</v>
      </c>
      <c r="U36" s="53">
        <f>T36/SUM($T$32:$T$36)</f>
        <v>0</v>
      </c>
      <c r="V36" s="48"/>
      <c r="W36" s="48"/>
      <c r="X36" s="48"/>
      <c r="Y36" s="48"/>
      <c r="Z36" s="48"/>
      <c r="AA36" s="48"/>
      <c r="AB36" s="48"/>
      <c r="AC36" s="48"/>
      <c r="AD36" s="48"/>
      <c r="AE36" s="48"/>
      <c r="AF36" s="48"/>
      <c r="AG36" s="48"/>
      <c r="AH36" s="48"/>
      <c r="AI36" s="48"/>
      <c r="AJ36" s="48"/>
      <c r="AK36" s="48"/>
      <c r="AL36" s="48"/>
      <c r="AM36" s="48"/>
      <c r="AN36" s="48"/>
      <c r="AO36" s="48"/>
      <c r="AP36" s="51" t="str">
        <f>Tabulacao!AH67</f>
        <v>História</v>
      </c>
      <c r="AQ36" s="122">
        <f>Tabulacao!AI67</f>
        <v>1</v>
      </c>
      <c r="AR36" s="53">
        <f t="shared" si="0"/>
        <v>1.7543859649122806E-2</v>
      </c>
      <c r="AS36" s="48"/>
      <c r="AT36" s="122">
        <v>28</v>
      </c>
      <c r="AU36" s="51" t="str">
        <f t="array" ref="AU36">INDEX($AP$49:$AP$80,SMALL(IF($AQ$49:$AQ$80=AV36,ROW($AQ$49:$AQ$80)-48),COUNTIF($AV$9:AV36,AV36)))</f>
        <v>Engenharia de Materiais</v>
      </c>
      <c r="AV36" s="122">
        <f t="shared" si="3"/>
        <v>0</v>
      </c>
      <c r="AW36" s="53">
        <f t="shared" si="4"/>
        <v>0</v>
      </c>
      <c r="AX36" s="48"/>
      <c r="AY36" s="48"/>
      <c r="AZ36" s="48"/>
      <c r="BA36" s="48"/>
      <c r="BB36" s="48"/>
      <c r="BC36" s="48"/>
      <c r="BD36" s="48"/>
      <c r="BE36" s="48"/>
      <c r="BF36" s="48"/>
      <c r="BG36" s="225"/>
      <c r="BH36" s="48"/>
      <c r="BI36" s="48"/>
      <c r="BJ36" s="48"/>
      <c r="BK36" s="48"/>
      <c r="BL36" s="48"/>
      <c r="BM36" s="48"/>
    </row>
    <row r="37" spans="2:65" x14ac:dyDescent="0.2">
      <c r="B37" s="152"/>
      <c r="C37" s="152"/>
      <c r="D37" s="152"/>
      <c r="E37" s="51" t="s">
        <v>328</v>
      </c>
      <c r="F37" s="53">
        <f>IFERROR(COUNTIFS(Respostas_Formatadas!$FI:$FI,ContEstudos!$E37,Respostas_Formatadas!$D:$D,ContEstudos!$F$32)/VLOOKUP($E37,CaractAmostra!$E$26:$G$32,2,FALSE),"-")</f>
        <v>0.15384615384615385</v>
      </c>
      <c r="G37" s="53">
        <f>IFERROR(COUNTIFS(Respostas_Formatadas!$FI:$FI,ContEstudos!$E37,Respostas_Formatadas!$D:$D,ContEstudos!$G$32)/VLOOKUP($E37,CaractAmostra!$E$26:$G$32,2,FALSE),"-")</f>
        <v>0.84615384615384615</v>
      </c>
      <c r="H37" s="48"/>
      <c r="I37" s="48"/>
      <c r="J37" s="48"/>
      <c r="K37" s="48"/>
      <c r="L37" s="48"/>
      <c r="M37" s="48"/>
      <c r="N37" s="148" t="s">
        <v>621</v>
      </c>
      <c r="O37" s="262">
        <f>COUNTIFS(Respostas_Formatadas!$C:$C,$N$30,Respostas_Formatadas!$H:$H,N31)+COUNTIFS(Respostas_Formatadas!$C:$C,$N$30,Respostas_Formatadas!$H:$H,N32)+COUNTIFS(Respostas_Formatadas!$C:$C,$N$30,Respostas_Formatadas!$H:$H,N33)+COUNTIFS(Respostas_Formatadas!$C:$C,$N$30,Respostas_Formatadas!$H:$H,N34)+COUNTIFS(Respostas_Formatadas!$C:$C,$N$30,Respostas_Formatadas!$H:$H,N35)+COUNTIFS(Respostas_Formatadas!$C:$C,$N$30,Respostas_Formatadas!$H:$H,N36)</f>
        <v>22</v>
      </c>
      <c r="P37" s="263" t="s">
        <v>933</v>
      </c>
      <c r="Q37" s="48"/>
      <c r="R37" s="48"/>
      <c r="S37" s="148" t="s">
        <v>621</v>
      </c>
      <c r="T37" s="192">
        <f>SUM(T32:T36)</f>
        <v>16</v>
      </c>
      <c r="U37" s="263">
        <f>SUM(U32:U36)</f>
        <v>1</v>
      </c>
      <c r="V37" s="48"/>
      <c r="W37" s="48"/>
      <c r="X37" s="48"/>
      <c r="Y37" s="48"/>
      <c r="Z37" s="48"/>
      <c r="AA37" s="48"/>
      <c r="AB37" s="48"/>
      <c r="AC37" s="48"/>
      <c r="AD37" s="48"/>
      <c r="AE37" s="48"/>
      <c r="AF37" s="48"/>
      <c r="AG37" s="48"/>
      <c r="AH37" s="48"/>
      <c r="AI37" s="48"/>
      <c r="AJ37" s="48"/>
      <c r="AK37" s="48"/>
      <c r="AL37" s="48"/>
      <c r="AM37" s="48"/>
      <c r="AN37" s="48"/>
      <c r="AO37" s="48"/>
      <c r="AP37" s="51" t="str">
        <f>Tabulacao!AH68</f>
        <v>Letras Português - Espanhol</v>
      </c>
      <c r="AQ37" s="122">
        <f>Tabulacao!AI68</f>
        <v>1</v>
      </c>
      <c r="AR37" s="53">
        <f t="shared" si="0"/>
        <v>1.7543859649122806E-2</v>
      </c>
      <c r="AS37" s="48"/>
      <c r="AT37" s="122">
        <v>29</v>
      </c>
      <c r="AU37" s="51" t="str">
        <f t="array" ref="AU37">INDEX($AP$49:$AP$80,SMALL(IF($AQ$49:$AQ$80=AV37,ROW($AQ$49:$AQ$80)-48),COUNTIF($AV$9:AV37,AV37)))</f>
        <v>Estatística</v>
      </c>
      <c r="AV37" s="122">
        <f t="shared" si="3"/>
        <v>0</v>
      </c>
      <c r="AW37" s="53">
        <f t="shared" si="4"/>
        <v>0</v>
      </c>
      <c r="AX37" s="48"/>
      <c r="AY37" s="48"/>
      <c r="AZ37" s="48"/>
      <c r="BA37" s="48"/>
      <c r="BB37" s="48"/>
      <c r="BC37" s="48"/>
      <c r="BD37" s="48"/>
      <c r="BE37" s="48"/>
      <c r="BF37" s="48"/>
      <c r="BG37" s="48"/>
      <c r="BH37" s="48"/>
      <c r="BI37" s="48"/>
      <c r="BJ37" s="48"/>
      <c r="BK37" s="48"/>
      <c r="BL37" s="48"/>
      <c r="BM37" s="48"/>
    </row>
    <row r="38" spans="2:65" x14ac:dyDescent="0.2">
      <c r="B38" s="152"/>
      <c r="C38" s="152"/>
      <c r="D38" s="152"/>
      <c r="E38" s="143" t="s">
        <v>621</v>
      </c>
      <c r="F38" s="154">
        <f>F10</f>
        <v>0.38007380073800739</v>
      </c>
      <c r="G38" s="154">
        <f>G10</f>
        <v>0.61992619926199266</v>
      </c>
      <c r="H38" s="48"/>
      <c r="I38" s="48"/>
      <c r="J38" s="48"/>
      <c r="K38" s="48"/>
      <c r="L38" s="48"/>
      <c r="M38" s="48"/>
      <c r="N38" s="48"/>
      <c r="O38" s="48"/>
      <c r="P38" s="48"/>
      <c r="Q38" s="48"/>
      <c r="R38" s="48"/>
      <c r="S38" s="48"/>
      <c r="T38" s="48"/>
      <c r="U38" s="48"/>
      <c r="V38" s="48"/>
      <c r="W38" s="48"/>
      <c r="X38" s="48"/>
      <c r="Y38" s="48"/>
      <c r="Z38" s="48"/>
      <c r="AA38" s="48"/>
      <c r="AB38" s="48"/>
      <c r="AC38" s="48"/>
      <c r="AD38" s="48"/>
      <c r="AE38" s="48"/>
      <c r="AF38" s="48"/>
      <c r="AG38" s="48"/>
      <c r="AH38" s="48"/>
      <c r="AI38" s="48"/>
      <c r="AJ38" s="48"/>
      <c r="AK38" s="48"/>
      <c r="AL38" s="48"/>
      <c r="AM38" s="48"/>
      <c r="AN38" s="48"/>
      <c r="AO38" s="48"/>
      <c r="AP38" s="51" t="str">
        <f>Tabulacao!AH69</f>
        <v>Recursos Humanos</v>
      </c>
      <c r="AQ38" s="122">
        <f>Tabulacao!AI69</f>
        <v>1</v>
      </c>
      <c r="AR38" s="53">
        <f t="shared" si="0"/>
        <v>1.7543859649122806E-2</v>
      </c>
      <c r="AS38" s="48"/>
      <c r="AT38" s="122">
        <v>30</v>
      </c>
      <c r="AU38" s="51" t="str">
        <f t="array" ref="AU38">INDEX($AP$49:$AP$80,SMALL(IF($AQ$49:$AQ$80=AV38,ROW($AQ$49:$AQ$80)-48),COUNTIF($AV$9:AV38,AV38)))</f>
        <v>Fonoaudiologia</v>
      </c>
      <c r="AV38" s="122">
        <f t="shared" si="3"/>
        <v>0</v>
      </c>
      <c r="AW38" s="53">
        <f t="shared" si="4"/>
        <v>0</v>
      </c>
      <c r="AX38" s="48"/>
      <c r="AY38" s="48"/>
      <c r="AZ38" s="48"/>
      <c r="BA38" s="48"/>
      <c r="BB38" s="48"/>
      <c r="BC38" s="48"/>
      <c r="BD38" s="48"/>
      <c r="BE38" s="48"/>
      <c r="BF38" s="48"/>
      <c r="BG38" s="48"/>
      <c r="BH38" s="48"/>
      <c r="BI38" s="48"/>
      <c r="BJ38" s="48"/>
      <c r="BK38" s="48"/>
      <c r="BL38" s="48"/>
      <c r="BM38" s="48"/>
    </row>
    <row r="39" spans="2:65" x14ac:dyDescent="0.2">
      <c r="B39" s="152"/>
      <c r="C39" s="152"/>
      <c r="D39" s="152"/>
      <c r="E39" s="1"/>
      <c r="F39" s="1"/>
      <c r="G39" s="1"/>
      <c r="H39" s="48"/>
      <c r="I39" s="48"/>
      <c r="J39" s="48"/>
      <c r="K39" s="48"/>
      <c r="L39" s="48"/>
      <c r="M39" s="48"/>
      <c r="N39" s="48"/>
      <c r="O39" s="48"/>
      <c r="P39" s="48"/>
      <c r="Q39" s="48"/>
      <c r="R39" s="48"/>
      <c r="S39" s="48"/>
      <c r="T39" s="48"/>
      <c r="U39" s="48"/>
      <c r="V39" s="48"/>
      <c r="W39" s="48"/>
      <c r="X39" s="48"/>
      <c r="Y39" s="48"/>
      <c r="Z39" s="48"/>
      <c r="AA39" s="48"/>
      <c r="AB39" s="48"/>
      <c r="AC39" s="48"/>
      <c r="AD39" s="48"/>
      <c r="AE39" s="48"/>
      <c r="AF39" s="48"/>
      <c r="AG39" s="48"/>
      <c r="AH39" s="48"/>
      <c r="AI39" s="48"/>
      <c r="AJ39" s="48"/>
      <c r="AK39" s="48"/>
      <c r="AL39" s="48"/>
      <c r="AM39" s="48"/>
      <c r="AN39" s="48"/>
      <c r="AO39" s="48"/>
      <c r="AP39" s="51" t="str">
        <f>Tabulacao!AH70</f>
        <v>Saneamento Ambiental</v>
      </c>
      <c r="AQ39" s="122">
        <f>Tabulacao!AI70</f>
        <v>1</v>
      </c>
      <c r="AR39" s="53">
        <f t="shared" si="0"/>
        <v>1.7543859649122806E-2</v>
      </c>
      <c r="AS39" s="48"/>
      <c r="AT39" s="122">
        <v>31</v>
      </c>
      <c r="AU39" s="51" t="str">
        <f t="array" ref="AU39">INDEX($AP$49:$AP$80,SMALL(IF($AQ$49:$AQ$80=AV39,ROW($AQ$49:$AQ$80)-48),COUNTIF($AV$9:AV39,AV39)))</f>
        <v>Geografia</v>
      </c>
      <c r="AV39" s="122">
        <f t="shared" si="3"/>
        <v>0</v>
      </c>
      <c r="AW39" s="53">
        <f t="shared" si="4"/>
        <v>0</v>
      </c>
      <c r="AX39" s="48"/>
      <c r="AY39" s="48"/>
      <c r="AZ39" s="48"/>
      <c r="BA39" s="48"/>
      <c r="BB39" s="48"/>
      <c r="BC39" s="48"/>
      <c r="BD39" s="48"/>
      <c r="BE39" s="48"/>
      <c r="BF39" s="48"/>
      <c r="BG39" s="48"/>
      <c r="BH39" s="48"/>
      <c r="BI39" s="48"/>
      <c r="BJ39" s="48"/>
      <c r="BK39" s="48"/>
      <c r="BL39" s="48"/>
      <c r="BM39" s="48"/>
    </row>
    <row r="40" spans="2:65" x14ac:dyDescent="0.2">
      <c r="B40" s="152"/>
      <c r="C40" s="152"/>
      <c r="D40" s="152"/>
      <c r="E40" s="1"/>
      <c r="F40" s="1"/>
      <c r="G40" s="1"/>
      <c r="H40" s="48"/>
      <c r="I40" s="48"/>
      <c r="J40" s="48"/>
      <c r="K40" s="48"/>
      <c r="L40" s="48"/>
      <c r="M40" s="48"/>
      <c r="N40" s="48"/>
      <c r="O40" s="48"/>
      <c r="P40" s="48"/>
      <c r="Q40" s="48"/>
      <c r="R40" s="48"/>
      <c r="S40" s="48"/>
      <c r="T40" s="48"/>
      <c r="U40" s="48"/>
      <c r="V40" s="48"/>
      <c r="W40" s="48"/>
      <c r="X40" s="48"/>
      <c r="Y40" s="48"/>
      <c r="Z40" s="48"/>
      <c r="AA40" s="48"/>
      <c r="AB40" s="48"/>
      <c r="AC40" s="48"/>
      <c r="AD40" s="48"/>
      <c r="AE40" s="48"/>
      <c r="AF40" s="48"/>
      <c r="AG40" s="48"/>
      <c r="AH40" s="48"/>
      <c r="AI40" s="48"/>
      <c r="AJ40" s="48"/>
      <c r="AK40" s="48"/>
      <c r="AL40" s="48"/>
      <c r="AM40" s="48"/>
      <c r="AN40" s="48"/>
      <c r="AO40" s="48"/>
      <c r="AP40" s="51" t="str">
        <f>Tabulacao!AH71</f>
        <v>Técnico em Hospedagem</v>
      </c>
      <c r="AQ40" s="122">
        <f>Tabulacao!AI71</f>
        <v>1</v>
      </c>
      <c r="AR40" s="53">
        <f t="shared" si="0"/>
        <v>1.7543859649122806E-2</v>
      </c>
      <c r="AS40" s="48"/>
      <c r="AT40" s="122">
        <v>32</v>
      </c>
      <c r="AU40" s="51" t="str">
        <f t="array" ref="AU40">INDEX($AP$49:$AP$80,SMALL(IF($AQ$49:$AQ$80=AV40,ROW($AQ$49:$AQ$80)-48),COUNTIF($AV$9:AV40,AV40)))</f>
        <v>História</v>
      </c>
      <c r="AV40" s="122">
        <f t="shared" si="3"/>
        <v>0</v>
      </c>
      <c r="AW40" s="53">
        <f t="shared" si="4"/>
        <v>0</v>
      </c>
      <c r="AX40" s="48"/>
      <c r="AY40" s="48"/>
      <c r="AZ40" s="48"/>
      <c r="BA40" s="48"/>
      <c r="BB40" s="48"/>
      <c r="BC40" s="48"/>
      <c r="BD40" s="48"/>
      <c r="BE40" s="48"/>
      <c r="BF40" s="48"/>
      <c r="BG40" s="48"/>
      <c r="BH40" s="48"/>
      <c r="BI40" s="48"/>
      <c r="BJ40" s="48"/>
      <c r="BK40" s="48"/>
      <c r="BL40" s="48"/>
      <c r="BM40" s="48"/>
    </row>
    <row r="41" spans="2:65" ht="25.5" x14ac:dyDescent="0.2">
      <c r="B41" s="152"/>
      <c r="C41" s="152"/>
      <c r="D41" s="152"/>
      <c r="E41" s="156" t="s">
        <v>1166</v>
      </c>
      <c r="F41" s="48"/>
      <c r="G41" s="48"/>
      <c r="H41" s="48"/>
      <c r="I41" s="48"/>
      <c r="J41" s="48"/>
      <c r="K41" s="48"/>
      <c r="L41" s="48"/>
      <c r="M41" s="48"/>
      <c r="N41" s="48"/>
      <c r="O41" s="48"/>
      <c r="P41" s="48"/>
      <c r="Q41" s="48"/>
      <c r="R41" s="48"/>
      <c r="S41" s="48"/>
      <c r="T41" s="48"/>
      <c r="U41" s="48"/>
      <c r="V41" s="48"/>
      <c r="W41" s="48"/>
      <c r="X41" s="48"/>
      <c r="Y41" s="48"/>
      <c r="Z41" s="48"/>
      <c r="AA41" s="48"/>
      <c r="AB41" s="48"/>
      <c r="AC41" s="48"/>
      <c r="AD41" s="48"/>
      <c r="AE41" s="48"/>
      <c r="AF41" s="48"/>
      <c r="AG41" s="48"/>
      <c r="AH41" s="48"/>
      <c r="AI41" s="48"/>
      <c r="AJ41" s="48"/>
      <c r="AK41" s="48"/>
      <c r="AL41" s="48"/>
      <c r="AM41" s="48"/>
      <c r="AN41" s="48"/>
      <c r="AO41" s="48"/>
      <c r="AP41" s="143" t="s">
        <v>621</v>
      </c>
      <c r="AQ41" s="94">
        <f>SUM(AQ9:AQ40)</f>
        <v>57</v>
      </c>
      <c r="AR41" s="95">
        <f>SUM(AR9:AR40)</f>
        <v>1.0000000000000009</v>
      </c>
      <c r="AS41" s="48"/>
      <c r="AT41" s="192" t="s">
        <v>933</v>
      </c>
      <c r="AU41" s="148" t="s">
        <v>621</v>
      </c>
      <c r="AV41" s="192">
        <f>SUM(AV9:AV40)</f>
        <v>12</v>
      </c>
      <c r="AW41" s="193">
        <f>SUM(AW9:AW40)</f>
        <v>1</v>
      </c>
      <c r="AX41" s="48"/>
      <c r="AY41" s="48"/>
      <c r="AZ41" s="48"/>
      <c r="BA41" s="48"/>
      <c r="BB41" s="48"/>
      <c r="BC41" s="48"/>
      <c r="BD41" s="48"/>
      <c r="BE41" s="48"/>
      <c r="BF41" s="48"/>
      <c r="BG41" s="48"/>
      <c r="BH41" s="48"/>
      <c r="BI41" s="48"/>
      <c r="BJ41" s="48"/>
      <c r="BK41" s="48"/>
      <c r="BL41" s="48"/>
      <c r="BM41" s="48"/>
    </row>
    <row r="42" spans="2:65" x14ac:dyDescent="0.2">
      <c r="B42" s="152"/>
      <c r="C42" s="152"/>
      <c r="D42" s="152"/>
      <c r="E42" s="48"/>
      <c r="F42" s="48"/>
      <c r="G42" s="48"/>
      <c r="H42" s="48"/>
      <c r="I42" s="48"/>
      <c r="J42" s="48"/>
      <c r="K42" s="48"/>
      <c r="L42" s="48"/>
      <c r="M42" s="48"/>
      <c r="N42" s="48"/>
      <c r="O42" s="48"/>
      <c r="P42" s="48"/>
      <c r="Q42" s="48"/>
      <c r="R42" s="48"/>
      <c r="S42" s="48"/>
      <c r="T42" s="48"/>
      <c r="U42" s="48"/>
      <c r="V42" s="48"/>
      <c r="W42" s="48"/>
      <c r="X42" s="48"/>
      <c r="Y42" s="48"/>
      <c r="Z42" s="48"/>
      <c r="AA42" s="48"/>
      <c r="AB42" s="48"/>
      <c r="AC42" s="48"/>
      <c r="AD42" s="48"/>
      <c r="AE42" s="48"/>
      <c r="AF42" s="48"/>
      <c r="AG42" s="48"/>
      <c r="AH42" s="48"/>
      <c r="AI42" s="48"/>
      <c r="AJ42" s="48"/>
      <c r="AK42" s="48"/>
      <c r="AL42" s="48"/>
      <c r="AM42" s="48"/>
      <c r="AN42" s="48"/>
      <c r="AO42" s="48"/>
      <c r="AP42" s="48"/>
      <c r="AQ42" s="48"/>
      <c r="AR42" s="48"/>
      <c r="AS42" s="48"/>
      <c r="AT42" s="48"/>
      <c r="AU42" s="48"/>
      <c r="AV42" s="48"/>
      <c r="AW42" s="48"/>
      <c r="AX42" s="48"/>
      <c r="AY42" s="48"/>
      <c r="AZ42" s="48"/>
      <c r="BA42" s="48"/>
      <c r="BB42" s="48"/>
      <c r="BC42" s="48"/>
      <c r="BD42" s="48"/>
      <c r="BE42" s="48"/>
      <c r="BF42" s="48"/>
      <c r="BG42" s="48"/>
      <c r="BH42" s="48"/>
      <c r="BI42" s="48"/>
      <c r="BJ42" s="48"/>
      <c r="BK42" s="48"/>
      <c r="BL42" s="48"/>
      <c r="BM42" s="48"/>
    </row>
    <row r="43" spans="2:65" x14ac:dyDescent="0.2">
      <c r="B43" s="152"/>
      <c r="C43" s="152"/>
      <c r="D43" s="152"/>
      <c r="E43" s="137" t="str">
        <f>CaractAmostra!E44</f>
        <v>Modalidade do Curso</v>
      </c>
      <c r="F43" s="138" t="str">
        <f>F32</f>
        <v>Sim</v>
      </c>
      <c r="G43" s="138" t="str">
        <f>G32</f>
        <v>Não</v>
      </c>
      <c r="H43" s="48"/>
      <c r="I43" s="48"/>
      <c r="J43" s="48"/>
      <c r="K43" s="48"/>
      <c r="L43" s="48"/>
      <c r="M43" s="48"/>
      <c r="N43" s="48"/>
      <c r="O43" s="48"/>
      <c r="P43" s="48"/>
      <c r="Q43" s="48"/>
      <c r="R43" s="48"/>
      <c r="S43" s="48"/>
      <c r="T43" s="48"/>
      <c r="U43" s="48"/>
      <c r="V43" s="48"/>
      <c r="W43" s="48"/>
      <c r="X43" s="48"/>
      <c r="Y43" s="48"/>
      <c r="Z43" s="48"/>
      <c r="AA43" s="48"/>
      <c r="AB43" s="48"/>
      <c r="AC43" s="48"/>
      <c r="AD43" s="48"/>
      <c r="AE43" s="48"/>
      <c r="AF43" s="48"/>
      <c r="AG43" s="48"/>
      <c r="AH43" s="48"/>
      <c r="AI43" s="48"/>
      <c r="AJ43" s="48"/>
      <c r="AK43" s="48"/>
      <c r="AL43" s="48"/>
      <c r="AM43" s="48"/>
      <c r="AN43" s="48"/>
      <c r="AO43" s="48"/>
      <c r="AP43" s="48"/>
      <c r="AQ43" s="48"/>
      <c r="AR43" s="48"/>
      <c r="AS43" s="48"/>
      <c r="AT43" s="48"/>
      <c r="AU43" s="48"/>
      <c r="AV43" s="48"/>
      <c r="AW43" s="48"/>
      <c r="AX43" s="48"/>
      <c r="AY43" s="48"/>
      <c r="AZ43" s="48"/>
      <c r="BA43" s="48"/>
      <c r="BB43" s="48"/>
      <c r="BC43" s="48"/>
      <c r="BD43" s="48"/>
      <c r="BE43" s="48"/>
      <c r="BF43" s="48"/>
      <c r="BG43" s="48"/>
      <c r="BH43" s="48"/>
      <c r="BI43" s="48"/>
      <c r="BJ43" s="48"/>
      <c r="BK43" s="48"/>
      <c r="BL43" s="48"/>
      <c r="BM43" s="48"/>
    </row>
    <row r="44" spans="2:65" x14ac:dyDescent="0.2">
      <c r="B44" s="152"/>
      <c r="C44" s="152"/>
      <c r="D44" s="152"/>
      <c r="E44" s="51" t="s">
        <v>1087</v>
      </c>
      <c r="F44" s="53">
        <f>IFERROR(COUNTIFS(Respostas_Formatadas!$FJ:$FJ,ContEstudos!$E44,Respostas_Formatadas!$D:$D,ContEstudos!$F$43)/VLOOKUP($E44,CaractAmostra!$E$44:$I$48,2,FALSE),"-")</f>
        <v>0.46268656716417911</v>
      </c>
      <c r="G44" s="53">
        <f>IFERROR(COUNTIFS(Respostas_Formatadas!$FJ:$FJ,ContEstudos!$E44,Respostas_Formatadas!$D:$D,ContEstudos!$G$43)/VLOOKUP($E44,CaractAmostra!$E$44:$I$48,2,FALSE),"-")</f>
        <v>0.53731343283582089</v>
      </c>
      <c r="H44" s="48"/>
      <c r="I44" s="48"/>
      <c r="J44" s="48"/>
      <c r="K44" s="48"/>
      <c r="L44" s="48"/>
      <c r="M44" s="48"/>
      <c r="N44" s="48"/>
      <c r="O44" s="48"/>
      <c r="P44" s="48"/>
      <c r="Q44" s="48"/>
      <c r="R44" s="48"/>
      <c r="S44" s="48"/>
      <c r="T44" s="48"/>
      <c r="U44" s="48"/>
      <c r="V44" s="48"/>
      <c r="W44" s="48"/>
      <c r="X44" s="48"/>
      <c r="Y44" s="48"/>
      <c r="Z44" s="48"/>
      <c r="AA44" s="48"/>
      <c r="AB44" s="48"/>
      <c r="AC44" s="48"/>
      <c r="AD44" s="48"/>
      <c r="AE44" s="48"/>
      <c r="AF44" s="48"/>
      <c r="AG44" s="48"/>
      <c r="AH44" s="48"/>
      <c r="AI44" s="48"/>
      <c r="AJ44" s="48"/>
      <c r="AK44" s="48"/>
      <c r="AL44" s="48"/>
      <c r="AM44" s="48"/>
      <c r="AN44" s="48"/>
      <c r="AO44" s="48"/>
      <c r="AP44" s="48"/>
      <c r="AQ44" s="48"/>
      <c r="AR44" s="48"/>
      <c r="AS44" s="48"/>
      <c r="AT44" s="48"/>
      <c r="AU44" s="48"/>
      <c r="AV44" s="48"/>
      <c r="AW44" s="48"/>
      <c r="AX44" s="48"/>
      <c r="AY44" s="48"/>
      <c r="AZ44" s="48"/>
      <c r="BA44" s="48"/>
      <c r="BB44" s="48"/>
      <c r="BC44" s="48"/>
      <c r="BD44" s="48"/>
      <c r="BE44" s="48"/>
      <c r="BF44" s="48"/>
      <c r="BG44" s="48"/>
      <c r="BH44" s="48"/>
      <c r="BI44" s="48"/>
      <c r="BJ44" s="48"/>
      <c r="BK44" s="48"/>
      <c r="BL44" s="48"/>
      <c r="BM44" s="48"/>
    </row>
    <row r="45" spans="2:65" x14ac:dyDescent="0.2">
      <c r="B45" s="152"/>
      <c r="C45" s="152"/>
      <c r="D45" s="152"/>
      <c r="E45" s="51" t="s">
        <v>1088</v>
      </c>
      <c r="F45" s="53">
        <f>IFERROR(COUNTIFS(Respostas_Formatadas!$FJ:$FJ,ContEstudos!$E45,Respostas_Formatadas!$D:$D,ContEstudos!$F$43)/VLOOKUP($E45,CaractAmostra!$E$44:$I$48,2,FALSE),"-")</f>
        <v>0.37931034482758619</v>
      </c>
      <c r="G45" s="53">
        <f>IFERROR(COUNTIFS(Respostas_Formatadas!$FJ:$FJ,ContEstudos!$E45,Respostas_Formatadas!$D:$D,ContEstudos!$G$43)/VLOOKUP($E45,CaractAmostra!$E$44:$I$48,2,FALSE),"-")</f>
        <v>0.62068965517241381</v>
      </c>
      <c r="H45" s="48"/>
      <c r="I45" s="48"/>
      <c r="J45" s="48"/>
      <c r="K45" s="48"/>
      <c r="L45" s="48"/>
      <c r="M45" s="48"/>
      <c r="N45" s="48"/>
      <c r="O45" s="48"/>
      <c r="P45" s="48"/>
      <c r="Q45" s="48"/>
      <c r="R45" s="48"/>
      <c r="S45" s="48"/>
      <c r="T45" s="48"/>
      <c r="U45" s="48"/>
      <c r="V45" s="48"/>
      <c r="W45" s="48"/>
      <c r="X45" s="48"/>
      <c r="Y45" s="48"/>
      <c r="Z45" s="48"/>
      <c r="AA45" s="48"/>
      <c r="AB45" s="48"/>
      <c r="AC45" s="48"/>
      <c r="AD45" s="48"/>
      <c r="AE45" s="48"/>
      <c r="AF45" s="48"/>
      <c r="AG45" s="48"/>
      <c r="AH45" s="48"/>
      <c r="AI45" s="48"/>
      <c r="AJ45" s="48"/>
      <c r="AK45" s="48"/>
      <c r="AL45" s="48"/>
      <c r="AM45" s="48"/>
      <c r="AN45" s="48"/>
      <c r="AO45" s="48"/>
      <c r="AP45" s="236" t="s">
        <v>1099</v>
      </c>
      <c r="AQ45" s="234"/>
      <c r="AR45" s="234"/>
      <c r="AS45" s="48"/>
      <c r="AT45" s="48"/>
      <c r="AU45" s="48"/>
      <c r="AV45" s="48"/>
      <c r="AW45" s="48"/>
      <c r="AX45" s="48"/>
      <c r="AY45" s="48"/>
      <c r="AZ45" s="48"/>
      <c r="BA45" s="48"/>
      <c r="BB45" s="48"/>
      <c r="BC45" s="48"/>
      <c r="BD45" s="48"/>
      <c r="BE45" s="48"/>
      <c r="BF45" s="48"/>
      <c r="BG45" s="48"/>
      <c r="BH45" s="48"/>
      <c r="BI45" s="48"/>
      <c r="BJ45" s="48"/>
      <c r="BK45" s="48"/>
      <c r="BL45" s="48"/>
      <c r="BM45" s="48"/>
    </row>
    <row r="46" spans="2:65" x14ac:dyDescent="0.2">
      <c r="B46" s="152"/>
      <c r="C46" s="152"/>
      <c r="D46" s="152"/>
      <c r="E46" s="51" t="s">
        <v>1089</v>
      </c>
      <c r="F46" s="53">
        <f>IFERROR(COUNTIFS(Respostas_Formatadas!$FJ:$FJ,ContEstudos!$E46,Respostas_Formatadas!$D:$D,ContEstudos!$F$43)/VLOOKUP($E46,CaractAmostra!$E$44:$I$48,2,FALSE),"-")</f>
        <v>0.34246575342465752</v>
      </c>
      <c r="G46" s="53">
        <f>IFERROR(COUNTIFS(Respostas_Formatadas!$FJ:$FJ,ContEstudos!$E46,Respostas_Formatadas!$D:$D,ContEstudos!$G$43)/VLOOKUP($E46,CaractAmostra!$E$44:$I$48,2,FALSE),"-")</f>
        <v>0.65753424657534243</v>
      </c>
      <c r="H46" s="48"/>
      <c r="I46" s="48"/>
      <c r="J46" s="48"/>
      <c r="K46" s="48"/>
      <c r="L46" s="48"/>
      <c r="M46" s="48"/>
      <c r="N46" s="48"/>
      <c r="O46" s="48"/>
      <c r="P46" s="48"/>
      <c r="Q46" s="48"/>
      <c r="R46" s="48"/>
      <c r="S46" s="48"/>
      <c r="T46" s="48"/>
      <c r="U46" s="48"/>
      <c r="V46" s="48"/>
      <c r="W46" s="48"/>
      <c r="X46" s="48"/>
      <c r="Y46" s="48"/>
      <c r="Z46" s="48"/>
      <c r="AA46" s="48"/>
      <c r="AB46" s="48"/>
      <c r="AC46" s="48"/>
      <c r="AD46" s="48"/>
      <c r="AE46" s="48"/>
      <c r="AF46" s="48"/>
      <c r="AG46" s="48"/>
      <c r="AH46" s="48"/>
      <c r="AI46" s="48"/>
      <c r="AJ46" s="48"/>
      <c r="AK46" s="48"/>
      <c r="AL46" s="48"/>
      <c r="AM46" s="48"/>
      <c r="AN46" s="48"/>
      <c r="AO46" s="48"/>
      <c r="AP46" s="234"/>
      <c r="AQ46" s="234"/>
      <c r="AR46" s="234"/>
      <c r="AS46" s="48"/>
      <c r="AT46" s="48"/>
      <c r="AU46" s="48"/>
      <c r="AV46" s="48"/>
      <c r="AW46" s="48"/>
      <c r="AX46" s="48"/>
      <c r="AY46" s="48"/>
      <c r="AZ46" s="48"/>
      <c r="BA46" s="48"/>
      <c r="BB46" s="48"/>
      <c r="BC46" s="48"/>
      <c r="BD46" s="48"/>
      <c r="BE46" s="48"/>
      <c r="BF46" s="48"/>
      <c r="BG46" s="48"/>
      <c r="BH46" s="48"/>
      <c r="BI46" s="48"/>
      <c r="BJ46" s="48"/>
      <c r="BK46" s="48"/>
      <c r="BL46" s="48"/>
      <c r="BM46" s="48"/>
    </row>
    <row r="47" spans="2:65" x14ac:dyDescent="0.2">
      <c r="B47" s="152"/>
      <c r="C47" s="152"/>
      <c r="D47" s="152"/>
      <c r="E47" s="143" t="s">
        <v>621</v>
      </c>
      <c r="F47" s="154">
        <f>F10</f>
        <v>0.38007380073800739</v>
      </c>
      <c r="G47" s="154">
        <f>G10</f>
        <v>0.61992619926199266</v>
      </c>
      <c r="H47" s="48"/>
      <c r="I47" s="48"/>
      <c r="J47" s="48"/>
      <c r="K47" s="48"/>
      <c r="L47" s="48"/>
      <c r="M47" s="48"/>
      <c r="N47" s="146" t="s">
        <v>1095</v>
      </c>
      <c r="O47" s="48"/>
      <c r="P47" s="48"/>
      <c r="Q47" s="48"/>
      <c r="R47" s="48"/>
      <c r="S47" s="48"/>
      <c r="T47" s="48"/>
      <c r="U47" s="48"/>
      <c r="V47" s="48"/>
      <c r="W47" s="48"/>
      <c r="X47" s="48"/>
      <c r="Y47" s="48"/>
      <c r="Z47" s="48"/>
      <c r="AA47" s="48"/>
      <c r="AB47" s="48"/>
      <c r="AC47" s="48"/>
      <c r="AD47" s="48"/>
      <c r="AE47" s="48"/>
      <c r="AF47" s="48"/>
      <c r="AG47" s="48"/>
      <c r="AH47" s="48"/>
      <c r="AI47" s="48"/>
      <c r="AJ47" s="48"/>
      <c r="AK47" s="48"/>
      <c r="AL47" s="48"/>
      <c r="AM47" s="48"/>
      <c r="AN47" s="48"/>
      <c r="AO47" s="149"/>
      <c r="AP47" s="234" t="str">
        <f>AU7</f>
        <v>Tecnologia em Gestão de Turismo</v>
      </c>
      <c r="AQ47" s="234"/>
      <c r="AR47" s="234"/>
      <c r="AS47" s="48"/>
      <c r="AT47" s="48"/>
      <c r="AU47" s="48"/>
      <c r="AV47" s="48"/>
      <c r="AW47" s="48"/>
      <c r="AX47" s="48"/>
      <c r="AY47" s="48"/>
      <c r="AZ47" s="48"/>
      <c r="BA47" s="48"/>
      <c r="BB47" s="48"/>
      <c r="BC47" s="48"/>
      <c r="BD47" s="48"/>
      <c r="BE47" s="48"/>
      <c r="BF47" s="48"/>
      <c r="BG47" s="48"/>
      <c r="BH47" s="48"/>
      <c r="BI47" s="48"/>
      <c r="BJ47" s="48"/>
      <c r="BK47" s="48"/>
      <c r="BL47" s="48"/>
      <c r="BM47" s="48"/>
    </row>
    <row r="48" spans="2:65" ht="25.5" x14ac:dyDescent="0.2">
      <c r="B48" s="152"/>
      <c r="C48" s="152"/>
      <c r="D48" s="152"/>
      <c r="E48" s="48"/>
      <c r="F48" s="48"/>
      <c r="G48" s="48"/>
      <c r="H48" s="48"/>
      <c r="I48" s="48"/>
      <c r="J48" s="48"/>
      <c r="K48" s="48"/>
      <c r="L48" s="48"/>
      <c r="M48" s="48"/>
      <c r="N48" s="48"/>
      <c r="O48" s="48"/>
      <c r="P48" s="48"/>
      <c r="Q48" s="48"/>
      <c r="R48" s="48"/>
      <c r="S48" s="48"/>
      <c r="T48" s="48"/>
      <c r="U48" s="48"/>
      <c r="V48" s="48"/>
      <c r="W48" s="48"/>
      <c r="X48" s="48"/>
      <c r="Y48" s="48"/>
      <c r="Z48" s="48"/>
      <c r="AA48" s="48"/>
      <c r="AB48" s="48"/>
      <c r="AC48" s="48"/>
      <c r="AD48" s="48"/>
      <c r="AE48" s="48"/>
      <c r="AF48" s="48"/>
      <c r="AG48" s="48"/>
      <c r="AH48" s="48"/>
      <c r="AI48" s="48"/>
      <c r="AJ48" s="48"/>
      <c r="AK48" s="48"/>
      <c r="AL48" s="48"/>
      <c r="AM48" s="48"/>
      <c r="AN48" s="48"/>
      <c r="AO48" s="48"/>
      <c r="AP48" s="254" t="s">
        <v>1098</v>
      </c>
      <c r="AQ48" s="237" t="s">
        <v>131</v>
      </c>
      <c r="AR48" s="237" t="s">
        <v>132</v>
      </c>
      <c r="AS48" s="48"/>
      <c r="AT48" s="48"/>
      <c r="AU48" s="48"/>
      <c r="AV48" s="48"/>
      <c r="AW48" s="48"/>
      <c r="AX48" s="48"/>
      <c r="AY48" s="48"/>
      <c r="AZ48" s="48"/>
      <c r="BA48" s="48"/>
      <c r="BB48" s="48"/>
      <c r="BC48" s="48"/>
      <c r="BD48" s="48"/>
      <c r="BE48" s="48"/>
      <c r="BF48" s="48"/>
      <c r="BG48" s="48"/>
      <c r="BH48" s="48"/>
      <c r="BI48" s="48"/>
      <c r="BJ48" s="48"/>
      <c r="BK48" s="48"/>
      <c r="BL48" s="48"/>
      <c r="BM48" s="48"/>
    </row>
    <row r="49" spans="2:65" x14ac:dyDescent="0.2">
      <c r="B49" s="152"/>
      <c r="C49" s="152"/>
      <c r="D49" s="152"/>
      <c r="E49" s="48"/>
      <c r="F49" s="48"/>
      <c r="G49" s="48"/>
      <c r="H49" s="48"/>
      <c r="I49" s="48"/>
      <c r="J49" s="48"/>
      <c r="K49" s="48"/>
      <c r="L49" s="48"/>
      <c r="M49" s="307" t="s">
        <v>1159</v>
      </c>
      <c r="N49" s="261" t="s">
        <v>291</v>
      </c>
      <c r="O49" s="48"/>
      <c r="P49" s="48"/>
      <c r="Q49" s="48"/>
      <c r="R49" s="48"/>
      <c r="S49" s="48"/>
      <c r="T49" s="48"/>
      <c r="U49" s="48"/>
      <c r="V49" s="48"/>
      <c r="W49" s="48"/>
      <c r="X49" s="48"/>
      <c r="Y49" s="48"/>
      <c r="Z49" s="48"/>
      <c r="AA49" s="48"/>
      <c r="AB49" s="48"/>
      <c r="AC49" s="48"/>
      <c r="AD49" s="48"/>
      <c r="AE49" s="48"/>
      <c r="AF49" s="48"/>
      <c r="AG49" s="48"/>
      <c r="AH49" s="48"/>
      <c r="AI49" s="48"/>
      <c r="AJ49" s="48"/>
      <c r="AK49" s="48"/>
      <c r="AL49" s="48"/>
      <c r="AM49" s="48"/>
      <c r="AN49" s="48"/>
      <c r="AO49" s="48"/>
      <c r="AP49" s="234" t="str">
        <f t="shared" ref="AP49:AP80" si="16">AP9</f>
        <v>Administração</v>
      </c>
      <c r="AQ49" s="255">
        <f>COUNTIFS(Respostas_Formatadas!$C:$C,ContEstudos!$AP$47,Respostas_Formatadas!$S:$S,ContEstudos!$AP49)</f>
        <v>2</v>
      </c>
      <c r="AR49" s="240">
        <f t="shared" ref="AR49:AR80" si="17">IFERROR(AQ49/$AQ$81,"-")</f>
        <v>0.16666666666666666</v>
      </c>
      <c r="AS49" s="48"/>
      <c r="AT49" s="48"/>
      <c r="AU49" s="48"/>
      <c r="AV49" s="48"/>
      <c r="AW49" s="48"/>
      <c r="AX49" s="48"/>
      <c r="AY49" s="48"/>
      <c r="AZ49" s="48"/>
      <c r="BA49" s="48"/>
      <c r="BB49" s="48"/>
      <c r="BC49" s="48"/>
      <c r="BD49" s="48"/>
      <c r="BE49" s="48"/>
      <c r="BF49" s="48"/>
      <c r="BG49" s="48"/>
      <c r="BH49" s="48"/>
      <c r="BI49" s="48"/>
      <c r="BJ49" s="48"/>
      <c r="BK49" s="48"/>
      <c r="BL49" s="48"/>
      <c r="BM49" s="48"/>
    </row>
    <row r="50" spans="2:65" x14ac:dyDescent="0.2">
      <c r="B50" s="152"/>
      <c r="C50" s="152"/>
      <c r="D50" s="152"/>
      <c r="E50" s="48"/>
      <c r="F50" s="48"/>
      <c r="G50" s="48"/>
      <c r="H50" s="48"/>
      <c r="I50" s="48"/>
      <c r="J50" s="48"/>
      <c r="K50" s="48"/>
      <c r="L50" s="48"/>
      <c r="M50" s="48"/>
      <c r="N50" s="194" t="s">
        <v>962</v>
      </c>
      <c r="O50" s="187" t="s">
        <v>131</v>
      </c>
      <c r="P50" s="187" t="s">
        <v>132</v>
      </c>
      <c r="Q50" s="48"/>
      <c r="R50" s="48"/>
      <c r="S50" s="48"/>
      <c r="T50" s="48"/>
      <c r="U50" s="48"/>
      <c r="V50" s="48"/>
      <c r="W50" s="48"/>
      <c r="X50" s="48"/>
      <c r="Y50" s="48"/>
      <c r="Z50" s="48"/>
      <c r="AA50" s="48"/>
      <c r="AB50" s="48"/>
      <c r="AC50" s="48"/>
      <c r="AD50" s="48"/>
      <c r="AE50" s="48"/>
      <c r="AF50" s="48"/>
      <c r="AG50" s="48"/>
      <c r="AH50" s="48"/>
      <c r="AI50" s="48"/>
      <c r="AJ50" s="48"/>
      <c r="AK50" s="48"/>
      <c r="AL50" s="48"/>
      <c r="AM50" s="48"/>
      <c r="AN50" s="48"/>
      <c r="AO50" s="48"/>
      <c r="AP50" s="234" t="str">
        <f t="shared" si="16"/>
        <v>Engenharia Civil</v>
      </c>
      <c r="AQ50" s="255">
        <f>COUNTIFS(Respostas_Formatadas!$C:$C,ContEstudos!$AP$47,Respostas_Formatadas!$S:$S,ContEstudos!$AP50)</f>
        <v>0</v>
      </c>
      <c r="AR50" s="240">
        <f t="shared" si="17"/>
        <v>0</v>
      </c>
      <c r="AS50" s="48"/>
      <c r="AT50" s="48"/>
      <c r="AU50" s="48"/>
      <c r="AV50" s="48"/>
      <c r="AW50" s="48"/>
      <c r="AX50" s="48"/>
      <c r="AY50" s="48"/>
      <c r="AZ50" s="48"/>
      <c r="BA50" s="48"/>
      <c r="BB50" s="48"/>
      <c r="BC50" s="48"/>
      <c r="BD50" s="48"/>
      <c r="BE50" s="48"/>
      <c r="BF50" s="48"/>
      <c r="BG50" s="48"/>
      <c r="BH50" s="48"/>
      <c r="BI50" s="48"/>
      <c r="BJ50" s="48"/>
      <c r="BK50" s="48"/>
      <c r="BL50" s="48"/>
      <c r="BM50" s="48"/>
    </row>
    <row r="51" spans="2:65" x14ac:dyDescent="0.2">
      <c r="B51" s="152"/>
      <c r="C51" s="152"/>
      <c r="D51" s="152"/>
      <c r="E51" s="48"/>
      <c r="F51" s="48"/>
      <c r="G51" s="48"/>
      <c r="H51" s="48"/>
      <c r="I51" s="48"/>
      <c r="J51" s="48"/>
      <c r="K51" s="48"/>
      <c r="L51" s="48"/>
      <c r="M51" s="48"/>
      <c r="N51" s="51" t="str">
        <f>N9</f>
        <v>Aumentar o salário</v>
      </c>
      <c r="O51" s="52">
        <f>IFERROR(COUNTIFS(Respostas_Formatadas!$FI:$FI,ContEstudos!$N$49,Respostas_Formatadas!$H:$H,ContEstudos!$N51)+COUNTIFS(Respostas_Formatadas!$FI:$FI,ContEstudos!$N$49,Respostas_Formatadas!$I:$I,ContEstudos!$N51)+COUNTIFS(Respostas_Formatadas!$FI:$FI,ContEstudos!$N$49,Respostas_Formatadas!$J:$J,ContEstudos!$N51)+COUNTIFS(Respostas_Formatadas!$FI:$FI,ContEstudos!$N$49,Respostas_Formatadas!$K:$K,ContEstudos!$N51)+COUNTIFS(Respostas_Formatadas!$FI:$FI,ContEstudos!$N$49,Respostas_Formatadas!$L:$L,ContEstudos!$N51),"-")</f>
        <v>4</v>
      </c>
      <c r="P51" s="53">
        <f>IFERROR(O51/$O$56,"-")</f>
        <v>0.33333333333333331</v>
      </c>
      <c r="Q51" s="48"/>
      <c r="R51" s="48"/>
      <c r="S51" s="48"/>
      <c r="T51" s="48"/>
      <c r="U51" s="48"/>
      <c r="V51" s="48"/>
      <c r="W51" s="48"/>
      <c r="X51" s="48"/>
      <c r="Y51" s="48"/>
      <c r="Z51" s="48"/>
      <c r="AA51" s="48"/>
      <c r="AB51" s="48"/>
      <c r="AC51" s="48"/>
      <c r="AD51" s="48"/>
      <c r="AE51" s="48"/>
      <c r="AF51" s="48"/>
      <c r="AG51" s="48"/>
      <c r="AH51" s="48"/>
      <c r="AI51" s="48"/>
      <c r="AJ51" s="48"/>
      <c r="AK51" s="48"/>
      <c r="AL51" s="48"/>
      <c r="AM51" s="48"/>
      <c r="AN51" s="48"/>
      <c r="AO51" s="48"/>
      <c r="AP51" s="234" t="str">
        <f t="shared" si="16"/>
        <v>Química</v>
      </c>
      <c r="AQ51" s="255">
        <f>COUNTIFS(Respostas_Formatadas!$C:$C,ContEstudos!$AP$47,Respostas_Formatadas!$S:$S,ContEstudos!$AP51)</f>
        <v>0</v>
      </c>
      <c r="AR51" s="240">
        <f t="shared" si="17"/>
        <v>0</v>
      </c>
      <c r="AS51" s="48"/>
      <c r="AT51" s="48"/>
      <c r="AU51" s="48"/>
      <c r="AV51" s="48"/>
      <c r="AW51" s="48"/>
      <c r="AX51" s="48"/>
      <c r="AY51" s="48"/>
      <c r="AZ51" s="48"/>
      <c r="BA51" s="48"/>
      <c r="BB51" s="48"/>
      <c r="BC51" s="48"/>
      <c r="BD51" s="48"/>
      <c r="BE51" s="48"/>
      <c r="BF51" s="48"/>
      <c r="BG51" s="48"/>
      <c r="BH51" s="48"/>
      <c r="BI51" s="48"/>
      <c r="BJ51" s="48"/>
      <c r="BK51" s="48"/>
      <c r="BL51" s="48"/>
      <c r="BM51" s="48"/>
    </row>
    <row r="52" spans="2:65" x14ac:dyDescent="0.2">
      <c r="B52" s="152"/>
      <c r="C52" s="152"/>
      <c r="D52" s="152"/>
      <c r="E52" s="48"/>
      <c r="F52" s="48"/>
      <c r="G52" s="48"/>
      <c r="H52" s="48"/>
      <c r="I52" s="48"/>
      <c r="J52" s="48"/>
      <c r="K52" s="48"/>
      <c r="L52" s="48"/>
      <c r="M52" s="48"/>
      <c r="N52" s="51" t="str">
        <f>N10</f>
        <v>Desenvolver habilidades e conhecimentos</v>
      </c>
      <c r="O52" s="52">
        <f>IFERROR(COUNTIFS(Respostas_Formatadas!$FI:$FI,ContEstudos!$N$49,Respostas_Formatadas!$H:$H,ContEstudos!$N52)+COUNTIFS(Respostas_Formatadas!$FI:$FI,ContEstudos!$N$49,Respostas_Formatadas!$I:$I,ContEstudos!$N52)+COUNTIFS(Respostas_Formatadas!$FI:$FI,ContEstudos!$N$49,Respostas_Formatadas!$J:$J,ContEstudos!$N52)+COUNTIFS(Respostas_Formatadas!$FI:$FI,ContEstudos!$N$49,Respostas_Formatadas!$K:$K,ContEstudos!$N52)+COUNTIFS(Respostas_Formatadas!$FI:$FI,ContEstudos!$N$49,Respostas_Formatadas!$L:$L,ContEstudos!$N52),"-")</f>
        <v>9</v>
      </c>
      <c r="P52" s="53">
        <f t="shared" ref="P52:P54" si="18">IFERROR(O52/$O$56,"-")</f>
        <v>0.75</v>
      </c>
      <c r="Q52" s="48"/>
      <c r="R52" s="48"/>
      <c r="S52" s="48"/>
      <c r="T52" s="48"/>
      <c r="U52" s="48"/>
      <c r="V52" s="48"/>
      <c r="W52" s="48"/>
      <c r="X52" s="48"/>
      <c r="Y52" s="48"/>
      <c r="Z52" s="48"/>
      <c r="AA52" s="48"/>
      <c r="AB52" s="48"/>
      <c r="AC52" s="48"/>
      <c r="AD52" s="48"/>
      <c r="AE52" s="48"/>
      <c r="AF52" s="48"/>
      <c r="AG52" s="48"/>
      <c r="AH52" s="48"/>
      <c r="AI52" s="48"/>
      <c r="AJ52" s="48"/>
      <c r="AK52" s="48"/>
      <c r="AL52" s="48"/>
      <c r="AM52" s="48"/>
      <c r="AN52" s="48"/>
      <c r="AO52" s="48"/>
      <c r="AP52" s="234" t="str">
        <f t="shared" si="16"/>
        <v>Ciências Biológicas</v>
      </c>
      <c r="AQ52" s="255">
        <f>COUNTIFS(Respostas_Formatadas!$C:$C,ContEstudos!$AP$47,Respostas_Formatadas!$S:$S,ContEstudos!$AP52)</f>
        <v>1</v>
      </c>
      <c r="AR52" s="240">
        <f t="shared" si="17"/>
        <v>8.3333333333333329E-2</v>
      </c>
      <c r="AS52" s="48"/>
      <c r="AT52" s="48"/>
      <c r="AU52" s="48"/>
      <c r="AV52" s="48"/>
      <c r="AW52" s="48"/>
      <c r="AX52" s="48"/>
      <c r="AY52" s="48"/>
      <c r="AZ52" s="48"/>
      <c r="BA52" s="48"/>
      <c r="BB52" s="48"/>
      <c r="BC52" s="48"/>
      <c r="BD52" s="48"/>
      <c r="BE52" s="48"/>
      <c r="BF52" s="48"/>
      <c r="BG52" s="48"/>
      <c r="BH52" s="48"/>
      <c r="BI52" s="48"/>
      <c r="BJ52" s="48"/>
      <c r="BK52" s="48"/>
      <c r="BL52" s="48"/>
      <c r="BM52" s="48"/>
    </row>
    <row r="53" spans="2:65" x14ac:dyDescent="0.2">
      <c r="B53" s="152"/>
      <c r="C53" s="152"/>
      <c r="D53" s="152"/>
      <c r="E53" s="48"/>
      <c r="F53" s="48"/>
      <c r="G53" s="48"/>
      <c r="H53" s="48"/>
      <c r="I53" s="48"/>
      <c r="J53" s="48"/>
      <c r="K53" s="48"/>
      <c r="L53" s="48"/>
      <c r="M53" s="48"/>
      <c r="N53" s="51" t="str">
        <f>N11</f>
        <v>Obter maior status social</v>
      </c>
      <c r="O53" s="52">
        <f>IFERROR(COUNTIFS(Respostas_Formatadas!$FI:$FI,ContEstudos!$N$49,Respostas_Formatadas!$H:$H,ContEstudos!$N53)+COUNTIFS(Respostas_Formatadas!$FI:$FI,ContEstudos!$N$49,Respostas_Formatadas!$I:$I,ContEstudos!$N53)+COUNTIFS(Respostas_Formatadas!$FI:$FI,ContEstudos!$N$49,Respostas_Formatadas!$J:$J,ContEstudos!$N53)+COUNTIFS(Respostas_Formatadas!$FI:$FI,ContEstudos!$N$49,Respostas_Formatadas!$K:$K,ContEstudos!$N53)+COUNTIFS(Respostas_Formatadas!$FI:$FI,ContEstudos!$N$49,Respostas_Formatadas!$L:$L,ContEstudos!$N53),"-")</f>
        <v>4</v>
      </c>
      <c r="P53" s="53">
        <f t="shared" si="18"/>
        <v>0.33333333333333331</v>
      </c>
      <c r="Q53" s="48"/>
      <c r="R53" s="48"/>
      <c r="S53" s="48"/>
      <c r="T53" s="48"/>
      <c r="U53" s="48"/>
      <c r="V53" s="48"/>
      <c r="W53" s="48"/>
      <c r="X53" s="48"/>
      <c r="Y53" s="48"/>
      <c r="Z53" s="48"/>
      <c r="AA53" s="48"/>
      <c r="AB53" s="48"/>
      <c r="AC53" s="48"/>
      <c r="AD53" s="48"/>
      <c r="AE53" s="48"/>
      <c r="AF53" s="48"/>
      <c r="AG53" s="48"/>
      <c r="AH53" s="48"/>
      <c r="AI53" s="48"/>
      <c r="AJ53" s="48"/>
      <c r="AK53" s="48"/>
      <c r="AL53" s="48"/>
      <c r="AM53" s="48"/>
      <c r="AN53" s="48"/>
      <c r="AO53" s="48"/>
      <c r="AP53" s="234" t="str">
        <f t="shared" si="16"/>
        <v>Engenharia Elétrica</v>
      </c>
      <c r="AQ53" s="255">
        <f>COUNTIFS(Respostas_Formatadas!$C:$C,ContEstudos!$AP$47,Respostas_Formatadas!$S:$S,ContEstudos!$AP53)</f>
        <v>0</v>
      </c>
      <c r="AR53" s="240">
        <f t="shared" si="17"/>
        <v>0</v>
      </c>
      <c r="AS53" s="48"/>
      <c r="AT53" s="48"/>
      <c r="AU53" s="48"/>
      <c r="AV53" s="48"/>
      <c r="AW53" s="48"/>
      <c r="AX53" s="48"/>
      <c r="AY53" s="48"/>
      <c r="AZ53" s="48"/>
      <c r="BA53" s="48"/>
      <c r="BB53" s="48"/>
      <c r="BC53" s="48"/>
      <c r="BD53" s="48"/>
      <c r="BE53" s="48"/>
      <c r="BF53" s="48"/>
      <c r="BG53" s="48"/>
      <c r="BH53" s="48"/>
      <c r="BI53" s="48"/>
      <c r="BJ53" s="48"/>
      <c r="BK53" s="48"/>
      <c r="BL53" s="48"/>
      <c r="BM53" s="48"/>
    </row>
    <row r="54" spans="2:65" x14ac:dyDescent="0.2">
      <c r="B54" s="152"/>
      <c r="C54" s="152"/>
      <c r="D54" s="152"/>
      <c r="E54" s="48"/>
      <c r="F54" s="48"/>
      <c r="G54" s="48"/>
      <c r="H54" s="48"/>
      <c r="I54" s="48"/>
      <c r="J54" s="48"/>
      <c r="K54" s="48"/>
      <c r="L54" s="48"/>
      <c r="M54" s="48"/>
      <c r="N54" s="51" t="str">
        <f>N12</f>
        <v>Ampliar as oportunidades de emprego</v>
      </c>
      <c r="O54" s="52">
        <f>IFERROR(COUNTIFS(Respostas_Formatadas!$FI:$FI,ContEstudos!$N$49,Respostas_Formatadas!$H:$H,ContEstudos!$N54)+COUNTIFS(Respostas_Formatadas!$FI:$FI,ContEstudos!$N$49,Respostas_Formatadas!$I:$I,ContEstudos!$N54)+COUNTIFS(Respostas_Formatadas!$FI:$FI,ContEstudos!$N$49,Respostas_Formatadas!$J:$J,ContEstudos!$N54)+COUNTIFS(Respostas_Formatadas!$FI:$FI,ContEstudos!$N$49,Respostas_Formatadas!$K:$K,ContEstudos!$N54)+COUNTIFS(Respostas_Formatadas!$FI:$FI,ContEstudos!$N$49,Respostas_Formatadas!$L:$L,ContEstudos!$N54),"-")</f>
        <v>10</v>
      </c>
      <c r="P54" s="53">
        <f t="shared" si="18"/>
        <v>0.83333333333333337</v>
      </c>
      <c r="Q54" s="48"/>
      <c r="R54" s="48"/>
      <c r="S54" s="48"/>
      <c r="T54" s="48"/>
      <c r="U54" s="48"/>
      <c r="V54" s="48"/>
      <c r="W54" s="48"/>
      <c r="X54" s="48"/>
      <c r="Y54" s="48"/>
      <c r="Z54" s="48"/>
      <c r="AA54" s="48"/>
      <c r="AB54" s="48"/>
      <c r="AC54" s="48"/>
      <c r="AD54" s="48"/>
      <c r="AE54" s="48"/>
      <c r="AF54" s="48"/>
      <c r="AG54" s="48"/>
      <c r="AH54" s="48"/>
      <c r="AI54" s="48"/>
      <c r="AJ54" s="48"/>
      <c r="AK54" s="48"/>
      <c r="AL54" s="48"/>
      <c r="AM54" s="48"/>
      <c r="AN54" s="48"/>
      <c r="AO54" s="48"/>
      <c r="AP54" s="234" t="str">
        <f t="shared" si="16"/>
        <v>Física</v>
      </c>
      <c r="AQ54" s="255">
        <f>COUNTIFS(Respostas_Formatadas!$C:$C,ContEstudos!$AP$47,Respostas_Formatadas!$S:$S,ContEstudos!$AP54)</f>
        <v>0</v>
      </c>
      <c r="AR54" s="240">
        <f t="shared" si="17"/>
        <v>0</v>
      </c>
      <c r="AS54" s="48"/>
      <c r="AT54" s="48"/>
      <c r="AU54" s="48"/>
      <c r="AV54" s="48"/>
      <c r="AW54" s="48"/>
      <c r="AX54" s="48"/>
      <c r="AY54" s="48"/>
      <c r="AZ54" s="48"/>
      <c r="BA54" s="48"/>
      <c r="BB54" s="48"/>
      <c r="BC54" s="48"/>
      <c r="BD54" s="48"/>
      <c r="BE54" s="48"/>
      <c r="BF54" s="48"/>
      <c r="BG54" s="48"/>
      <c r="BH54" s="48"/>
      <c r="BI54" s="48"/>
      <c r="BJ54" s="48"/>
      <c r="BK54" s="48"/>
      <c r="BL54" s="48"/>
      <c r="BM54" s="48"/>
    </row>
    <row r="55" spans="2:65" x14ac:dyDescent="0.2">
      <c r="B55" s="152"/>
      <c r="C55" s="152"/>
      <c r="D55" s="152"/>
      <c r="E55" s="48"/>
      <c r="F55" s="48"/>
      <c r="G55" s="48"/>
      <c r="H55" s="48"/>
      <c r="I55" s="48"/>
      <c r="J55" s="48"/>
      <c r="K55" s="48"/>
      <c r="L55" s="48"/>
      <c r="M55" s="48"/>
      <c r="N55" s="56" t="str">
        <f>N13</f>
        <v>Outros</v>
      </c>
      <c r="O55" s="57" t="s">
        <v>933</v>
      </c>
      <c r="P55" s="58" t="s">
        <v>933</v>
      </c>
      <c r="Q55" s="48"/>
      <c r="R55" s="48"/>
      <c r="S55" s="48"/>
      <c r="T55" s="48"/>
      <c r="U55" s="48"/>
      <c r="V55" s="48"/>
      <c r="W55" s="48"/>
      <c r="X55" s="48"/>
      <c r="Y55" s="48"/>
      <c r="Z55" s="48"/>
      <c r="AA55" s="48"/>
      <c r="AB55" s="48"/>
      <c r="AC55" s="48"/>
      <c r="AD55" s="48"/>
      <c r="AE55" s="48"/>
      <c r="AF55" s="48"/>
      <c r="AG55" s="48"/>
      <c r="AH55" s="48"/>
      <c r="AI55" s="48"/>
      <c r="AJ55" s="48"/>
      <c r="AK55" s="48"/>
      <c r="AL55" s="48"/>
      <c r="AM55" s="48"/>
      <c r="AN55" s="48"/>
      <c r="AO55" s="48"/>
      <c r="AP55" s="234" t="str">
        <f t="shared" si="16"/>
        <v>Pedagogia</v>
      </c>
      <c r="AQ55" s="255">
        <f>COUNTIFS(Respostas_Formatadas!$C:$C,ContEstudos!$AP$47,Respostas_Formatadas!$S:$S,ContEstudos!$AP55)</f>
        <v>0</v>
      </c>
      <c r="AR55" s="240">
        <f t="shared" si="17"/>
        <v>0</v>
      </c>
      <c r="AS55" s="48"/>
      <c r="AT55" s="48"/>
      <c r="AU55" s="48"/>
      <c r="AV55" s="48"/>
      <c r="AW55" s="48"/>
      <c r="AX55" s="48"/>
      <c r="AY55" s="48"/>
      <c r="AZ55" s="48"/>
      <c r="BA55" s="48"/>
      <c r="BB55" s="48"/>
      <c r="BC55" s="48"/>
      <c r="BD55" s="48"/>
      <c r="BE55" s="48"/>
      <c r="BF55" s="48"/>
      <c r="BG55" s="48"/>
      <c r="BH55" s="48"/>
      <c r="BI55" s="48"/>
      <c r="BJ55" s="48"/>
      <c r="BK55" s="48"/>
      <c r="BL55" s="48"/>
      <c r="BM55" s="48"/>
    </row>
    <row r="56" spans="2:65" x14ac:dyDescent="0.2">
      <c r="B56" s="152"/>
      <c r="C56" s="152"/>
      <c r="D56" s="152"/>
      <c r="E56" s="1"/>
      <c r="F56" s="1"/>
      <c r="G56" s="1"/>
      <c r="H56" s="48"/>
      <c r="I56" s="48"/>
      <c r="J56" s="48"/>
      <c r="K56" s="48"/>
      <c r="L56" s="48"/>
      <c r="M56" s="48"/>
      <c r="N56" s="148" t="s">
        <v>621</v>
      </c>
      <c r="O56" s="262">
        <f>COUNTIFS(Respostas_Formatadas!$FI:$FI,$N$49,Respostas_Formatadas!$H:$H,N50)+COUNTIFS(Respostas_Formatadas!$FI:$FI,$N$49,Respostas_Formatadas!$H:$H,N51)+COUNTIFS(Respostas_Formatadas!$FI:$FI,$N$49,Respostas_Formatadas!$H:$H,N52)+COUNTIFS(Respostas_Formatadas!$FI:$FI,$N$49,Respostas_Formatadas!$H:$H,N53)+COUNTIFS(Respostas_Formatadas!$FI:$FI,$N$49,Respostas_Formatadas!$H:$H,N54)+COUNTIFS(Respostas_Formatadas!$FI:$FI,$N$49,Respostas_Formatadas!$H:$H,N55)</f>
        <v>12</v>
      </c>
      <c r="P56" s="263" t="s">
        <v>933</v>
      </c>
      <c r="Q56" s="48"/>
      <c r="R56" s="48"/>
      <c r="S56" s="48"/>
      <c r="T56" s="48"/>
      <c r="U56" s="48"/>
      <c r="V56" s="48"/>
      <c r="W56" s="48"/>
      <c r="X56" s="48"/>
      <c r="Y56" s="48"/>
      <c r="Z56" s="48"/>
      <c r="AA56" s="48"/>
      <c r="AB56" s="48"/>
      <c r="AC56" s="48"/>
      <c r="AD56" s="48"/>
      <c r="AE56" s="48"/>
      <c r="AF56" s="48"/>
      <c r="AG56" s="48"/>
      <c r="AH56" s="48"/>
      <c r="AI56" s="48"/>
      <c r="AJ56" s="48"/>
      <c r="AK56" s="48"/>
      <c r="AL56" s="48"/>
      <c r="AM56" s="48"/>
      <c r="AN56" s="48"/>
      <c r="AO56" s="48"/>
      <c r="AP56" s="234" t="str">
        <f t="shared" si="16"/>
        <v>Sistemas de Informação</v>
      </c>
      <c r="AQ56" s="255">
        <f>COUNTIFS(Respostas_Formatadas!$C:$C,ContEstudos!$AP$47,Respostas_Formatadas!$S:$S,ContEstudos!$AP56)</f>
        <v>1</v>
      </c>
      <c r="AR56" s="240">
        <f t="shared" si="17"/>
        <v>8.3333333333333329E-2</v>
      </c>
      <c r="AS56" s="48"/>
      <c r="AT56" s="48"/>
      <c r="AU56" s="48"/>
      <c r="AV56" s="48"/>
      <c r="AW56" s="48"/>
      <c r="AX56" s="48"/>
      <c r="AY56" s="48"/>
      <c r="AZ56" s="48"/>
      <c r="BA56" s="48"/>
      <c r="BB56" s="48"/>
      <c r="BC56" s="48"/>
      <c r="BD56" s="48"/>
      <c r="BE56" s="48"/>
      <c r="BF56" s="48"/>
      <c r="BG56" s="48"/>
      <c r="BH56" s="48"/>
      <c r="BI56" s="48"/>
      <c r="BJ56" s="48"/>
      <c r="BK56" s="48"/>
      <c r="BL56" s="48"/>
      <c r="BM56" s="48"/>
    </row>
    <row r="57" spans="2:65" x14ac:dyDescent="0.2">
      <c r="B57" s="152"/>
      <c r="C57" s="152"/>
      <c r="D57" s="152"/>
      <c r="E57" s="1"/>
      <c r="F57" s="1"/>
      <c r="G57" s="1"/>
      <c r="H57" s="48"/>
      <c r="I57" s="48"/>
      <c r="J57" s="48"/>
      <c r="K57" s="48"/>
      <c r="L57" s="48"/>
      <c r="M57" s="48"/>
      <c r="N57" s="48"/>
      <c r="O57" s="48"/>
      <c r="P57" s="48"/>
      <c r="Q57" s="48"/>
      <c r="R57" s="48"/>
      <c r="S57" s="48"/>
      <c r="T57" s="48"/>
      <c r="U57" s="48"/>
      <c r="V57" s="48"/>
      <c r="W57" s="48"/>
      <c r="X57" s="48"/>
      <c r="Y57" s="48"/>
      <c r="Z57" s="48"/>
      <c r="AA57" s="48"/>
      <c r="AB57" s="48"/>
      <c r="AC57" s="48"/>
      <c r="AD57" s="48"/>
      <c r="AE57" s="48"/>
      <c r="AF57" s="48"/>
      <c r="AG57" s="48"/>
      <c r="AH57" s="48"/>
      <c r="AI57" s="48"/>
      <c r="AJ57" s="48"/>
      <c r="AK57" s="48"/>
      <c r="AL57" s="48"/>
      <c r="AM57" s="48"/>
      <c r="AN57" s="48"/>
      <c r="AO57" s="48"/>
      <c r="AP57" s="234" t="str">
        <f t="shared" si="16"/>
        <v>Ciências Contábeis</v>
      </c>
      <c r="AQ57" s="255">
        <f>COUNTIFS(Respostas_Formatadas!$C:$C,ContEstudos!$AP$47,Respostas_Formatadas!$S:$S,ContEstudos!$AP57)</f>
        <v>1</v>
      </c>
      <c r="AR57" s="240">
        <f t="shared" si="17"/>
        <v>8.3333333333333329E-2</v>
      </c>
      <c r="AS57" s="48"/>
      <c r="AT57" s="48"/>
      <c r="AU57" s="48"/>
      <c r="AV57" s="48"/>
      <c r="AW57" s="48"/>
      <c r="AX57" s="48"/>
      <c r="AY57" s="48"/>
      <c r="AZ57" s="48"/>
      <c r="BA57" s="48"/>
      <c r="BB57" s="48"/>
      <c r="BC57" s="48"/>
      <c r="BD57" s="48"/>
      <c r="BE57" s="48"/>
      <c r="BF57" s="48"/>
      <c r="BG57" s="48"/>
      <c r="BH57" s="48"/>
      <c r="BI57" s="48"/>
      <c r="BJ57" s="48"/>
      <c r="BK57" s="48"/>
      <c r="BL57" s="48"/>
      <c r="BM57" s="48"/>
    </row>
    <row r="58" spans="2:65" x14ac:dyDescent="0.2">
      <c r="B58" s="152"/>
      <c r="C58" s="152"/>
      <c r="D58" s="152"/>
      <c r="E58" s="1"/>
      <c r="F58" s="1"/>
      <c r="G58" s="1"/>
      <c r="H58" s="48"/>
      <c r="I58" s="48"/>
      <c r="J58" s="48"/>
      <c r="K58" s="48"/>
      <c r="L58" s="48"/>
      <c r="M58" s="48"/>
      <c r="N58" s="48"/>
      <c r="O58" s="48"/>
      <c r="P58" s="48"/>
      <c r="Q58" s="48"/>
      <c r="R58" s="48"/>
      <c r="S58" s="48"/>
      <c r="T58" s="48"/>
      <c r="U58" s="48"/>
      <c r="V58" s="48"/>
      <c r="W58" s="48"/>
      <c r="X58" s="48"/>
      <c r="Y58" s="48"/>
      <c r="Z58" s="48"/>
      <c r="AA58" s="48"/>
      <c r="AB58" s="48"/>
      <c r="AC58" s="48"/>
      <c r="AD58" s="48"/>
      <c r="AE58" s="48"/>
      <c r="AF58" s="48"/>
      <c r="AG58" s="48"/>
      <c r="AH58" s="48"/>
      <c r="AI58" s="48"/>
      <c r="AJ58" s="48"/>
      <c r="AK58" s="48"/>
      <c r="AL58" s="48"/>
      <c r="AM58" s="48"/>
      <c r="AN58" s="48"/>
      <c r="AO58" s="48"/>
      <c r="AP58" s="234" t="str">
        <f t="shared" si="16"/>
        <v>Engenharia Ambiental</v>
      </c>
      <c r="AQ58" s="255">
        <f>COUNTIFS(Respostas_Formatadas!$C:$C,ContEstudos!$AP$47,Respostas_Formatadas!$S:$S,ContEstudos!$AP58)</f>
        <v>0</v>
      </c>
      <c r="AR58" s="240">
        <f t="shared" si="17"/>
        <v>0</v>
      </c>
      <c r="AS58" s="48"/>
      <c r="AT58" s="48"/>
      <c r="AU58" s="48"/>
      <c r="AV58" s="48"/>
      <c r="AW58" s="48"/>
      <c r="AX58" s="48"/>
      <c r="AY58" s="48"/>
      <c r="AZ58" s="48"/>
      <c r="BA58" s="48"/>
      <c r="BB58" s="48"/>
      <c r="BC58" s="48"/>
      <c r="BD58" s="48"/>
      <c r="BE58" s="48"/>
      <c r="BF58" s="48"/>
      <c r="BG58" s="48"/>
      <c r="BH58" s="48"/>
      <c r="BI58" s="48"/>
      <c r="BJ58" s="48"/>
      <c r="BK58" s="48"/>
      <c r="BL58" s="48"/>
      <c r="BM58" s="48"/>
    </row>
    <row r="59" spans="2:65" x14ac:dyDescent="0.2">
      <c r="B59" s="152"/>
      <c r="C59" s="152"/>
      <c r="D59" s="152"/>
      <c r="E59" s="1"/>
      <c r="F59" s="1"/>
      <c r="G59" s="1"/>
      <c r="H59" s="48"/>
      <c r="I59" s="48"/>
      <c r="J59" s="48"/>
      <c r="K59" s="48"/>
      <c r="L59" s="48"/>
      <c r="M59" s="48"/>
      <c r="N59" s="48"/>
      <c r="O59" s="48"/>
      <c r="P59" s="48"/>
      <c r="Q59" s="48"/>
      <c r="R59" s="48"/>
      <c r="S59" s="48"/>
      <c r="T59" s="48"/>
      <c r="U59" s="48"/>
      <c r="V59" s="48"/>
      <c r="W59" s="48"/>
      <c r="X59" s="48"/>
      <c r="Y59" s="48"/>
      <c r="Z59" s="48"/>
      <c r="AA59" s="48"/>
      <c r="AB59" s="48"/>
      <c r="AC59" s="48"/>
      <c r="AD59" s="48"/>
      <c r="AE59" s="48"/>
      <c r="AF59" s="48"/>
      <c r="AG59" s="48"/>
      <c r="AH59" s="48"/>
      <c r="AI59" s="48"/>
      <c r="AJ59" s="48"/>
      <c r="AK59" s="48"/>
      <c r="AL59" s="48"/>
      <c r="AM59" s="48"/>
      <c r="AN59" s="48"/>
      <c r="AO59" s="48"/>
      <c r="AP59" s="234" t="str">
        <f t="shared" si="16"/>
        <v>Engenharia de Produção</v>
      </c>
      <c r="AQ59" s="255">
        <f>COUNTIFS(Respostas_Formatadas!$C:$C,ContEstudos!$AP$47,Respostas_Formatadas!$S:$S,ContEstudos!$AP59)</f>
        <v>0</v>
      </c>
      <c r="AR59" s="240">
        <f t="shared" si="17"/>
        <v>0</v>
      </c>
      <c r="AS59" s="48"/>
      <c r="AT59" s="48"/>
      <c r="AU59" s="48"/>
      <c r="AV59" s="48"/>
      <c r="AW59" s="48"/>
      <c r="AX59" s="48"/>
      <c r="AY59" s="48"/>
      <c r="AZ59" s="48"/>
      <c r="BA59" s="48"/>
      <c r="BB59" s="48"/>
      <c r="BC59" s="48"/>
      <c r="BD59" s="48"/>
      <c r="BE59" s="48"/>
      <c r="BF59" s="48"/>
      <c r="BG59" s="48"/>
      <c r="BH59" s="48"/>
      <c r="BI59" s="48"/>
      <c r="BJ59" s="48"/>
      <c r="BK59" s="48"/>
      <c r="BL59" s="48"/>
      <c r="BM59" s="48"/>
    </row>
    <row r="60" spans="2:65" x14ac:dyDescent="0.2">
      <c r="B60" s="152"/>
      <c r="C60" s="152"/>
      <c r="D60" s="152"/>
      <c r="E60" s="1"/>
      <c r="F60" s="1"/>
      <c r="G60" s="1"/>
      <c r="H60" s="48"/>
      <c r="I60" s="48"/>
      <c r="J60" s="48"/>
      <c r="K60" s="48"/>
      <c r="L60" s="48"/>
      <c r="M60" s="273"/>
      <c r="N60" s="48"/>
      <c r="O60" s="48"/>
      <c r="P60" s="48"/>
      <c r="Q60" s="48"/>
      <c r="R60" s="48"/>
      <c r="S60" s="48"/>
      <c r="T60" s="48"/>
      <c r="U60" s="48"/>
      <c r="V60" s="48"/>
      <c r="W60" s="48"/>
      <c r="X60" s="48"/>
      <c r="Y60" s="48"/>
      <c r="Z60" s="48"/>
      <c r="AA60" s="48"/>
      <c r="AB60" s="48"/>
      <c r="AC60" s="48"/>
      <c r="AD60" s="48"/>
      <c r="AE60" s="48"/>
      <c r="AF60" s="48"/>
      <c r="AG60" s="48"/>
      <c r="AH60" s="48"/>
      <c r="AI60" s="48"/>
      <c r="AJ60" s="48"/>
      <c r="AK60" s="48"/>
      <c r="AL60" s="48"/>
      <c r="AM60" s="48"/>
      <c r="AN60" s="48"/>
      <c r="AO60" s="48"/>
      <c r="AP60" s="234" t="str">
        <f t="shared" si="16"/>
        <v>Matemática</v>
      </c>
      <c r="AQ60" s="255">
        <f>COUNTIFS(Respostas_Formatadas!$C:$C,ContEstudos!$AP$47,Respostas_Formatadas!$S:$S,ContEstudos!$AP60)</f>
        <v>0</v>
      </c>
      <c r="AR60" s="240">
        <f t="shared" si="17"/>
        <v>0</v>
      </c>
      <c r="AS60" s="48"/>
      <c r="AT60" s="48"/>
      <c r="AU60" s="48"/>
      <c r="AV60" s="48"/>
      <c r="AW60" s="48"/>
      <c r="AX60" s="48"/>
      <c r="AY60" s="48"/>
      <c r="AZ60" s="48"/>
      <c r="BA60" s="48"/>
      <c r="BB60" s="48"/>
      <c r="BC60" s="48"/>
      <c r="BD60" s="48"/>
      <c r="BE60" s="48"/>
      <c r="BF60" s="48"/>
      <c r="BG60" s="48"/>
      <c r="BH60" s="48"/>
      <c r="BI60" s="48"/>
      <c r="BJ60" s="48"/>
      <c r="BK60" s="48"/>
      <c r="BL60" s="48"/>
      <c r="BM60" s="48"/>
    </row>
    <row r="61" spans="2:65" x14ac:dyDescent="0.2">
      <c r="B61" s="152"/>
      <c r="C61" s="152"/>
      <c r="D61" s="152"/>
      <c r="E61" s="1"/>
      <c r="F61" s="1"/>
      <c r="G61" s="1"/>
      <c r="H61" s="48"/>
      <c r="I61" s="48"/>
      <c r="J61" s="48"/>
      <c r="K61" s="48"/>
      <c r="L61" s="48"/>
      <c r="M61" s="48"/>
      <c r="N61" s="48"/>
      <c r="O61" s="48"/>
      <c r="P61" s="48"/>
      <c r="Q61" s="48"/>
      <c r="R61" s="48"/>
      <c r="S61" s="48"/>
      <c r="T61" s="48"/>
      <c r="U61" s="48"/>
      <c r="V61" s="48"/>
      <c r="W61" s="48"/>
      <c r="X61" s="48"/>
      <c r="Y61" s="48"/>
      <c r="Z61" s="48"/>
      <c r="AA61" s="48"/>
      <c r="AB61" s="48"/>
      <c r="AC61" s="48"/>
      <c r="AD61" s="48"/>
      <c r="AE61" s="48"/>
      <c r="AF61" s="48"/>
      <c r="AG61" s="48"/>
      <c r="AH61" s="48"/>
      <c r="AI61" s="48"/>
      <c r="AJ61" s="48"/>
      <c r="AK61" s="48"/>
      <c r="AL61" s="48"/>
      <c r="AM61" s="48"/>
      <c r="AN61" s="48"/>
      <c r="AO61" s="48"/>
      <c r="AP61" s="234" t="str">
        <f t="shared" si="16"/>
        <v>Nutrição</v>
      </c>
      <c r="AQ61" s="255">
        <f>COUNTIFS(Respostas_Formatadas!$C:$C,ContEstudos!$AP$47,Respostas_Formatadas!$S:$S,ContEstudos!$AP61)</f>
        <v>0</v>
      </c>
      <c r="AR61" s="240">
        <f t="shared" si="17"/>
        <v>0</v>
      </c>
      <c r="AS61" s="48"/>
      <c r="AT61" s="48"/>
      <c r="AU61" s="48"/>
      <c r="AV61" s="48"/>
      <c r="AW61" s="48"/>
      <c r="AX61" s="48"/>
      <c r="AY61" s="48"/>
      <c r="AZ61" s="48"/>
      <c r="BA61" s="48"/>
      <c r="BB61" s="48"/>
      <c r="BC61" s="48"/>
      <c r="BD61" s="48"/>
      <c r="BE61" s="48"/>
      <c r="BF61" s="48"/>
      <c r="BG61" s="48"/>
      <c r="BH61" s="48"/>
      <c r="BI61" s="48"/>
      <c r="BJ61" s="48"/>
      <c r="BK61" s="48"/>
      <c r="BL61" s="48"/>
      <c r="BM61" s="48"/>
    </row>
    <row r="62" spans="2:65" x14ac:dyDescent="0.2">
      <c r="B62" s="152"/>
      <c r="C62" s="152"/>
      <c r="D62" s="152"/>
      <c r="E62" s="1"/>
      <c r="F62" s="1"/>
      <c r="G62" s="1"/>
      <c r="H62" s="48"/>
      <c r="I62" s="48"/>
      <c r="J62" s="48"/>
      <c r="K62" s="48"/>
      <c r="L62" s="48"/>
      <c r="M62" s="48"/>
      <c r="N62" s="48"/>
      <c r="O62" s="48"/>
      <c r="P62" s="48"/>
      <c r="Q62" s="48"/>
      <c r="R62" s="48"/>
      <c r="S62" s="48"/>
      <c r="T62" s="48"/>
      <c r="U62" s="48"/>
      <c r="V62" s="48"/>
      <c r="W62" s="48"/>
      <c r="X62" s="48"/>
      <c r="Y62" s="48"/>
      <c r="Z62" s="48"/>
      <c r="AA62" s="48"/>
      <c r="AB62" s="48"/>
      <c r="AC62" s="48"/>
      <c r="AD62" s="48"/>
      <c r="AE62" s="48"/>
      <c r="AF62" s="48"/>
      <c r="AG62" s="48"/>
      <c r="AH62" s="48"/>
      <c r="AI62" s="48"/>
      <c r="AJ62" s="48"/>
      <c r="AK62" s="48"/>
      <c r="AL62" s="48"/>
      <c r="AM62" s="48"/>
      <c r="AN62" s="48"/>
      <c r="AO62" s="48"/>
      <c r="AP62" s="234" t="str">
        <f t="shared" si="16"/>
        <v>Análise e Desenvolvimento de Sistemas</v>
      </c>
      <c r="AQ62" s="255">
        <f>COUNTIFS(Respostas_Formatadas!$C:$C,ContEstudos!$AP$47,Respostas_Formatadas!$S:$S,ContEstudos!$AP62)</f>
        <v>0</v>
      </c>
      <c r="AR62" s="240">
        <f t="shared" si="17"/>
        <v>0</v>
      </c>
      <c r="AS62" s="48"/>
      <c r="AT62" s="48"/>
      <c r="AU62" s="48"/>
      <c r="AV62" s="48"/>
      <c r="AW62" s="48"/>
      <c r="AX62" s="48"/>
      <c r="AY62" s="48"/>
      <c r="AZ62" s="48"/>
      <c r="BA62" s="48"/>
      <c r="BB62" s="48"/>
      <c r="BC62" s="48"/>
      <c r="BD62" s="48"/>
      <c r="BE62" s="48"/>
      <c r="BF62" s="48"/>
      <c r="BG62" s="48"/>
      <c r="BH62" s="48"/>
      <c r="BI62" s="48"/>
      <c r="BJ62" s="48"/>
      <c r="BK62" s="48"/>
      <c r="BL62" s="48"/>
      <c r="BM62" s="48"/>
    </row>
    <row r="63" spans="2:65" x14ac:dyDescent="0.2">
      <c r="B63" s="152"/>
      <c r="C63" s="152"/>
      <c r="D63" s="152"/>
      <c r="E63" s="48"/>
      <c r="F63" s="48"/>
      <c r="G63" s="48"/>
      <c r="H63" s="48"/>
      <c r="I63" s="48"/>
      <c r="J63" s="48"/>
      <c r="K63" s="48"/>
      <c r="L63" s="48"/>
      <c r="M63" s="48"/>
      <c r="N63" s="48"/>
      <c r="O63" s="48"/>
      <c r="P63" s="48"/>
      <c r="Q63" s="48"/>
      <c r="R63" s="48"/>
      <c r="S63" s="48"/>
      <c r="T63" s="48"/>
      <c r="U63" s="48"/>
      <c r="V63" s="48"/>
      <c r="W63" s="48"/>
      <c r="X63" s="48"/>
      <c r="Y63" s="48"/>
      <c r="Z63" s="48"/>
      <c r="AA63" s="48"/>
      <c r="AB63" s="48"/>
      <c r="AC63" s="48"/>
      <c r="AD63" s="48"/>
      <c r="AE63" s="48"/>
      <c r="AF63" s="48"/>
      <c r="AG63" s="48"/>
      <c r="AH63" s="48"/>
      <c r="AI63" s="48"/>
      <c r="AJ63" s="48"/>
      <c r="AK63" s="48"/>
      <c r="AL63" s="48"/>
      <c r="AM63" s="48"/>
      <c r="AN63" s="48"/>
      <c r="AO63" s="48"/>
      <c r="AP63" s="234" t="str">
        <f t="shared" si="16"/>
        <v>Arqueologia</v>
      </c>
      <c r="AQ63" s="255">
        <f>COUNTIFS(Respostas_Formatadas!$C:$C,ContEstudos!$AP$47,Respostas_Formatadas!$S:$S,ContEstudos!$AP63)</f>
        <v>0</v>
      </c>
      <c r="AR63" s="240">
        <f t="shared" si="17"/>
        <v>0</v>
      </c>
      <c r="AS63" s="48"/>
      <c r="AT63" s="48"/>
      <c r="AU63" s="48"/>
      <c r="AV63" s="48"/>
      <c r="AW63" s="48"/>
      <c r="AX63" s="48"/>
      <c r="AY63" s="48"/>
      <c r="AZ63" s="48"/>
      <c r="BA63" s="48"/>
      <c r="BB63" s="48"/>
      <c r="BC63" s="48"/>
      <c r="BD63" s="48"/>
      <c r="BE63" s="48"/>
      <c r="BF63" s="48"/>
      <c r="BG63" s="48"/>
      <c r="BH63" s="48"/>
      <c r="BI63" s="48"/>
      <c r="BJ63" s="48"/>
      <c r="BK63" s="48"/>
      <c r="BL63" s="48"/>
      <c r="BM63" s="48"/>
    </row>
    <row r="64" spans="2:65" x14ac:dyDescent="0.2">
      <c r="B64" s="152"/>
      <c r="C64" s="152"/>
      <c r="D64" s="152"/>
      <c r="E64" s="48"/>
      <c r="F64" s="48"/>
      <c r="G64" s="48"/>
      <c r="H64" s="48"/>
      <c r="I64" s="48"/>
      <c r="J64" s="48"/>
      <c r="K64" s="48"/>
      <c r="L64" s="48"/>
      <c r="M64" s="48"/>
      <c r="N64" s="48"/>
      <c r="O64" s="48"/>
      <c r="P64" s="48"/>
      <c r="Q64" s="48"/>
      <c r="R64" s="48"/>
      <c r="S64" s="48"/>
      <c r="T64" s="48"/>
      <c r="U64" s="48"/>
      <c r="V64" s="48"/>
      <c r="W64" s="48"/>
      <c r="X64" s="48"/>
      <c r="Y64" s="48"/>
      <c r="Z64" s="48"/>
      <c r="AA64" s="48"/>
      <c r="AB64" s="48"/>
      <c r="AC64" s="48"/>
      <c r="AD64" s="48"/>
      <c r="AE64" s="48"/>
      <c r="AF64" s="48"/>
      <c r="AG64" s="48"/>
      <c r="AH64" s="48"/>
      <c r="AI64" s="48"/>
      <c r="AJ64" s="48"/>
      <c r="AK64" s="48"/>
      <c r="AL64" s="48"/>
      <c r="AM64" s="48"/>
      <c r="AN64" s="48"/>
      <c r="AO64" s="48"/>
      <c r="AP64" s="234" t="str">
        <f t="shared" si="16"/>
        <v>Ciência da Computação</v>
      </c>
      <c r="AQ64" s="255">
        <f>COUNTIFS(Respostas_Formatadas!$C:$C,ContEstudos!$AP$47,Respostas_Formatadas!$S:$S,ContEstudos!$AP64)</f>
        <v>1</v>
      </c>
      <c r="AR64" s="240">
        <f t="shared" si="17"/>
        <v>8.3333333333333329E-2</v>
      </c>
      <c r="AS64" s="48"/>
      <c r="AT64" s="48"/>
      <c r="AU64" s="48"/>
      <c r="AV64" s="48"/>
      <c r="AW64" s="48"/>
      <c r="AX64" s="48"/>
      <c r="AY64" s="48"/>
      <c r="AZ64" s="48"/>
      <c r="BA64" s="48"/>
      <c r="BB64" s="48"/>
      <c r="BC64" s="48"/>
      <c r="BD64" s="48"/>
      <c r="BE64" s="48"/>
      <c r="BF64" s="48"/>
      <c r="BG64" s="48"/>
      <c r="BH64" s="48"/>
      <c r="BI64" s="48"/>
      <c r="BJ64" s="48"/>
      <c r="BK64" s="48"/>
      <c r="BL64" s="48"/>
      <c r="BM64" s="48"/>
    </row>
    <row r="65" spans="2:65" x14ac:dyDescent="0.2">
      <c r="B65" s="152"/>
      <c r="C65" s="152"/>
      <c r="D65" s="152"/>
      <c r="E65" s="48"/>
      <c r="F65" s="48"/>
      <c r="G65" s="48"/>
      <c r="H65" s="48"/>
      <c r="I65" s="48"/>
      <c r="J65" s="48"/>
      <c r="K65" s="48"/>
      <c r="L65" s="48"/>
      <c r="M65" s="48"/>
      <c r="N65" s="146" t="s">
        <v>1096</v>
      </c>
      <c r="O65" s="48"/>
      <c r="P65" s="48"/>
      <c r="Q65" s="48"/>
      <c r="R65" s="48"/>
      <c r="S65" s="48"/>
      <c r="T65" s="48"/>
      <c r="U65" s="48"/>
      <c r="V65" s="48"/>
      <c r="W65" s="48"/>
      <c r="X65" s="48"/>
      <c r="Y65" s="48"/>
      <c r="Z65" s="48"/>
      <c r="AA65" s="48"/>
      <c r="AB65" s="48"/>
      <c r="AC65" s="48"/>
      <c r="AD65" s="48"/>
      <c r="AE65" s="48"/>
      <c r="AF65" s="48"/>
      <c r="AG65" s="48"/>
      <c r="AH65" s="48"/>
      <c r="AI65" s="48"/>
      <c r="AJ65" s="48"/>
      <c r="AK65" s="48"/>
      <c r="AL65" s="48"/>
      <c r="AM65" s="48"/>
      <c r="AN65" s="48"/>
      <c r="AO65" s="48"/>
      <c r="AP65" s="234" t="str">
        <f t="shared" si="16"/>
        <v>Ciências Econômicas</v>
      </c>
      <c r="AQ65" s="255">
        <f>COUNTIFS(Respostas_Formatadas!$C:$C,ContEstudos!$AP$47,Respostas_Formatadas!$S:$S,ContEstudos!$AP65)</f>
        <v>0</v>
      </c>
      <c r="AR65" s="240">
        <f t="shared" si="17"/>
        <v>0</v>
      </c>
      <c r="AS65" s="48"/>
      <c r="AT65" s="48"/>
      <c r="AU65" s="48"/>
      <c r="AV65" s="48"/>
      <c r="AW65" s="48"/>
      <c r="AX65" s="48"/>
      <c r="AY65" s="48"/>
      <c r="AZ65" s="48"/>
      <c r="BA65" s="48"/>
      <c r="BB65" s="48"/>
      <c r="BC65" s="48"/>
      <c r="BD65" s="48"/>
      <c r="BE65" s="48"/>
      <c r="BF65" s="48"/>
      <c r="BG65" s="48"/>
      <c r="BH65" s="48"/>
      <c r="BI65" s="48"/>
      <c r="BJ65" s="48"/>
      <c r="BK65" s="48"/>
      <c r="BL65" s="48"/>
      <c r="BM65" s="48"/>
    </row>
    <row r="66" spans="2:65" x14ac:dyDescent="0.2">
      <c r="B66" s="152"/>
      <c r="C66" s="152"/>
      <c r="D66" s="152"/>
      <c r="E66" s="48"/>
      <c r="F66" s="48"/>
      <c r="G66" s="48"/>
      <c r="H66" s="48"/>
      <c r="I66" s="48"/>
      <c r="J66" s="48"/>
      <c r="K66" s="48"/>
      <c r="L66" s="48"/>
      <c r="M66" s="48"/>
      <c r="N66" s="48"/>
      <c r="O66" s="48"/>
      <c r="P66" s="48"/>
      <c r="Q66" s="48"/>
      <c r="R66" s="48"/>
      <c r="S66" s="48"/>
      <c r="T66" s="48"/>
      <c r="U66" s="48"/>
      <c r="V66" s="48"/>
      <c r="W66" s="48"/>
      <c r="X66" s="48"/>
      <c r="Y66" s="48"/>
      <c r="Z66" s="48"/>
      <c r="AA66" s="48"/>
      <c r="AB66" s="48"/>
      <c r="AC66" s="48"/>
      <c r="AD66" s="48"/>
      <c r="AE66" s="48"/>
      <c r="AF66" s="48"/>
      <c r="AG66" s="48"/>
      <c r="AH66" s="48"/>
      <c r="AI66" s="48"/>
      <c r="AJ66" s="48"/>
      <c r="AK66" s="48"/>
      <c r="AL66" s="48"/>
      <c r="AM66" s="48"/>
      <c r="AN66" s="48"/>
      <c r="AO66" s="48"/>
      <c r="AP66" s="234" t="str">
        <f t="shared" si="16"/>
        <v>Design de Interiores</v>
      </c>
      <c r="AQ66" s="255">
        <f>COUNTIFS(Respostas_Formatadas!$C:$C,ContEstudos!$AP$47,Respostas_Formatadas!$S:$S,ContEstudos!$AP66)</f>
        <v>0</v>
      </c>
      <c r="AR66" s="240">
        <f t="shared" si="17"/>
        <v>0</v>
      </c>
      <c r="AS66" s="48"/>
      <c r="AT66" s="48"/>
      <c r="AU66" s="48"/>
      <c r="AV66" s="48"/>
      <c r="AW66" s="48"/>
      <c r="AX66" s="48"/>
      <c r="AY66" s="48"/>
      <c r="AZ66" s="48"/>
      <c r="BA66" s="48"/>
      <c r="BB66" s="48"/>
      <c r="BC66" s="48"/>
      <c r="BD66" s="48"/>
      <c r="BE66" s="48"/>
      <c r="BF66" s="48"/>
      <c r="BG66" s="48"/>
      <c r="BH66" s="48"/>
      <c r="BI66" s="48"/>
      <c r="BJ66" s="48"/>
      <c r="BK66" s="48"/>
      <c r="BL66" s="48"/>
      <c r="BM66" s="48"/>
    </row>
    <row r="67" spans="2:65" x14ac:dyDescent="0.2">
      <c r="B67" s="152"/>
      <c r="C67" s="152"/>
      <c r="D67" s="152"/>
      <c r="E67" s="48"/>
      <c r="F67" s="48"/>
      <c r="G67" s="48"/>
      <c r="H67" s="48"/>
      <c r="I67" s="48"/>
      <c r="J67" s="48"/>
      <c r="K67" s="48"/>
      <c r="L67" s="48"/>
      <c r="M67" s="307" t="s">
        <v>1159</v>
      </c>
      <c r="N67" s="261" t="s">
        <v>1088</v>
      </c>
      <c r="O67" s="48"/>
      <c r="P67" s="48"/>
      <c r="Q67" s="48"/>
      <c r="R67" s="48"/>
      <c r="S67" s="48"/>
      <c r="T67" s="48"/>
      <c r="U67" s="48"/>
      <c r="V67" s="48"/>
      <c r="W67" s="48"/>
      <c r="X67" s="48"/>
      <c r="Y67" s="48"/>
      <c r="Z67" s="48"/>
      <c r="AA67" s="48"/>
      <c r="AB67" s="48"/>
      <c r="AC67" s="48"/>
      <c r="AD67" s="48"/>
      <c r="AE67" s="48"/>
      <c r="AF67" s="48"/>
      <c r="AG67" s="48"/>
      <c r="AH67" s="48"/>
      <c r="AI67" s="48"/>
      <c r="AJ67" s="48"/>
      <c r="AK67" s="48"/>
      <c r="AL67" s="48"/>
      <c r="AM67" s="48"/>
      <c r="AN67" s="48"/>
      <c r="AO67" s="48"/>
      <c r="AP67" s="234" t="str">
        <f t="shared" si="16"/>
        <v>Direito</v>
      </c>
      <c r="AQ67" s="255">
        <f>COUNTIFS(Respostas_Formatadas!$C:$C,ContEstudos!$AP$47,Respostas_Formatadas!$S:$S,ContEstudos!$AP67)</f>
        <v>0</v>
      </c>
      <c r="AR67" s="240">
        <f t="shared" si="17"/>
        <v>0</v>
      </c>
      <c r="AS67" s="48"/>
      <c r="AT67" s="48"/>
      <c r="AU67" s="48"/>
      <c r="AV67" s="48"/>
      <c r="AW67" s="48"/>
      <c r="AX67" s="48"/>
      <c r="AY67" s="48"/>
      <c r="AZ67" s="48"/>
      <c r="BA67" s="48"/>
      <c r="BB67" s="48"/>
      <c r="BC67" s="48"/>
      <c r="BD67" s="48"/>
      <c r="BE67" s="48"/>
      <c r="BF67" s="48"/>
      <c r="BG67" s="48"/>
      <c r="BH67" s="48"/>
      <c r="BI67" s="48"/>
      <c r="BJ67" s="48"/>
      <c r="BK67" s="48"/>
      <c r="BL67" s="48"/>
      <c r="BM67" s="48"/>
    </row>
    <row r="68" spans="2:65" x14ac:dyDescent="0.2">
      <c r="B68" s="152"/>
      <c r="C68" s="152"/>
      <c r="D68" s="152"/>
      <c r="E68" s="48"/>
      <c r="F68" s="48"/>
      <c r="G68" s="48"/>
      <c r="H68" s="48"/>
      <c r="I68" s="48"/>
      <c r="J68" s="48"/>
      <c r="K68" s="48"/>
      <c r="L68" s="48"/>
      <c r="M68" s="48"/>
      <c r="N68" s="194" t="s">
        <v>962</v>
      </c>
      <c r="O68" s="187" t="s">
        <v>131</v>
      </c>
      <c r="P68" s="187" t="s">
        <v>132</v>
      </c>
      <c r="Q68" s="48"/>
      <c r="R68" s="48"/>
      <c r="S68" s="48"/>
      <c r="T68" s="48"/>
      <c r="U68" s="48"/>
      <c r="V68" s="48"/>
      <c r="W68" s="48"/>
      <c r="X68" s="48"/>
      <c r="Y68" s="48"/>
      <c r="Z68" s="48"/>
      <c r="AA68" s="48"/>
      <c r="AB68" s="48"/>
      <c r="AC68" s="48"/>
      <c r="AD68" s="48"/>
      <c r="AE68" s="48"/>
      <c r="AF68" s="48"/>
      <c r="AG68" s="48"/>
      <c r="AH68" s="48"/>
      <c r="AI68" s="48"/>
      <c r="AJ68" s="48"/>
      <c r="AK68" s="48"/>
      <c r="AL68" s="48"/>
      <c r="AM68" s="48"/>
      <c r="AN68" s="48"/>
      <c r="AO68" s="48"/>
      <c r="AP68" s="234" t="str">
        <f t="shared" si="16"/>
        <v>Enfermagem</v>
      </c>
      <c r="AQ68" s="255">
        <f>COUNTIFS(Respostas_Formatadas!$C:$C,ContEstudos!$AP$47,Respostas_Formatadas!$S:$S,ContEstudos!$AP68)</f>
        <v>0</v>
      </c>
      <c r="AR68" s="240">
        <f t="shared" si="17"/>
        <v>0</v>
      </c>
      <c r="AS68" s="48"/>
      <c r="AT68" s="48"/>
      <c r="AU68" s="48"/>
      <c r="AV68" s="48"/>
      <c r="AW68" s="48"/>
      <c r="AX68" s="48"/>
      <c r="AY68" s="48"/>
      <c r="AZ68" s="48"/>
      <c r="BA68" s="48"/>
      <c r="BB68" s="48"/>
      <c r="BC68" s="48"/>
      <c r="BD68" s="48"/>
      <c r="BE68" s="48"/>
      <c r="BF68" s="48"/>
      <c r="BG68" s="48"/>
      <c r="BH68" s="48"/>
      <c r="BI68" s="48"/>
      <c r="BJ68" s="48"/>
      <c r="BK68" s="48"/>
      <c r="BL68" s="48"/>
      <c r="BM68" s="48"/>
    </row>
    <row r="69" spans="2:65" x14ac:dyDescent="0.2">
      <c r="B69" s="152"/>
      <c r="C69" s="152"/>
      <c r="D69" s="152"/>
      <c r="E69" s="48"/>
      <c r="F69" s="48"/>
      <c r="G69" s="48"/>
      <c r="H69" s="48"/>
      <c r="I69" s="48"/>
      <c r="J69" s="48"/>
      <c r="K69" s="48"/>
      <c r="L69" s="48"/>
      <c r="M69" s="48"/>
      <c r="N69" s="51" t="str">
        <f>N9</f>
        <v>Aumentar o salário</v>
      </c>
      <c r="O69" s="52">
        <f>IFERROR(COUNTIFS(Respostas_Formatadas!$FJ:$FJ,ContEstudos!$N$67,Respostas_Formatadas!$H:$H,ContEstudos!$N69)+COUNTIFS(Respostas_Formatadas!$FJ:$FJ,ContEstudos!$N$67,Respostas_Formatadas!$I:$I,ContEstudos!$N69)+COUNTIFS(Respostas_Formatadas!$FJ:$FJ,ContEstudos!$N$67,Respostas_Formatadas!$J:$J,ContEstudos!$N69)+COUNTIFS(Respostas_Formatadas!$FJ:$FJ,ContEstudos!$N$67,Respostas_Formatadas!$K:$K,ContEstudos!$N69)+COUNTIFS(Respostas_Formatadas!$FJ:$FJ,ContEstudos!$N$67,Respostas_Formatadas!$L:$L,ContEstudos!$N69),"-")</f>
        <v>7</v>
      </c>
      <c r="P69" s="53">
        <f>O69/SUM($O$69:$O$73)</f>
        <v>0.18421052631578946</v>
      </c>
      <c r="Q69" s="48"/>
      <c r="R69" s="48"/>
      <c r="S69" s="48"/>
      <c r="T69" s="48"/>
      <c r="U69" s="48"/>
      <c r="V69" s="48"/>
      <c r="W69" s="48"/>
      <c r="X69" s="48"/>
      <c r="Y69" s="48"/>
      <c r="Z69" s="48"/>
      <c r="AA69" s="48"/>
      <c r="AB69" s="48"/>
      <c r="AC69" s="48"/>
      <c r="AD69" s="48"/>
      <c r="AE69" s="48"/>
      <c r="AF69" s="48"/>
      <c r="AG69" s="48"/>
      <c r="AH69" s="48"/>
      <c r="AI69" s="48"/>
      <c r="AJ69" s="48"/>
      <c r="AK69" s="48"/>
      <c r="AL69" s="48"/>
      <c r="AM69" s="48"/>
      <c r="AN69" s="48"/>
      <c r="AO69" s="48"/>
      <c r="AP69" s="234" t="str">
        <f t="shared" si="16"/>
        <v>Engenharia Agrícola</v>
      </c>
      <c r="AQ69" s="255">
        <f>COUNTIFS(Respostas_Formatadas!$C:$C,ContEstudos!$AP$47,Respostas_Formatadas!$S:$S,ContEstudos!$AP69)</f>
        <v>0</v>
      </c>
      <c r="AR69" s="240">
        <f t="shared" si="17"/>
        <v>0</v>
      </c>
      <c r="AS69" s="48"/>
      <c r="AT69" s="48"/>
      <c r="AU69" s="48"/>
      <c r="AV69" s="48"/>
      <c r="AW69" s="48"/>
      <c r="AX69" s="48"/>
      <c r="AY69" s="48"/>
      <c r="AZ69" s="48"/>
      <c r="BA69" s="48"/>
      <c r="BB69" s="48"/>
      <c r="BC69" s="48"/>
      <c r="BD69" s="48"/>
      <c r="BE69" s="48"/>
      <c r="BF69" s="48"/>
      <c r="BG69" s="48"/>
      <c r="BH69" s="48"/>
      <c r="BI69" s="48"/>
      <c r="BJ69" s="48"/>
      <c r="BK69" s="48"/>
      <c r="BL69" s="48"/>
      <c r="BM69" s="48"/>
    </row>
    <row r="70" spans="2:65" x14ac:dyDescent="0.2">
      <c r="B70" s="152"/>
      <c r="C70" s="152"/>
      <c r="D70" s="152"/>
      <c r="E70" s="48"/>
      <c r="F70" s="48"/>
      <c r="G70" s="48"/>
      <c r="H70" s="48"/>
      <c r="I70" s="48"/>
      <c r="J70" s="48"/>
      <c r="K70" s="48"/>
      <c r="L70" s="48"/>
      <c r="M70" s="48"/>
      <c r="N70" s="51" t="str">
        <f>N10</f>
        <v>Desenvolver habilidades e conhecimentos</v>
      </c>
      <c r="O70" s="52">
        <f>IFERROR(COUNTIFS(Respostas_Formatadas!$FJ:$FJ,ContEstudos!$N$67,Respostas_Formatadas!$H:$H,ContEstudos!$N70)+COUNTIFS(Respostas_Formatadas!$FJ:$FJ,ContEstudos!$N$67,Respostas_Formatadas!$I:$I,ContEstudos!$N70)+COUNTIFS(Respostas_Formatadas!$FJ:$FJ,ContEstudos!$N$67,Respostas_Formatadas!$J:$J,ContEstudos!$N70)+COUNTIFS(Respostas_Formatadas!$FJ:$FJ,ContEstudos!$N$67,Respostas_Formatadas!$K:$K,ContEstudos!$N70)+COUNTIFS(Respostas_Formatadas!$FJ:$FJ,ContEstudos!$N$67,Respostas_Formatadas!$L:$L,ContEstudos!$N70),"-")</f>
        <v>14</v>
      </c>
      <c r="P70" s="53">
        <f>O70/SUM($O$69:$O$73)</f>
        <v>0.36842105263157893</v>
      </c>
      <c r="Q70" s="48"/>
      <c r="R70" s="48"/>
      <c r="S70" s="48"/>
      <c r="T70" s="48"/>
      <c r="U70" s="48"/>
      <c r="V70" s="48"/>
      <c r="W70" s="48"/>
      <c r="X70" s="48"/>
      <c r="Y70" s="48"/>
      <c r="Z70" s="48"/>
      <c r="AA70" s="48"/>
      <c r="AB70" s="48"/>
      <c r="AC70" s="48"/>
      <c r="AD70" s="48"/>
      <c r="AE70" s="48"/>
      <c r="AF70" s="48"/>
      <c r="AG70" s="48"/>
      <c r="AH70" s="48"/>
      <c r="AI70" s="48"/>
      <c r="AJ70" s="48"/>
      <c r="AK70" s="48"/>
      <c r="AL70" s="48"/>
      <c r="AM70" s="48"/>
      <c r="AN70" s="48"/>
      <c r="AO70" s="48"/>
      <c r="AP70" s="234" t="str">
        <f t="shared" si="16"/>
        <v>Engenharia da Computação</v>
      </c>
      <c r="AQ70" s="255">
        <f>COUNTIFS(Respostas_Formatadas!$C:$C,ContEstudos!$AP$47,Respostas_Formatadas!$S:$S,ContEstudos!$AP70)</f>
        <v>1</v>
      </c>
      <c r="AR70" s="240">
        <f t="shared" si="17"/>
        <v>8.3333333333333329E-2</v>
      </c>
      <c r="AS70" s="48"/>
      <c r="AT70" s="48"/>
      <c r="AU70" s="48"/>
      <c r="AV70" s="48"/>
      <c r="AW70" s="48"/>
      <c r="AX70" s="48"/>
      <c r="AY70" s="48"/>
      <c r="AZ70" s="48"/>
      <c r="BA70" s="48"/>
      <c r="BB70" s="48"/>
      <c r="BC70" s="48"/>
      <c r="BD70" s="48"/>
      <c r="BE70" s="48"/>
      <c r="BF70" s="48"/>
      <c r="BG70" s="48"/>
      <c r="BH70" s="48"/>
      <c r="BI70" s="48"/>
      <c r="BJ70" s="48"/>
      <c r="BK70" s="48"/>
      <c r="BL70" s="48"/>
      <c r="BM70" s="48"/>
    </row>
    <row r="71" spans="2:65" x14ac:dyDescent="0.2">
      <c r="B71" s="152"/>
      <c r="C71" s="152"/>
      <c r="D71" s="152"/>
      <c r="E71" s="48"/>
      <c r="F71" s="48"/>
      <c r="G71" s="48"/>
      <c r="H71" s="48"/>
      <c r="I71" s="48"/>
      <c r="J71" s="48"/>
      <c r="K71" s="48"/>
      <c r="L71" s="48"/>
      <c r="M71" s="48"/>
      <c r="N71" s="51" t="str">
        <f>N11</f>
        <v>Obter maior status social</v>
      </c>
      <c r="O71" s="52">
        <f>IFERROR(COUNTIFS(Respostas_Formatadas!$FJ:$FJ,ContEstudos!$N$67,Respostas_Formatadas!$H:$H,ContEstudos!$N71)+COUNTIFS(Respostas_Formatadas!$FJ:$FJ,ContEstudos!$N$67,Respostas_Formatadas!$I:$I,ContEstudos!$N71)+COUNTIFS(Respostas_Formatadas!$FJ:$FJ,ContEstudos!$N$67,Respostas_Formatadas!$J:$J,ContEstudos!$N71)+COUNTIFS(Respostas_Formatadas!$FJ:$FJ,ContEstudos!$N$67,Respostas_Formatadas!$K:$K,ContEstudos!$N71)+COUNTIFS(Respostas_Formatadas!$FJ:$FJ,ContEstudos!$N$67,Respostas_Formatadas!$L:$L,ContEstudos!$N71),"-")</f>
        <v>1</v>
      </c>
      <c r="P71" s="53">
        <f>O71/SUM($O$69:$O$73)</f>
        <v>2.6315789473684209E-2</v>
      </c>
      <c r="Q71" s="48"/>
      <c r="R71" s="48"/>
      <c r="S71" s="48"/>
      <c r="T71" s="48"/>
      <c r="U71" s="48"/>
      <c r="V71" s="48"/>
      <c r="W71" s="48"/>
      <c r="X71" s="48"/>
      <c r="Y71" s="48"/>
      <c r="Z71" s="48"/>
      <c r="AA71" s="48"/>
      <c r="AB71" s="48"/>
      <c r="AC71" s="48"/>
      <c r="AD71" s="48"/>
      <c r="AE71" s="48"/>
      <c r="AF71" s="48"/>
      <c r="AG71" s="48"/>
      <c r="AH71" s="48"/>
      <c r="AI71" s="48"/>
      <c r="AJ71" s="48"/>
      <c r="AK71" s="48"/>
      <c r="AL71" s="48"/>
      <c r="AM71" s="48"/>
      <c r="AN71" s="48"/>
      <c r="AO71" s="48"/>
      <c r="AP71" s="234" t="str">
        <f t="shared" si="16"/>
        <v>Engenharia de Materiais</v>
      </c>
      <c r="AQ71" s="255">
        <f>COUNTIFS(Respostas_Formatadas!$C:$C,ContEstudos!$AP$47,Respostas_Formatadas!$S:$S,ContEstudos!$AP71)</f>
        <v>0</v>
      </c>
      <c r="AR71" s="240">
        <f t="shared" si="17"/>
        <v>0</v>
      </c>
      <c r="AS71" s="48"/>
      <c r="AT71" s="48"/>
      <c r="AU71" s="48"/>
      <c r="AV71" s="48"/>
      <c r="AW71" s="48"/>
      <c r="AX71" s="48"/>
      <c r="AY71" s="48"/>
      <c r="AZ71" s="48"/>
      <c r="BA71" s="48"/>
      <c r="BB71" s="48"/>
      <c r="BC71" s="48"/>
      <c r="BD71" s="48"/>
      <c r="BE71" s="48"/>
      <c r="BF71" s="48"/>
      <c r="BG71" s="48"/>
      <c r="BH71" s="48"/>
      <c r="BI71" s="48"/>
      <c r="BJ71" s="48"/>
      <c r="BK71" s="48"/>
      <c r="BL71" s="48"/>
      <c r="BM71" s="48"/>
    </row>
    <row r="72" spans="2:65" x14ac:dyDescent="0.2">
      <c r="B72" s="152"/>
      <c r="C72" s="152"/>
      <c r="D72" s="152"/>
      <c r="E72" s="48"/>
      <c r="F72" s="48"/>
      <c r="G72" s="48"/>
      <c r="H72" s="48"/>
      <c r="I72" s="48"/>
      <c r="J72" s="48"/>
      <c r="K72" s="48"/>
      <c r="L72" s="48"/>
      <c r="M72" s="48"/>
      <c r="N72" s="51" t="str">
        <f>N12</f>
        <v>Ampliar as oportunidades de emprego</v>
      </c>
      <c r="O72" s="52">
        <f>IFERROR(COUNTIFS(Respostas_Formatadas!$FJ:$FJ,ContEstudos!$N$67,Respostas_Formatadas!$H:$H,ContEstudos!$N72)+COUNTIFS(Respostas_Formatadas!$FJ:$FJ,ContEstudos!$N$67,Respostas_Formatadas!$I:$I,ContEstudos!$N72)+COUNTIFS(Respostas_Formatadas!$FJ:$FJ,ContEstudos!$N$67,Respostas_Formatadas!$J:$J,ContEstudos!$N72)+COUNTIFS(Respostas_Formatadas!$FJ:$FJ,ContEstudos!$N$67,Respostas_Formatadas!$K:$K,ContEstudos!$N72)+COUNTIFS(Respostas_Formatadas!$FJ:$FJ,ContEstudos!$N$67,Respostas_Formatadas!$L:$L,ContEstudos!$N72),"-")</f>
        <v>16</v>
      </c>
      <c r="P72" s="53">
        <f>O72/SUM($O$69:$O$73)</f>
        <v>0.42105263157894735</v>
      </c>
      <c r="Q72" s="48"/>
      <c r="R72" s="48"/>
      <c r="S72" s="48"/>
      <c r="T72" s="48"/>
      <c r="U72" s="48"/>
      <c r="V72" s="48"/>
      <c r="W72" s="48"/>
      <c r="X72" s="48"/>
      <c r="Y72" s="48"/>
      <c r="Z72" s="48"/>
      <c r="AA72" s="48"/>
      <c r="AB72" s="48"/>
      <c r="AC72" s="48"/>
      <c r="AD72" s="48"/>
      <c r="AE72" s="48"/>
      <c r="AF72" s="48"/>
      <c r="AG72" s="48"/>
      <c r="AH72" s="48"/>
      <c r="AI72" s="48"/>
      <c r="AJ72" s="48"/>
      <c r="AK72" s="48"/>
      <c r="AL72" s="48"/>
      <c r="AM72" s="48"/>
      <c r="AN72" s="48"/>
      <c r="AO72" s="48"/>
      <c r="AP72" s="234" t="str">
        <f t="shared" si="16"/>
        <v>Estatística</v>
      </c>
      <c r="AQ72" s="255">
        <f>COUNTIFS(Respostas_Formatadas!$C:$C,ContEstudos!$AP$47,Respostas_Formatadas!$S:$S,ContEstudos!$AP72)</f>
        <v>0</v>
      </c>
      <c r="AR72" s="240">
        <f t="shared" si="17"/>
        <v>0</v>
      </c>
      <c r="AS72" s="48"/>
      <c r="AT72" s="48"/>
      <c r="AU72" s="48"/>
      <c r="AV72" s="48"/>
      <c r="AW72" s="48"/>
      <c r="AX72" s="48"/>
      <c r="AY72" s="48"/>
      <c r="AZ72" s="48"/>
      <c r="BA72" s="48"/>
      <c r="BB72" s="48"/>
      <c r="BC72" s="48"/>
      <c r="BD72" s="48"/>
      <c r="BE72" s="48"/>
      <c r="BF72" s="48"/>
      <c r="BG72" s="48"/>
      <c r="BH72" s="48"/>
      <c r="BI72" s="48"/>
      <c r="BJ72" s="48"/>
      <c r="BK72" s="48"/>
      <c r="BL72" s="48"/>
      <c r="BM72" s="48"/>
    </row>
    <row r="73" spans="2:65" x14ac:dyDescent="0.2">
      <c r="B73" s="152"/>
      <c r="C73" s="152"/>
      <c r="D73" s="152"/>
      <c r="E73" s="48"/>
      <c r="F73" s="48"/>
      <c r="G73" s="48"/>
      <c r="H73" s="48"/>
      <c r="I73" s="48"/>
      <c r="J73" s="48"/>
      <c r="K73" s="48"/>
      <c r="L73" s="48"/>
      <c r="M73" s="48"/>
      <c r="N73" s="56" t="str">
        <f>N13</f>
        <v>Outros</v>
      </c>
      <c r="O73" s="57" t="s">
        <v>933</v>
      </c>
      <c r="P73" s="58" t="s">
        <v>933</v>
      </c>
      <c r="Q73" s="48"/>
      <c r="R73" s="48"/>
      <c r="S73" s="48"/>
      <c r="T73" s="48"/>
      <c r="U73" s="48"/>
      <c r="V73" s="48"/>
      <c r="W73" s="48"/>
      <c r="X73" s="48"/>
      <c r="Y73" s="48"/>
      <c r="Z73" s="48"/>
      <c r="AA73" s="48"/>
      <c r="AB73" s="48"/>
      <c r="AC73" s="48"/>
      <c r="AD73" s="48"/>
      <c r="AE73" s="48"/>
      <c r="AF73" s="48"/>
      <c r="AG73" s="48"/>
      <c r="AH73" s="48"/>
      <c r="AI73" s="48"/>
      <c r="AJ73" s="48"/>
      <c r="AK73" s="48"/>
      <c r="AL73" s="48"/>
      <c r="AM73" s="48"/>
      <c r="AN73" s="48"/>
      <c r="AO73" s="48"/>
      <c r="AP73" s="234" t="str">
        <f t="shared" si="16"/>
        <v>Estética e Cosmética</v>
      </c>
      <c r="AQ73" s="255">
        <f>COUNTIFS(Respostas_Formatadas!$C:$C,ContEstudos!$AP$47,Respostas_Formatadas!$S:$S,ContEstudos!$AP73)</f>
        <v>1</v>
      </c>
      <c r="AR73" s="240">
        <f t="shared" si="17"/>
        <v>8.3333333333333329E-2</v>
      </c>
      <c r="AS73" s="48"/>
      <c r="AT73" s="48"/>
      <c r="AU73" s="48"/>
      <c r="AV73" s="48"/>
      <c r="AW73" s="48"/>
      <c r="AX73" s="48"/>
      <c r="AY73" s="48"/>
      <c r="AZ73" s="48"/>
      <c r="BA73" s="48"/>
      <c r="BB73" s="48"/>
      <c r="BC73" s="48"/>
      <c r="BD73" s="48"/>
      <c r="BE73" s="48"/>
      <c r="BF73" s="48"/>
      <c r="BG73" s="48"/>
      <c r="BH73" s="48"/>
      <c r="BI73" s="48"/>
      <c r="BJ73" s="48"/>
      <c r="BK73" s="48"/>
      <c r="BL73" s="48"/>
      <c r="BM73" s="48"/>
    </row>
    <row r="74" spans="2:65" x14ac:dyDescent="0.2">
      <c r="B74" s="152"/>
      <c r="C74" s="152"/>
      <c r="D74" s="152"/>
      <c r="E74" s="48"/>
      <c r="F74" s="48"/>
      <c r="G74" s="48"/>
      <c r="H74" s="48"/>
      <c r="I74" s="48"/>
      <c r="J74" s="48"/>
      <c r="K74" s="48"/>
      <c r="L74" s="48"/>
      <c r="M74" s="48"/>
      <c r="N74" s="148" t="s">
        <v>621</v>
      </c>
      <c r="O74" s="262">
        <f>COUNTIFS(Respostas_Formatadas!$FJ:$FJ,$N$67,Respostas_Formatadas!$H:$H,N68)+COUNTIFS(Respostas_Formatadas!$FJ:$FJ,$N$67,Respostas_Formatadas!$H:$H,N69)+COUNTIFS(Respostas_Formatadas!$FJ:$FJ,$N$67,Respostas_Formatadas!$H:$H,N70)+COUNTIFS(Respostas_Formatadas!$FJ:$FJ,$N$67,Respostas_Formatadas!$H:$H,N71)+COUNTIFS(Respostas_Formatadas!$FJ:$FJ,$N$67,Respostas_Formatadas!$H:$H,N72)+COUNTIFS(Respostas_Formatadas!$FJ:$FJ,$N$67,Respostas_Formatadas!$H:$H,N73)</f>
        <v>22</v>
      </c>
      <c r="P74" s="263" t="s">
        <v>933</v>
      </c>
      <c r="Q74" s="48"/>
      <c r="R74" s="48"/>
      <c r="S74" s="48"/>
      <c r="T74" s="48"/>
      <c r="U74" s="48"/>
      <c r="V74" s="48"/>
      <c r="W74" s="48"/>
      <c r="X74" s="48"/>
      <c r="Y74" s="48"/>
      <c r="Z74" s="48"/>
      <c r="AA74" s="48"/>
      <c r="AB74" s="48"/>
      <c r="AC74" s="48"/>
      <c r="AD74" s="48"/>
      <c r="AE74" s="48"/>
      <c r="AF74" s="48"/>
      <c r="AG74" s="48"/>
      <c r="AH74" s="48"/>
      <c r="AI74" s="48"/>
      <c r="AJ74" s="48"/>
      <c r="AK74" s="48"/>
      <c r="AL74" s="48"/>
      <c r="AM74" s="48"/>
      <c r="AN74" s="48"/>
      <c r="AO74" s="48"/>
      <c r="AP74" s="234" t="str">
        <f t="shared" si="16"/>
        <v>Fonoaudiologia</v>
      </c>
      <c r="AQ74" s="255">
        <f>COUNTIFS(Respostas_Formatadas!$C:$C,ContEstudos!$AP$47,Respostas_Formatadas!$S:$S,ContEstudos!$AP74)</f>
        <v>0</v>
      </c>
      <c r="AR74" s="240">
        <f t="shared" si="17"/>
        <v>0</v>
      </c>
      <c r="AS74" s="48"/>
      <c r="AT74" s="48"/>
      <c r="AU74" s="48"/>
      <c r="AV74" s="48"/>
      <c r="AW74" s="48"/>
      <c r="AX74" s="48"/>
      <c r="AY74" s="48"/>
      <c r="AZ74" s="48"/>
      <c r="BA74" s="48"/>
      <c r="BB74" s="48"/>
      <c r="BC74" s="48"/>
      <c r="BD74" s="48"/>
      <c r="BE74" s="48"/>
      <c r="BF74" s="48"/>
      <c r="BG74" s="48"/>
      <c r="BH74" s="48"/>
      <c r="BI74" s="48"/>
      <c r="BJ74" s="48"/>
      <c r="BK74" s="48"/>
      <c r="BL74" s="48"/>
      <c r="BM74" s="48"/>
    </row>
    <row r="75" spans="2:65" x14ac:dyDescent="0.2">
      <c r="B75" s="152"/>
      <c r="C75" s="152"/>
      <c r="D75" s="152"/>
      <c r="E75" s="48"/>
      <c r="F75" s="48"/>
      <c r="G75" s="48"/>
      <c r="H75" s="48"/>
      <c r="I75" s="48"/>
      <c r="J75" s="48"/>
      <c r="K75" s="48"/>
      <c r="L75" s="48"/>
      <c r="M75" s="48"/>
      <c r="N75" s="48"/>
      <c r="O75" s="48"/>
      <c r="P75" s="48"/>
      <c r="Q75" s="48"/>
      <c r="R75" s="48"/>
      <c r="S75" s="48"/>
      <c r="T75" s="48"/>
      <c r="U75" s="48"/>
      <c r="V75" s="48"/>
      <c r="W75" s="48"/>
      <c r="X75" s="48"/>
      <c r="Y75" s="48"/>
      <c r="Z75" s="48"/>
      <c r="AA75" s="48"/>
      <c r="AB75" s="48"/>
      <c r="AC75" s="48"/>
      <c r="AD75" s="48"/>
      <c r="AE75" s="48"/>
      <c r="AF75" s="48"/>
      <c r="AG75" s="48"/>
      <c r="AH75" s="48"/>
      <c r="AI75" s="48"/>
      <c r="AJ75" s="48"/>
      <c r="AK75" s="48"/>
      <c r="AL75" s="48"/>
      <c r="AM75" s="48"/>
      <c r="AN75" s="48"/>
      <c r="AO75" s="48"/>
      <c r="AP75" s="234" t="str">
        <f t="shared" si="16"/>
        <v>Geografia</v>
      </c>
      <c r="AQ75" s="255">
        <f>COUNTIFS(Respostas_Formatadas!$C:$C,ContEstudos!$AP$47,Respostas_Formatadas!$S:$S,ContEstudos!$AP75)</f>
        <v>0</v>
      </c>
      <c r="AR75" s="240">
        <f t="shared" si="17"/>
        <v>0</v>
      </c>
      <c r="AS75" s="48"/>
      <c r="AT75" s="48"/>
      <c r="AU75" s="48"/>
      <c r="AV75" s="48"/>
      <c r="AW75" s="48"/>
      <c r="AX75" s="48"/>
      <c r="AY75" s="48"/>
      <c r="AZ75" s="48"/>
      <c r="BA75" s="48"/>
      <c r="BB75" s="48"/>
      <c r="BC75" s="48"/>
      <c r="BD75" s="48"/>
      <c r="BE75" s="48"/>
      <c r="BF75" s="48"/>
      <c r="BG75" s="48"/>
      <c r="BH75" s="48"/>
      <c r="BI75" s="48"/>
      <c r="BJ75" s="48"/>
      <c r="BK75" s="48"/>
      <c r="BL75" s="48"/>
      <c r="BM75" s="48"/>
    </row>
    <row r="76" spans="2:65" x14ac:dyDescent="0.2">
      <c r="B76" s="152"/>
      <c r="C76" s="152"/>
      <c r="D76" s="152"/>
      <c r="E76" s="48"/>
      <c r="F76" s="48"/>
      <c r="G76" s="48"/>
      <c r="H76" s="48"/>
      <c r="I76" s="48"/>
      <c r="J76" s="48"/>
      <c r="K76" s="48"/>
      <c r="L76" s="48"/>
      <c r="M76" s="48"/>
      <c r="N76" s="48"/>
      <c r="O76" s="48"/>
      <c r="P76" s="48"/>
      <c r="Q76" s="48"/>
      <c r="R76" s="48"/>
      <c r="S76" s="48"/>
      <c r="T76" s="48"/>
      <c r="U76" s="48"/>
      <c r="V76" s="48"/>
      <c r="W76" s="48"/>
      <c r="X76" s="48"/>
      <c r="Y76" s="48"/>
      <c r="Z76" s="48"/>
      <c r="AA76" s="48"/>
      <c r="AB76" s="48"/>
      <c r="AC76" s="48"/>
      <c r="AD76" s="48"/>
      <c r="AE76" s="48"/>
      <c r="AF76" s="48"/>
      <c r="AG76" s="48"/>
      <c r="AH76" s="48"/>
      <c r="AI76" s="48"/>
      <c r="AJ76" s="48"/>
      <c r="AK76" s="48"/>
      <c r="AL76" s="48"/>
      <c r="AM76" s="48"/>
      <c r="AN76" s="48"/>
      <c r="AO76" s="48"/>
      <c r="AP76" s="234" t="str">
        <f t="shared" si="16"/>
        <v>História</v>
      </c>
      <c r="AQ76" s="255">
        <f>COUNTIFS(Respostas_Formatadas!$C:$C,ContEstudos!$AP$47,Respostas_Formatadas!$S:$S,ContEstudos!$AP76)</f>
        <v>0</v>
      </c>
      <c r="AR76" s="240">
        <f t="shared" si="17"/>
        <v>0</v>
      </c>
      <c r="AS76" s="48"/>
      <c r="AT76" s="48"/>
      <c r="AU76" s="48"/>
      <c r="AV76" s="48"/>
      <c r="AW76" s="48"/>
      <c r="AX76" s="48"/>
      <c r="AY76" s="48"/>
      <c r="AZ76" s="48"/>
      <c r="BA76" s="48"/>
      <c r="BB76" s="48"/>
      <c r="BC76" s="48"/>
      <c r="BD76" s="48"/>
      <c r="BE76" s="48"/>
      <c r="BF76" s="48"/>
      <c r="BG76" s="48"/>
      <c r="BH76" s="48"/>
      <c r="BI76" s="48"/>
      <c r="BJ76" s="48"/>
      <c r="BK76" s="48"/>
      <c r="BL76" s="48"/>
      <c r="BM76" s="48"/>
    </row>
    <row r="77" spans="2:65" x14ac:dyDescent="0.2">
      <c r="B77" s="152"/>
      <c r="C77" s="152"/>
      <c r="D77" s="152"/>
      <c r="E77" s="48"/>
      <c r="F77" s="48"/>
      <c r="G77" s="48"/>
      <c r="H77" s="48"/>
      <c r="I77" s="48"/>
      <c r="J77" s="48"/>
      <c r="K77" s="48"/>
      <c r="L77" s="48"/>
      <c r="M77" s="48"/>
      <c r="N77" s="48"/>
      <c r="O77" s="48"/>
      <c r="P77" s="48"/>
      <c r="Q77" s="48"/>
      <c r="R77" s="48"/>
      <c r="S77" s="48"/>
      <c r="T77" s="48"/>
      <c r="U77" s="48"/>
      <c r="V77" s="48"/>
      <c r="W77" s="48"/>
      <c r="X77" s="48"/>
      <c r="Y77" s="48"/>
      <c r="Z77" s="48"/>
      <c r="AA77" s="48"/>
      <c r="AB77" s="48"/>
      <c r="AC77" s="48"/>
      <c r="AD77" s="48"/>
      <c r="AE77" s="48"/>
      <c r="AF77" s="48"/>
      <c r="AG77" s="48"/>
      <c r="AH77" s="48"/>
      <c r="AI77" s="48"/>
      <c r="AJ77" s="48"/>
      <c r="AK77" s="48"/>
      <c r="AL77" s="48"/>
      <c r="AM77" s="48"/>
      <c r="AN77" s="48"/>
      <c r="AO77" s="48"/>
      <c r="AP77" s="234" t="str">
        <f t="shared" si="16"/>
        <v>Letras Português - Espanhol</v>
      </c>
      <c r="AQ77" s="255">
        <f>COUNTIFS(Respostas_Formatadas!$C:$C,ContEstudos!$AP$47,Respostas_Formatadas!$S:$S,ContEstudos!$AP77)</f>
        <v>1</v>
      </c>
      <c r="AR77" s="240">
        <f t="shared" si="17"/>
        <v>8.3333333333333329E-2</v>
      </c>
      <c r="AS77" s="48"/>
      <c r="AT77" s="48"/>
      <c r="AU77" s="48"/>
      <c r="AV77" s="48"/>
      <c r="AW77" s="48"/>
      <c r="AX77" s="48"/>
      <c r="AY77" s="48"/>
      <c r="AZ77" s="48"/>
      <c r="BA77" s="48"/>
      <c r="BB77" s="48"/>
      <c r="BC77" s="48"/>
      <c r="BD77" s="48"/>
      <c r="BE77" s="48"/>
      <c r="BF77" s="48"/>
      <c r="BG77" s="48"/>
      <c r="BH77" s="48"/>
      <c r="BI77" s="48"/>
      <c r="BJ77" s="48"/>
      <c r="BK77" s="48"/>
      <c r="BL77" s="48"/>
      <c r="BM77" s="48"/>
    </row>
    <row r="78" spans="2:65" x14ac:dyDescent="0.2">
      <c r="B78" s="152"/>
      <c r="C78" s="152"/>
      <c r="D78" s="152"/>
      <c r="E78" s="48"/>
      <c r="F78" s="48"/>
      <c r="G78" s="48"/>
      <c r="H78" s="48"/>
      <c r="I78" s="48"/>
      <c r="J78" s="48"/>
      <c r="K78" s="48"/>
      <c r="L78" s="48"/>
      <c r="M78" s="48"/>
      <c r="N78" s="48"/>
      <c r="O78" s="48"/>
      <c r="P78" s="48"/>
      <c r="Q78" s="48"/>
      <c r="R78" s="48"/>
      <c r="S78" s="48"/>
      <c r="T78" s="48"/>
      <c r="U78" s="48"/>
      <c r="V78" s="48"/>
      <c r="W78" s="48"/>
      <c r="X78" s="48"/>
      <c r="Y78" s="48"/>
      <c r="Z78" s="48"/>
      <c r="AA78" s="48"/>
      <c r="AB78" s="48"/>
      <c r="AC78" s="48"/>
      <c r="AD78" s="48"/>
      <c r="AE78" s="48"/>
      <c r="AF78" s="48"/>
      <c r="AG78" s="48"/>
      <c r="AH78" s="48"/>
      <c r="AI78" s="48"/>
      <c r="AJ78" s="48"/>
      <c r="AK78" s="48"/>
      <c r="AL78" s="48"/>
      <c r="AM78" s="48"/>
      <c r="AN78" s="48"/>
      <c r="AO78" s="48"/>
      <c r="AP78" s="234" t="str">
        <f t="shared" si="16"/>
        <v>Recursos Humanos</v>
      </c>
      <c r="AQ78" s="255">
        <f>COUNTIFS(Respostas_Formatadas!$C:$C,ContEstudos!$AP$47,Respostas_Formatadas!$S:$S,ContEstudos!$AP78)</f>
        <v>1</v>
      </c>
      <c r="AR78" s="240">
        <f t="shared" si="17"/>
        <v>8.3333333333333329E-2</v>
      </c>
      <c r="AS78" s="48"/>
      <c r="AT78" s="48"/>
      <c r="AU78" s="48"/>
      <c r="AV78" s="48"/>
      <c r="AW78" s="48"/>
      <c r="AX78" s="48"/>
      <c r="AY78" s="48"/>
      <c r="AZ78" s="48"/>
      <c r="BA78" s="48"/>
      <c r="BB78" s="48"/>
      <c r="BC78" s="48"/>
      <c r="BD78" s="48"/>
      <c r="BE78" s="48"/>
      <c r="BF78" s="48"/>
      <c r="BG78" s="48"/>
      <c r="BH78" s="48"/>
      <c r="BI78" s="48"/>
      <c r="BJ78" s="48"/>
      <c r="BK78" s="48"/>
      <c r="BL78" s="48"/>
      <c r="BM78" s="48"/>
    </row>
    <row r="79" spans="2:65" x14ac:dyDescent="0.2">
      <c r="B79" s="152"/>
      <c r="C79" s="152"/>
      <c r="D79" s="152"/>
      <c r="E79" s="48"/>
      <c r="F79" s="48"/>
      <c r="G79" s="48"/>
      <c r="H79" s="48"/>
      <c r="I79" s="48"/>
      <c r="J79" s="48"/>
      <c r="K79" s="48"/>
      <c r="L79" s="48"/>
      <c r="M79" s="48"/>
      <c r="N79" s="48"/>
      <c r="O79" s="48"/>
      <c r="P79" s="48"/>
      <c r="Q79" s="48"/>
      <c r="R79" s="48"/>
      <c r="S79" s="48"/>
      <c r="T79" s="48"/>
      <c r="U79" s="48"/>
      <c r="V79" s="48"/>
      <c r="W79" s="48"/>
      <c r="X79" s="48"/>
      <c r="Y79" s="48"/>
      <c r="Z79" s="48"/>
      <c r="AA79" s="48"/>
      <c r="AB79" s="48"/>
      <c r="AC79" s="48"/>
      <c r="AD79" s="48"/>
      <c r="AE79" s="48"/>
      <c r="AF79" s="48"/>
      <c r="AG79" s="48"/>
      <c r="AH79" s="48"/>
      <c r="AI79" s="48"/>
      <c r="AJ79" s="48"/>
      <c r="AK79" s="48"/>
      <c r="AL79" s="48"/>
      <c r="AM79" s="48"/>
      <c r="AN79" s="48"/>
      <c r="AO79" s="48"/>
      <c r="AP79" s="234" t="str">
        <f t="shared" si="16"/>
        <v>Saneamento Ambiental</v>
      </c>
      <c r="AQ79" s="255">
        <f>COUNTIFS(Respostas_Formatadas!$C:$C,ContEstudos!$AP$47,Respostas_Formatadas!$S:$S,ContEstudos!$AP79)</f>
        <v>1</v>
      </c>
      <c r="AR79" s="240">
        <f t="shared" si="17"/>
        <v>8.3333333333333329E-2</v>
      </c>
      <c r="AS79" s="48"/>
      <c r="AT79" s="48"/>
      <c r="AU79" s="48"/>
      <c r="AV79" s="48"/>
      <c r="AW79" s="48"/>
      <c r="AX79" s="48"/>
      <c r="AY79" s="48"/>
      <c r="AZ79" s="48"/>
      <c r="BA79" s="48"/>
      <c r="BB79" s="48"/>
      <c r="BC79" s="48"/>
      <c r="BD79" s="48"/>
      <c r="BE79" s="48"/>
      <c r="BF79" s="48"/>
      <c r="BG79" s="48"/>
      <c r="BH79" s="48"/>
      <c r="BI79" s="48"/>
      <c r="BJ79" s="48"/>
      <c r="BK79" s="48"/>
      <c r="BL79" s="48"/>
      <c r="BM79" s="48"/>
    </row>
    <row r="80" spans="2:65" x14ac:dyDescent="0.2">
      <c r="B80" s="152"/>
      <c r="C80" s="152"/>
      <c r="D80" s="152"/>
      <c r="E80" s="48"/>
      <c r="F80" s="48"/>
      <c r="G80" s="48"/>
      <c r="H80" s="48"/>
      <c r="I80" s="48"/>
      <c r="J80" s="48"/>
      <c r="K80" s="48"/>
      <c r="L80" s="48"/>
      <c r="M80" s="48"/>
      <c r="N80" s="48"/>
      <c r="O80" s="48"/>
      <c r="P80" s="48"/>
      <c r="Q80" s="48"/>
      <c r="R80" s="48"/>
      <c r="S80" s="48"/>
      <c r="T80" s="48"/>
      <c r="U80" s="48"/>
      <c r="V80" s="48"/>
      <c r="W80" s="48"/>
      <c r="X80" s="48"/>
      <c r="Y80" s="48"/>
      <c r="Z80" s="48"/>
      <c r="AA80" s="48"/>
      <c r="AB80" s="48"/>
      <c r="AC80" s="48"/>
      <c r="AD80" s="48"/>
      <c r="AE80" s="48"/>
      <c r="AF80" s="48"/>
      <c r="AG80" s="48"/>
      <c r="AH80" s="48"/>
      <c r="AI80" s="48"/>
      <c r="AJ80" s="48"/>
      <c r="AK80" s="48"/>
      <c r="AL80" s="48"/>
      <c r="AM80" s="48"/>
      <c r="AN80" s="48"/>
      <c r="AO80" s="48"/>
      <c r="AP80" s="234" t="str">
        <f t="shared" si="16"/>
        <v>Técnico em Hospedagem</v>
      </c>
      <c r="AQ80" s="255">
        <f>COUNTIFS(Respostas_Formatadas!$C:$C,ContEstudos!$AP$47,Respostas_Formatadas!$S:$S,ContEstudos!$AP80)</f>
        <v>1</v>
      </c>
      <c r="AR80" s="240">
        <f t="shared" si="17"/>
        <v>8.3333333333333329E-2</v>
      </c>
      <c r="AS80" s="48"/>
      <c r="AT80" s="48"/>
      <c r="AU80" s="48"/>
      <c r="AV80" s="48"/>
      <c r="AW80" s="48"/>
      <c r="AX80" s="48"/>
      <c r="AY80" s="48"/>
      <c r="AZ80" s="48"/>
      <c r="BA80" s="48"/>
      <c r="BB80" s="48"/>
      <c r="BC80" s="48"/>
      <c r="BD80" s="48"/>
      <c r="BE80" s="48"/>
      <c r="BF80" s="48"/>
      <c r="BG80" s="48"/>
      <c r="BH80" s="48"/>
      <c r="BI80" s="48"/>
      <c r="BJ80" s="48"/>
      <c r="BK80" s="48"/>
      <c r="BL80" s="48"/>
      <c r="BM80" s="48"/>
    </row>
    <row r="81" spans="2:65" x14ac:dyDescent="0.2">
      <c r="B81" s="152"/>
      <c r="C81" s="152"/>
      <c r="D81" s="152"/>
      <c r="E81" s="48"/>
      <c r="F81" s="48"/>
      <c r="G81" s="48"/>
      <c r="H81" s="48"/>
      <c r="I81" s="48"/>
      <c r="J81" s="48"/>
      <c r="K81" s="48"/>
      <c r="L81" s="48"/>
      <c r="M81" s="48"/>
      <c r="N81" s="48"/>
      <c r="O81" s="48"/>
      <c r="P81" s="48"/>
      <c r="Q81" s="48"/>
      <c r="R81" s="48"/>
      <c r="S81" s="48"/>
      <c r="T81" s="48"/>
      <c r="U81" s="48"/>
      <c r="V81" s="48"/>
      <c r="W81" s="48"/>
      <c r="X81" s="48"/>
      <c r="Y81" s="48"/>
      <c r="Z81" s="48"/>
      <c r="AA81" s="48"/>
      <c r="AB81" s="48"/>
      <c r="AC81" s="48"/>
      <c r="AD81" s="48"/>
      <c r="AE81" s="48"/>
      <c r="AF81" s="48"/>
      <c r="AG81" s="48"/>
      <c r="AH81" s="48"/>
      <c r="AI81" s="48"/>
      <c r="AJ81" s="48"/>
      <c r="AK81" s="48"/>
      <c r="AL81" s="48"/>
      <c r="AM81" s="48"/>
      <c r="AN81" s="48"/>
      <c r="AO81" s="48"/>
      <c r="AP81" s="236" t="s">
        <v>621</v>
      </c>
      <c r="AQ81" s="241">
        <f>SUM(AQ49:AQ80)</f>
        <v>12</v>
      </c>
      <c r="AR81" s="242">
        <f>SUM(AR49:AR80)</f>
        <v>1</v>
      </c>
      <c r="AS81" s="48"/>
      <c r="AT81" s="48"/>
      <c r="AU81" s="48"/>
      <c r="AV81" s="48"/>
      <c r="AW81" s="48"/>
      <c r="AX81" s="48"/>
      <c r="AY81" s="48"/>
      <c r="AZ81" s="48"/>
      <c r="BA81" s="48"/>
      <c r="BB81" s="48"/>
      <c r="BC81" s="48"/>
      <c r="BD81" s="48"/>
      <c r="BE81" s="48"/>
      <c r="BF81" s="48"/>
      <c r="BG81" s="48"/>
      <c r="BH81" s="48"/>
      <c r="BI81" s="48"/>
      <c r="BJ81" s="48"/>
      <c r="BK81" s="48"/>
      <c r="BL81" s="48"/>
      <c r="BM81" s="48"/>
    </row>
    <row r="82" spans="2:65" x14ac:dyDescent="0.2">
      <c r="B82" s="152"/>
      <c r="C82" s="152"/>
      <c r="D82" s="152"/>
      <c r="E82" s="48"/>
      <c r="F82" s="48"/>
      <c r="G82" s="48"/>
      <c r="H82" s="48"/>
      <c r="I82" s="48"/>
      <c r="J82" s="48"/>
      <c r="K82" s="48"/>
      <c r="L82" s="48"/>
      <c r="M82" s="48"/>
      <c r="N82" s="48"/>
      <c r="O82" s="48"/>
      <c r="P82" s="48"/>
      <c r="Q82" s="48"/>
      <c r="R82" s="48"/>
      <c r="S82" s="48"/>
      <c r="T82" s="48"/>
      <c r="U82" s="48"/>
      <c r="V82" s="48"/>
      <c r="W82" s="48"/>
      <c r="X82" s="48"/>
      <c r="Y82" s="48"/>
      <c r="Z82" s="48"/>
      <c r="AA82" s="48"/>
      <c r="AB82" s="48"/>
      <c r="AC82" s="48"/>
      <c r="AD82" s="48"/>
      <c r="AE82" s="48"/>
      <c r="AF82" s="48"/>
      <c r="AG82" s="48"/>
      <c r="AH82" s="48"/>
      <c r="AI82" s="48"/>
      <c r="AJ82" s="48"/>
      <c r="AK82" s="48"/>
      <c r="AL82" s="48"/>
      <c r="AM82" s="48"/>
      <c r="AN82" s="48"/>
      <c r="AO82" s="48"/>
      <c r="AP82" s="48"/>
      <c r="AQ82" s="48"/>
      <c r="AR82" s="48"/>
      <c r="AS82" s="48"/>
      <c r="AT82" s="48"/>
      <c r="AU82" s="48"/>
      <c r="AV82" s="48"/>
      <c r="AW82" s="48"/>
      <c r="AX82" s="48"/>
      <c r="AY82" s="48"/>
      <c r="AZ82" s="48"/>
      <c r="BA82" s="48"/>
      <c r="BB82" s="48"/>
      <c r="BC82" s="48"/>
      <c r="BD82" s="48"/>
      <c r="BE82" s="48"/>
      <c r="BF82" s="48"/>
      <c r="BG82" s="48"/>
      <c r="BH82" s="48"/>
      <c r="BI82" s="48"/>
      <c r="BJ82" s="48"/>
      <c r="BK82" s="48"/>
      <c r="BL82" s="48"/>
      <c r="BM82" s="48"/>
    </row>
    <row r="83" spans="2:65" x14ac:dyDescent="0.2">
      <c r="B83" s="152"/>
      <c r="C83" s="152"/>
      <c r="D83" s="152"/>
      <c r="E83" s="48"/>
      <c r="F83" s="48"/>
      <c r="G83" s="48"/>
      <c r="H83" s="48"/>
      <c r="I83" s="48"/>
      <c r="J83" s="48"/>
      <c r="K83" s="48"/>
      <c r="L83" s="48"/>
      <c r="M83" s="48"/>
      <c r="N83" s="48"/>
      <c r="O83" s="48"/>
      <c r="P83" s="48"/>
      <c r="Q83" s="48"/>
      <c r="R83" s="48"/>
      <c r="S83" s="48"/>
      <c r="T83" s="48"/>
      <c r="U83" s="48"/>
      <c r="V83" s="48"/>
      <c r="W83" s="48"/>
      <c r="X83" s="48"/>
      <c r="Y83" s="48"/>
      <c r="Z83" s="48"/>
      <c r="AA83" s="48"/>
      <c r="AB83" s="48"/>
      <c r="AC83" s="48"/>
      <c r="AD83" s="48"/>
      <c r="AE83" s="48"/>
      <c r="AF83" s="48"/>
      <c r="AG83" s="48"/>
      <c r="AH83" s="48"/>
      <c r="AI83" s="48"/>
      <c r="AJ83" s="48"/>
      <c r="AK83" s="48"/>
      <c r="AL83" s="48"/>
      <c r="AM83" s="48"/>
      <c r="AN83" s="48"/>
      <c r="AO83" s="48"/>
      <c r="AP83" s="48"/>
      <c r="AQ83" s="48"/>
      <c r="AR83" s="48"/>
      <c r="AS83" s="48"/>
      <c r="AT83" s="48"/>
      <c r="AU83" s="48"/>
      <c r="AV83" s="48"/>
      <c r="AW83" s="48"/>
      <c r="AX83" s="48"/>
      <c r="AY83" s="48"/>
      <c r="AZ83" s="48"/>
      <c r="BA83" s="48"/>
      <c r="BB83" s="48"/>
      <c r="BC83" s="48"/>
      <c r="BD83" s="48"/>
      <c r="BE83" s="48"/>
      <c r="BF83" s="48"/>
      <c r="BG83" s="48"/>
      <c r="BH83" s="48"/>
      <c r="BI83" s="48"/>
      <c r="BJ83" s="48"/>
      <c r="BK83" s="48"/>
      <c r="BL83" s="48"/>
      <c r="BM83" s="48"/>
    </row>
    <row r="84" spans="2:65" x14ac:dyDescent="0.2"/>
    <row r="85" spans="2:65" x14ac:dyDescent="0.2"/>
    <row r="86" spans="2:65" x14ac:dyDescent="0.2"/>
  </sheetData>
  <sheetProtection algorithmName="SHA-512" hashValue="BvEGvHWu9O+iD0eh3z2N7FQKVBoJj9IejEBy9pEe38CFDSpdgVPLs2qfgoyOtIgIYcjIZpIS1Ywlugl32IslZg==" saltValue="SblFmRg7IYnD8xj/PRI6mw==" spinCount="100000" sheet="1" objects="1" scenarios="1"/>
  <mergeCells count="1">
    <mergeCell ref="C7:C36"/>
  </mergeCells>
  <dataValidations count="1">
    <dataValidation type="list" allowBlank="1" showInputMessage="1" showErrorMessage="1" sqref="N52">
      <formula1>$G$44:$G$46</formula1>
    </dataValidation>
  </dataValidations>
  <pageMargins left="0.511811024" right="0.511811024" top="0.78740157499999996" bottom="0.78740157499999996" header="0.31496062000000002" footer="0.31496062000000002"/>
  <pageSetup orientation="portrait"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14:formula1>
            <xm:f>CaractAmostra!$E$45:$E$47</xm:f>
          </x14:formula1>
          <xm:sqref>N67</xm:sqref>
        </x14:dataValidation>
        <x14:dataValidation type="list" allowBlank="1" showInputMessage="1" showErrorMessage="1">
          <x14:formula1>
            <xm:f>CaractAmostra!$E$27:$E$31</xm:f>
          </x14:formula1>
          <xm:sqref>N49</xm:sqref>
        </x14:dataValidation>
        <x14:dataValidation type="list" allowBlank="1" showInputMessage="1" showErrorMessage="1">
          <x14:formula1>
            <xm:f>CaractAmostra!$E$9:$E$20</xm:f>
          </x14:formula1>
          <xm:sqref>E9 I25 N30 S30 X20 AU7 BC19 BG22 AY16 AC20</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O71"/>
  <sheetViews>
    <sheetView showGridLines="0" workbookViewId="0"/>
  </sheetViews>
  <sheetFormatPr defaultColWidth="0" defaultRowHeight="12.75" zeroHeight="1" x14ac:dyDescent="0.2"/>
  <cols>
    <col min="1" max="1" width="24.7109375" style="126" customWidth="1"/>
    <col min="2" max="2" width="11.42578125" style="135" customWidth="1"/>
    <col min="3" max="3" width="69.5703125" style="135" customWidth="1"/>
    <col min="4" max="4" width="7.85546875" style="135" customWidth="1"/>
    <col min="5" max="5" width="2.28515625" style="126" hidden="1" customWidth="1"/>
    <col min="6" max="6" width="2.5703125" style="126" hidden="1" customWidth="1"/>
    <col min="7" max="7" width="4.7109375" style="126" hidden="1" customWidth="1"/>
    <col min="8" max="8" width="6" style="126" customWidth="1"/>
    <col min="9" max="9" width="60" style="126" bestFit="1" customWidth="1"/>
    <col min="10" max="11" width="9.140625" style="126" customWidth="1"/>
    <col min="12" max="12" width="85.140625" style="126" customWidth="1"/>
    <col min="13" max="13" width="9.140625" style="126" customWidth="1"/>
    <col min="14" max="14" width="78.42578125" style="126" bestFit="1" customWidth="1"/>
    <col min="15" max="16" width="9.140625" style="126" customWidth="1"/>
    <col min="17" max="17" width="96" style="126" customWidth="1"/>
    <col min="18" max="18" width="5.28515625" style="126" customWidth="1"/>
    <col min="19" max="19" width="51.28515625" style="126" bestFit="1" customWidth="1"/>
    <col min="20" max="21" width="9.140625" style="126" customWidth="1"/>
    <col min="22" max="22" width="79.85546875" style="126" customWidth="1"/>
    <col min="23" max="23" width="5.85546875" style="126" customWidth="1"/>
    <col min="24" max="24" width="59.85546875" style="126" bestFit="1" customWidth="1"/>
    <col min="25" max="26" width="9.140625" style="126" customWidth="1"/>
    <col min="27" max="27" width="77.140625" style="126" customWidth="1"/>
    <col min="28" max="28" width="6.42578125" style="126" customWidth="1"/>
    <col min="29" max="29" width="65.85546875" style="126" bestFit="1" customWidth="1"/>
    <col min="30" max="31" width="9.140625" style="126" customWidth="1"/>
    <col min="32" max="32" width="76.85546875" style="126" customWidth="1"/>
    <col min="33" max="33" width="10" style="126" customWidth="1"/>
    <col min="34" max="67" width="0" style="126" hidden="1" customWidth="1"/>
    <col min="68" max="16384" width="9.140625" style="126" hidden="1"/>
  </cols>
  <sheetData>
    <row r="1" spans="1:67" s="135" customFormat="1" ht="139.5" customHeight="1" x14ac:dyDescent="0.2">
      <c r="A1" s="151" t="s">
        <v>1174</v>
      </c>
      <c r="H1" s="222" t="s">
        <v>1212</v>
      </c>
      <c r="I1" s="126"/>
      <c r="J1" s="126"/>
      <c r="K1" s="126"/>
      <c r="L1" s="126"/>
      <c r="M1" s="126"/>
      <c r="N1" s="126"/>
      <c r="O1" s="126"/>
      <c r="P1" s="126"/>
      <c r="Q1" s="126"/>
      <c r="R1" s="126"/>
      <c r="S1" s="126"/>
      <c r="T1" s="126"/>
      <c r="U1" s="126"/>
      <c r="V1" s="126"/>
      <c r="W1" s="126"/>
      <c r="X1" s="126"/>
      <c r="Y1" s="126"/>
      <c r="Z1" s="126"/>
      <c r="AA1" s="126"/>
      <c r="AB1" s="126"/>
      <c r="AC1" s="126"/>
      <c r="AD1" s="126"/>
      <c r="AE1" s="126"/>
      <c r="AF1" s="126"/>
      <c r="AG1" s="126"/>
      <c r="AH1" s="126"/>
      <c r="AI1" s="126"/>
      <c r="AJ1" s="126"/>
      <c r="AK1" s="126"/>
      <c r="AL1" s="126"/>
      <c r="AM1" s="126"/>
      <c r="AN1" s="126"/>
      <c r="AO1" s="126"/>
      <c r="AP1" s="126"/>
      <c r="AQ1" s="126"/>
      <c r="AR1" s="126"/>
      <c r="AS1" s="126"/>
      <c r="AT1" s="126"/>
      <c r="AU1" s="126"/>
      <c r="AV1" s="126"/>
      <c r="AW1" s="126"/>
      <c r="AX1" s="126"/>
      <c r="AY1" s="126"/>
      <c r="AZ1" s="126"/>
      <c r="BA1" s="126"/>
      <c r="BB1" s="126"/>
      <c r="BC1" s="126"/>
      <c r="BD1" s="126"/>
      <c r="BE1" s="126"/>
      <c r="BF1" s="126"/>
      <c r="BG1" s="126"/>
      <c r="BH1" s="126"/>
      <c r="BI1" s="126"/>
      <c r="BJ1" s="126"/>
      <c r="BK1" s="126"/>
      <c r="BL1" s="126"/>
      <c r="BM1" s="126"/>
      <c r="BN1" s="126"/>
      <c r="BO1" s="126"/>
    </row>
    <row r="2" spans="1:67" x14ac:dyDescent="0.2">
      <c r="B2" s="152"/>
      <c r="C2" s="152"/>
      <c r="D2" s="152"/>
      <c r="E2" s="48"/>
      <c r="F2" s="48"/>
      <c r="G2" s="48"/>
      <c r="H2" s="48"/>
      <c r="I2" s="48"/>
      <c r="J2" s="48"/>
      <c r="K2" s="48"/>
      <c r="L2" s="48"/>
      <c r="M2" s="48"/>
      <c r="N2" s="48"/>
      <c r="O2" s="48"/>
      <c r="P2" s="48"/>
      <c r="Q2" s="48"/>
      <c r="R2" s="48"/>
      <c r="S2" s="48"/>
      <c r="T2" s="48"/>
      <c r="U2" s="48"/>
      <c r="V2" s="48"/>
      <c r="W2" s="48"/>
      <c r="X2" s="48"/>
      <c r="Y2" s="48"/>
      <c r="Z2" s="48"/>
      <c r="AA2" s="48"/>
      <c r="AB2" s="48"/>
      <c r="AC2" s="48"/>
      <c r="AD2" s="48"/>
      <c r="AE2" s="48"/>
      <c r="AF2" s="48"/>
    </row>
    <row r="3" spans="1:67" x14ac:dyDescent="0.2">
      <c r="B3" s="152"/>
      <c r="C3" s="152"/>
      <c r="D3" s="152"/>
      <c r="E3" s="48"/>
      <c r="F3" s="48"/>
      <c r="G3" s="48"/>
      <c r="H3" s="48"/>
      <c r="I3" s="48"/>
      <c r="J3" s="48"/>
      <c r="K3" s="48"/>
      <c r="L3" s="48"/>
      <c r="M3" s="48"/>
      <c r="N3" s="48"/>
      <c r="O3" s="48"/>
      <c r="P3" s="48"/>
      <c r="Q3" s="48"/>
      <c r="R3" s="48"/>
      <c r="S3" s="48"/>
      <c r="T3" s="48"/>
      <c r="U3" s="48"/>
      <c r="V3" s="48"/>
      <c r="W3" s="48"/>
      <c r="X3" s="48"/>
      <c r="Y3" s="48"/>
      <c r="Z3" s="48"/>
      <c r="AA3" s="48"/>
      <c r="AB3" s="48"/>
      <c r="AC3" s="48"/>
      <c r="AD3" s="48"/>
      <c r="AE3" s="48"/>
      <c r="AF3" s="48"/>
    </row>
    <row r="4" spans="1:67" x14ac:dyDescent="0.2">
      <c r="A4" s="136"/>
      <c r="B4" s="152"/>
      <c r="C4" s="152"/>
      <c r="D4" s="152"/>
      <c r="E4" s="133">
        <v>16</v>
      </c>
      <c r="F4" s="131"/>
      <c r="G4" s="131"/>
      <c r="H4" s="131"/>
      <c r="I4" s="133">
        <v>16</v>
      </c>
      <c r="J4" s="131"/>
      <c r="K4" s="131"/>
      <c r="L4" s="131"/>
      <c r="M4" s="131"/>
      <c r="N4" s="133">
        <v>17</v>
      </c>
      <c r="O4" s="131"/>
      <c r="P4" s="131"/>
      <c r="Q4" s="131"/>
      <c r="R4" s="131"/>
      <c r="S4" s="133">
        <v>18</v>
      </c>
      <c r="T4" s="131"/>
      <c r="U4" s="131"/>
      <c r="V4" s="131"/>
      <c r="W4" s="131"/>
      <c r="X4" s="133">
        <v>19</v>
      </c>
      <c r="Y4" s="131"/>
      <c r="Z4" s="131"/>
      <c r="AA4" s="131"/>
      <c r="AB4" s="131"/>
      <c r="AC4" s="133">
        <v>20</v>
      </c>
      <c r="AD4" s="131"/>
      <c r="AE4" s="131"/>
      <c r="AF4" s="131"/>
      <c r="AG4" s="136"/>
    </row>
    <row r="5" spans="1:67" x14ac:dyDescent="0.2">
      <c r="B5" s="152"/>
      <c r="C5" s="152"/>
      <c r="D5" s="152"/>
      <c r="E5" s="48"/>
      <c r="F5" s="48"/>
      <c r="G5" s="48"/>
      <c r="H5" s="48"/>
      <c r="I5" s="48"/>
      <c r="J5" s="48"/>
      <c r="K5" s="48"/>
      <c r="L5" s="48"/>
      <c r="M5" s="48"/>
      <c r="N5" s="48"/>
      <c r="O5" s="48"/>
      <c r="P5" s="48"/>
      <c r="Q5" s="48"/>
      <c r="R5" s="48"/>
      <c r="S5" s="48"/>
      <c r="T5" s="48"/>
      <c r="U5" s="48"/>
      <c r="V5" s="48"/>
      <c r="W5" s="48"/>
      <c r="X5" s="48"/>
      <c r="Y5" s="48"/>
      <c r="Z5" s="48"/>
      <c r="AA5" s="48"/>
      <c r="AB5" s="48"/>
      <c r="AC5" s="48"/>
      <c r="AD5" s="48"/>
      <c r="AE5" s="48"/>
      <c r="AF5" s="48"/>
    </row>
    <row r="6" spans="1:67" ht="15.75" x14ac:dyDescent="0.2">
      <c r="B6" s="152"/>
      <c r="C6" s="145" t="s">
        <v>1153</v>
      </c>
      <c r="D6" s="152"/>
      <c r="E6" s="150" t="s">
        <v>18</v>
      </c>
      <c r="F6" s="48"/>
      <c r="G6" s="48"/>
      <c r="H6" s="48"/>
      <c r="I6" s="150" t="s">
        <v>18</v>
      </c>
      <c r="J6" s="48"/>
      <c r="K6" s="48"/>
      <c r="L6" s="48"/>
      <c r="M6" s="48"/>
      <c r="N6" s="150" t="s">
        <v>19</v>
      </c>
      <c r="O6" s="48"/>
      <c r="P6" s="48"/>
      <c r="Q6" s="48"/>
      <c r="R6" s="48"/>
      <c r="S6" s="150" t="s">
        <v>20</v>
      </c>
      <c r="T6" s="48"/>
      <c r="U6" s="48"/>
      <c r="V6" s="48"/>
      <c r="W6" s="48"/>
      <c r="X6" s="150" t="str">
        <f>Respostas_Formatadas!$AB$2</f>
        <v>Como você teve acesso a essa vaga?</v>
      </c>
      <c r="Y6" s="48"/>
      <c r="Z6" s="48"/>
      <c r="AA6" s="48"/>
      <c r="AB6" s="48"/>
      <c r="AC6" s="150" t="str">
        <f>Tabulacao!$BL$2</f>
        <v>Como você teve acesso a essa vaga?</v>
      </c>
      <c r="AD6" s="48"/>
      <c r="AE6" s="48"/>
      <c r="AF6" s="48"/>
    </row>
    <row r="7" spans="1:67" ht="12.75" customHeight="1" x14ac:dyDescent="0.2">
      <c r="B7" s="152"/>
      <c r="C7" s="310" t="s">
        <v>1254</v>
      </c>
      <c r="D7" s="152"/>
      <c r="E7" s="48"/>
      <c r="F7" s="48"/>
      <c r="G7" s="48"/>
      <c r="H7" s="48"/>
      <c r="I7" s="48"/>
      <c r="J7" s="48"/>
      <c r="K7" s="48"/>
      <c r="L7" s="48"/>
      <c r="M7" s="48"/>
      <c r="N7" s="48"/>
      <c r="O7" s="48"/>
      <c r="P7" s="48"/>
      <c r="Q7" s="48"/>
      <c r="R7" s="48"/>
      <c r="S7" s="48"/>
      <c r="T7" s="48"/>
      <c r="U7" s="48"/>
      <c r="V7" s="48"/>
      <c r="W7" s="48"/>
      <c r="X7" s="146" t="s">
        <v>968</v>
      </c>
      <c r="Y7" s="48"/>
      <c r="Z7" s="48"/>
      <c r="AA7" s="48"/>
      <c r="AB7" s="48"/>
      <c r="AC7" s="146" t="s">
        <v>969</v>
      </c>
      <c r="AD7" s="48"/>
      <c r="AE7" s="48"/>
      <c r="AF7" s="48"/>
    </row>
    <row r="8" spans="1:67" ht="12.75" customHeight="1" x14ac:dyDescent="0.2">
      <c r="B8" s="152"/>
      <c r="C8" s="311"/>
      <c r="D8" s="152"/>
      <c r="E8" s="137" t="str">
        <f>Tabulacao!AZ2</f>
        <v>Você já teve algum emprego remunerado desde que se formou?</v>
      </c>
      <c r="F8" s="138" t="s">
        <v>131</v>
      </c>
      <c r="G8" s="138" t="s">
        <v>132</v>
      </c>
      <c r="H8" s="48"/>
      <c r="I8" s="137" t="s">
        <v>964</v>
      </c>
      <c r="J8" s="138" t="s">
        <v>131</v>
      </c>
      <c r="K8" s="138" t="s">
        <v>132</v>
      </c>
      <c r="L8" s="48"/>
      <c r="M8" s="48"/>
      <c r="N8" s="137" t="s">
        <v>965</v>
      </c>
      <c r="O8" s="138" t="s">
        <v>131</v>
      </c>
      <c r="P8" s="138" t="s">
        <v>132</v>
      </c>
      <c r="Q8" s="48"/>
      <c r="R8" s="48"/>
      <c r="S8" s="137" t="s">
        <v>966</v>
      </c>
      <c r="T8" s="138" t="s">
        <v>131</v>
      </c>
      <c r="U8" s="138" t="s">
        <v>132</v>
      </c>
      <c r="V8" s="48"/>
      <c r="W8" s="48"/>
      <c r="X8" s="137" t="s">
        <v>967</v>
      </c>
      <c r="Y8" s="138" t="s">
        <v>131</v>
      </c>
      <c r="Z8" s="138" t="s">
        <v>132</v>
      </c>
      <c r="AA8" s="48"/>
      <c r="AB8" s="48"/>
      <c r="AC8" s="137" t="s">
        <v>967</v>
      </c>
      <c r="AD8" s="138" t="s">
        <v>131</v>
      </c>
      <c r="AE8" s="138" t="s">
        <v>132</v>
      </c>
      <c r="AF8" s="48"/>
    </row>
    <row r="9" spans="1:67" x14ac:dyDescent="0.2">
      <c r="B9" s="152"/>
      <c r="C9" s="311"/>
      <c r="D9" s="152"/>
      <c r="E9" s="51" t="str">
        <f>Tabulacao!AZ4</f>
        <v>Não</v>
      </c>
      <c r="F9" s="122">
        <f>Tabulacao!BA4</f>
        <v>97</v>
      </c>
      <c r="G9" s="53">
        <f>F9/$F$12</f>
        <v>0.35793357933579334</v>
      </c>
      <c r="H9" s="48"/>
      <c r="I9" s="51" t="str">
        <f>Tabulacao!AZ4</f>
        <v>Não</v>
      </c>
      <c r="J9" s="52">
        <f>F9</f>
        <v>97</v>
      </c>
      <c r="K9" s="53">
        <f>J9/$J$12</f>
        <v>0.35793357933579334</v>
      </c>
      <c r="L9" s="48"/>
      <c r="M9" s="48"/>
      <c r="N9" s="51" t="str">
        <f>Tabulacao!BC4</f>
        <v>Até 6 meses</v>
      </c>
      <c r="O9" s="52">
        <f>Tabulacao!BD4</f>
        <v>52</v>
      </c>
      <c r="P9" s="53">
        <f>(O9/SUM($O$9:$O$12))</f>
        <v>0.52</v>
      </c>
      <c r="Q9" s="48"/>
      <c r="R9" s="48"/>
      <c r="S9" s="51" t="str">
        <f>Tabulacao!BF4</f>
        <v>Mais de um ano antes de concluir a graduação</v>
      </c>
      <c r="T9" s="52">
        <f>Tabulacao!BG4</f>
        <v>24</v>
      </c>
      <c r="U9" s="53">
        <f>(T9/SUM($T$9:$T$12))</f>
        <v>0.24</v>
      </c>
      <c r="V9" s="48"/>
      <c r="W9" s="48"/>
      <c r="X9" s="51" t="str">
        <f>Tabulacao!BI4</f>
        <v>Através de anúncios em jornais</v>
      </c>
      <c r="Y9" s="52">
        <f>Tabulacao!BJ4</f>
        <v>2</v>
      </c>
      <c r="Z9" s="53">
        <f t="shared" ref="Z9:Z19" si="0">Y9/SUM($Y$9:$Y$19)</f>
        <v>0.02</v>
      </c>
      <c r="AA9" s="48"/>
      <c r="AB9" s="48"/>
      <c r="AC9" s="51" t="str">
        <f>Tabulacao!BL4</f>
        <v>Através de anúncios em jornais</v>
      </c>
      <c r="AD9" s="52">
        <f>Tabulacao!BM4</f>
        <v>2</v>
      </c>
      <c r="AE9" s="53">
        <f t="shared" ref="AE9:AE19" si="1">AD9/SUM($AD$9:$AD$19)</f>
        <v>2.7027027027027029E-2</v>
      </c>
      <c r="AF9" s="48"/>
    </row>
    <row r="10" spans="1:67" x14ac:dyDescent="0.2">
      <c r="B10" s="152"/>
      <c r="C10" s="311"/>
      <c r="D10" s="152"/>
      <c r="E10" s="51" t="str">
        <f>Tabulacao!AZ5</f>
        <v>Sim, iniciei em um novo emprego após concluir a graduação</v>
      </c>
      <c r="F10" s="122">
        <f>Tabulacao!BA5</f>
        <v>100</v>
      </c>
      <c r="G10" s="53">
        <f>F10/$F$12</f>
        <v>0.36900369003690037</v>
      </c>
      <c r="H10" s="48"/>
      <c r="I10" s="51" t="str">
        <f>Tabulacao!AZ5</f>
        <v>Sim, iniciei em um novo emprego após concluir a graduação</v>
      </c>
      <c r="J10" s="52">
        <f>F10</f>
        <v>100</v>
      </c>
      <c r="K10" s="53">
        <f>J10/$J$12</f>
        <v>0.36900369003690037</v>
      </c>
      <c r="L10" s="48"/>
      <c r="M10" s="48"/>
      <c r="N10" s="51" t="str">
        <f>Tabulacao!BC5</f>
        <v>De 6 meses a 1 ano</v>
      </c>
      <c r="O10" s="52">
        <f>Tabulacao!BD5</f>
        <v>28</v>
      </c>
      <c r="P10" s="53">
        <f>(O10/SUM($O$9:$O$12))</f>
        <v>0.28000000000000003</v>
      </c>
      <c r="Q10" s="48"/>
      <c r="R10" s="48"/>
      <c r="S10" s="51" t="str">
        <f>Tabulacao!BF5</f>
        <v>No último ano da graduação</v>
      </c>
      <c r="T10" s="52">
        <f>Tabulacao!BG5</f>
        <v>25</v>
      </c>
      <c r="U10" s="53">
        <f>(T10/SUM($T$9:$T$12))</f>
        <v>0.25</v>
      </c>
      <c r="V10" s="48"/>
      <c r="W10" s="48"/>
      <c r="X10" s="51" t="str">
        <f>Tabulacao!BI5</f>
        <v>Através de agência de emprego</v>
      </c>
      <c r="Y10" s="52">
        <f>Tabulacao!BJ5</f>
        <v>2</v>
      </c>
      <c r="Z10" s="53">
        <f t="shared" si="0"/>
        <v>0.02</v>
      </c>
      <c r="AA10" s="48"/>
      <c r="AB10" s="48"/>
      <c r="AC10" s="51" t="str">
        <f>Tabulacao!BL5</f>
        <v>Através de agência de emprego</v>
      </c>
      <c r="AD10" s="52">
        <f>Tabulacao!BM5</f>
        <v>1</v>
      </c>
      <c r="AE10" s="53">
        <f t="shared" si="1"/>
        <v>1.3513513513513514E-2</v>
      </c>
      <c r="AF10" s="48"/>
    </row>
    <row r="11" spans="1:67" x14ac:dyDescent="0.2">
      <c r="B11" s="152"/>
      <c r="C11" s="311"/>
      <c r="D11" s="152"/>
      <c r="E11" s="51" t="str">
        <f>Tabulacao!AZ6</f>
        <v>Sim, continuei no emprego em que eu já estava durante a graduação</v>
      </c>
      <c r="F11" s="122">
        <f>Tabulacao!BA6</f>
        <v>74</v>
      </c>
      <c r="G11" s="53">
        <f>F11/$F$12</f>
        <v>0.27306273062730629</v>
      </c>
      <c r="H11" s="48"/>
      <c r="I11" s="51" t="str">
        <f>Tabulacao!AZ6</f>
        <v>Sim, continuei no emprego em que eu já estava durante a graduação</v>
      </c>
      <c r="J11" s="52">
        <f>F11</f>
        <v>74</v>
      </c>
      <c r="K11" s="53">
        <f>J11/$J$12</f>
        <v>0.27306273062730629</v>
      </c>
      <c r="L11" s="48"/>
      <c r="M11" s="48"/>
      <c r="N11" s="51" t="str">
        <f>Tabulacao!BC6</f>
        <v>De 1 a 2 anos</v>
      </c>
      <c r="O11" s="52">
        <f>Tabulacao!BD6</f>
        <v>15</v>
      </c>
      <c r="P11" s="53">
        <f>(O11/SUM($O$9:$O$12))</f>
        <v>0.15</v>
      </c>
      <c r="Q11" s="48"/>
      <c r="R11" s="48"/>
      <c r="S11" s="51" t="str">
        <f>Tabulacao!BF6</f>
        <v>Após concluir a graduação</v>
      </c>
      <c r="T11" s="52">
        <f>Tabulacao!BG6</f>
        <v>35</v>
      </c>
      <c r="U11" s="53">
        <f>(T11/SUM($T$9:$T$12))</f>
        <v>0.35</v>
      </c>
      <c r="V11" s="48"/>
      <c r="W11" s="48"/>
      <c r="X11" s="51" t="str">
        <f>Tabulacao!BI6</f>
        <v>Através de redes sociais</v>
      </c>
      <c r="Y11" s="52">
        <f>Tabulacao!BJ6</f>
        <v>7</v>
      </c>
      <c r="Z11" s="53">
        <f t="shared" si="0"/>
        <v>7.0000000000000007E-2</v>
      </c>
      <c r="AA11" s="48"/>
      <c r="AB11" s="48"/>
      <c r="AC11" s="51" t="str">
        <f>Tabulacao!BL6</f>
        <v>Através de redes sociais</v>
      </c>
      <c r="AD11" s="52">
        <f>Tabulacao!BM6</f>
        <v>2</v>
      </c>
      <c r="AE11" s="53">
        <f t="shared" si="1"/>
        <v>2.7027027027027029E-2</v>
      </c>
      <c r="AF11" s="48"/>
    </row>
    <row r="12" spans="1:67" x14ac:dyDescent="0.2">
      <c r="B12" s="152"/>
      <c r="C12" s="311"/>
      <c r="D12" s="152"/>
      <c r="E12" s="143" t="s">
        <v>621</v>
      </c>
      <c r="F12" s="94">
        <f>SUM(F9:F11)</f>
        <v>271</v>
      </c>
      <c r="G12" s="95">
        <f>SUM(G9:G11)</f>
        <v>1</v>
      </c>
      <c r="H12" s="48"/>
      <c r="I12" s="143" t="s">
        <v>621</v>
      </c>
      <c r="J12" s="94">
        <f>SUM(J9:J11)</f>
        <v>271</v>
      </c>
      <c r="K12" s="95">
        <f>SUM(K9:K11)</f>
        <v>1</v>
      </c>
      <c r="L12" s="48"/>
      <c r="M12" s="48"/>
      <c r="N12" s="51" t="str">
        <f>Tabulacao!BC7</f>
        <v>Mais de 2 anos</v>
      </c>
      <c r="O12" s="52">
        <f>Tabulacao!BD7</f>
        <v>5</v>
      </c>
      <c r="P12" s="53">
        <f>(O12/SUM($O$9:$O$12))</f>
        <v>0.05</v>
      </c>
      <c r="Q12" s="48"/>
      <c r="R12" s="48"/>
      <c r="S12" s="51" t="str">
        <f>Tabulacao!BF7</f>
        <v>Comecei a trabalhar sem estar procurando na época</v>
      </c>
      <c r="T12" s="52">
        <f>Tabulacao!BG7</f>
        <v>16</v>
      </c>
      <c r="U12" s="53">
        <f>(T12/SUM($T$9:$T$12))</f>
        <v>0.16</v>
      </c>
      <c r="V12" s="48"/>
      <c r="W12" s="48"/>
      <c r="X12" s="51" t="str">
        <f>Tabulacao!BI7</f>
        <v>Tomei a iniciativa de entrar em contato com o empregador</v>
      </c>
      <c r="Y12" s="52">
        <f>Tabulacao!BJ7</f>
        <v>13</v>
      </c>
      <c r="Z12" s="53">
        <f t="shared" si="0"/>
        <v>0.13</v>
      </c>
      <c r="AA12" s="48"/>
      <c r="AB12" s="48"/>
      <c r="AC12" s="51" t="str">
        <f>Tabulacao!BL7</f>
        <v>Tomei a iniciativa de entrar em contato com o empregador</v>
      </c>
      <c r="AD12" s="52">
        <f>Tabulacao!BM7</f>
        <v>9</v>
      </c>
      <c r="AE12" s="53">
        <f t="shared" si="1"/>
        <v>0.12162162162162163</v>
      </c>
      <c r="AF12" s="48"/>
    </row>
    <row r="13" spans="1:67" x14ac:dyDescent="0.2">
      <c r="B13" s="152"/>
      <c r="C13" s="311"/>
      <c r="D13" s="152"/>
      <c r="E13" s="48"/>
      <c r="F13" s="48"/>
      <c r="G13" s="48"/>
      <c r="H13" s="48"/>
      <c r="I13" s="48"/>
      <c r="J13" s="48"/>
      <c r="K13" s="48"/>
      <c r="L13" s="48"/>
      <c r="M13" s="48"/>
      <c r="N13" s="143" t="s">
        <v>621</v>
      </c>
      <c r="O13" s="94">
        <f>SUM(O9:O12)</f>
        <v>100</v>
      </c>
      <c r="P13" s="95">
        <f>SUM(P9:P12)</f>
        <v>1</v>
      </c>
      <c r="Q13" s="48"/>
      <c r="R13" s="48"/>
      <c r="S13" s="143" t="s">
        <v>621</v>
      </c>
      <c r="T13" s="94">
        <f>SUM(T9:T12)</f>
        <v>100</v>
      </c>
      <c r="U13" s="95">
        <f>SUM(U9:U12)</f>
        <v>1</v>
      </c>
      <c r="V13" s="48"/>
      <c r="W13" s="48"/>
      <c r="X13" s="51" t="str">
        <f>Tabulacao!BI8</f>
        <v>Fui procurado pelo empregador</v>
      </c>
      <c r="Y13" s="52">
        <f>Tabulacao!BJ8</f>
        <v>8</v>
      </c>
      <c r="Z13" s="53">
        <f t="shared" si="0"/>
        <v>0.08</v>
      </c>
      <c r="AA13" s="48"/>
      <c r="AB13" s="48"/>
      <c r="AC13" s="51" t="str">
        <f>Tabulacao!BL8</f>
        <v>Fui procurado pelo empregador</v>
      </c>
      <c r="AD13" s="52">
        <f>Tabulacao!BM8</f>
        <v>4</v>
      </c>
      <c r="AE13" s="53">
        <f t="shared" si="1"/>
        <v>5.4054054054054057E-2</v>
      </c>
      <c r="AF13" s="48"/>
    </row>
    <row r="14" spans="1:67" x14ac:dyDescent="0.2">
      <c r="B14" s="152"/>
      <c r="C14" s="311"/>
      <c r="D14" s="152"/>
      <c r="E14" s="48"/>
      <c r="F14" s="48"/>
      <c r="G14" s="48"/>
      <c r="H14" s="48"/>
      <c r="I14" s="48"/>
      <c r="J14" s="48"/>
      <c r="K14" s="48"/>
      <c r="L14" s="48"/>
      <c r="M14" s="48"/>
      <c r="N14" s="48"/>
      <c r="O14" s="48"/>
      <c r="P14" s="48"/>
      <c r="Q14" s="48"/>
      <c r="R14" s="48"/>
      <c r="S14" s="48"/>
      <c r="T14" s="48"/>
      <c r="U14" s="48"/>
      <c r="V14" s="48"/>
      <c r="W14" s="48"/>
      <c r="X14" s="51" t="str">
        <f>Tabulacao!BI9</f>
        <v>Através de estágio durante a graduação</v>
      </c>
      <c r="Y14" s="52">
        <f>Tabulacao!BJ9</f>
        <v>9</v>
      </c>
      <c r="Z14" s="53">
        <f t="shared" si="0"/>
        <v>0.09</v>
      </c>
      <c r="AA14" s="48"/>
      <c r="AB14" s="48"/>
      <c r="AC14" s="51" t="str">
        <f>Tabulacao!BL9</f>
        <v>Através de estágio durante graduação</v>
      </c>
      <c r="AD14" s="52">
        <f>Tabulacao!BM9</f>
        <v>13</v>
      </c>
      <c r="AE14" s="53">
        <f t="shared" si="1"/>
        <v>0.17567567567567569</v>
      </c>
      <c r="AF14" s="48"/>
    </row>
    <row r="15" spans="1:67" x14ac:dyDescent="0.2">
      <c r="B15" s="152"/>
      <c r="C15" s="311"/>
      <c r="D15" s="152"/>
      <c r="E15" s="48"/>
      <c r="F15" s="48"/>
      <c r="G15" s="48"/>
      <c r="H15" s="48"/>
      <c r="I15" s="48"/>
      <c r="J15" s="48"/>
      <c r="K15" s="48"/>
      <c r="L15" s="48"/>
      <c r="M15" s="48"/>
      <c r="N15" s="48"/>
      <c r="O15" s="48"/>
      <c r="P15" s="48"/>
      <c r="Q15" s="48"/>
      <c r="R15" s="48"/>
      <c r="S15" s="48"/>
      <c r="T15" s="48"/>
      <c r="U15" s="48"/>
      <c r="V15" s="48"/>
      <c r="W15" s="48"/>
      <c r="X15" s="51" t="str">
        <f>Tabulacao!BI10</f>
        <v>Através de familiares, amigos ou conhecidos</v>
      </c>
      <c r="Y15" s="52">
        <f>Tabulacao!BJ10</f>
        <v>37</v>
      </c>
      <c r="Z15" s="53">
        <f t="shared" si="0"/>
        <v>0.37</v>
      </c>
      <c r="AA15" s="48"/>
      <c r="AB15" s="48"/>
      <c r="AC15" s="51" t="str">
        <f>Tabulacao!BL10</f>
        <v>Através de familiares, amigos ou conhecidos</v>
      </c>
      <c r="AD15" s="52">
        <f>Tabulacao!BM10</f>
        <v>20</v>
      </c>
      <c r="AE15" s="53">
        <f t="shared" si="1"/>
        <v>0.27027027027027029</v>
      </c>
      <c r="AF15" s="48"/>
    </row>
    <row r="16" spans="1:67" x14ac:dyDescent="0.2">
      <c r="B16" s="152"/>
      <c r="C16" s="311"/>
      <c r="D16" s="152"/>
      <c r="E16" s="48"/>
      <c r="F16" s="48"/>
      <c r="G16" s="48"/>
      <c r="H16" s="48"/>
      <c r="I16" s="48"/>
      <c r="J16" s="48"/>
      <c r="K16" s="48"/>
      <c r="L16" s="48"/>
      <c r="M16" s="48"/>
      <c r="N16" s="48"/>
      <c r="O16" s="48"/>
      <c r="P16" s="48"/>
      <c r="Q16" s="48"/>
      <c r="R16" s="48"/>
      <c r="S16" s="48"/>
      <c r="T16" s="48"/>
      <c r="U16" s="48"/>
      <c r="V16" s="48"/>
      <c r="W16" s="48"/>
      <c r="X16" s="51" t="str">
        <f>Tabulacao!BI11</f>
        <v>Através da ajuda do Instituto Federal de Sergipe</v>
      </c>
      <c r="Y16" s="52">
        <f>Tabulacao!BJ11</f>
        <v>4</v>
      </c>
      <c r="Z16" s="53">
        <f t="shared" si="0"/>
        <v>0.04</v>
      </c>
      <c r="AA16" s="48"/>
      <c r="AB16" s="48"/>
      <c r="AC16" s="51" t="str">
        <f>Tabulacao!BL11</f>
        <v>Através da ajuda do Instituto Federal de Sergipe</v>
      </c>
      <c r="AD16" s="52">
        <f>Tabulacao!BM11</f>
        <v>1</v>
      </c>
      <c r="AE16" s="53">
        <f t="shared" si="1"/>
        <v>1.3513513513513514E-2</v>
      </c>
      <c r="AF16" s="48"/>
    </row>
    <row r="17" spans="2:32" x14ac:dyDescent="0.2">
      <c r="B17" s="152"/>
      <c r="C17" s="311"/>
      <c r="D17" s="152"/>
      <c r="E17" s="146" t="s">
        <v>1104</v>
      </c>
      <c r="F17" s="48"/>
      <c r="G17" s="48"/>
      <c r="H17" s="48"/>
      <c r="I17" s="48"/>
      <c r="J17" s="48"/>
      <c r="K17" s="48"/>
      <c r="L17" s="48"/>
      <c r="M17" s="48"/>
      <c r="N17" s="48"/>
      <c r="O17" s="48"/>
      <c r="P17" s="48"/>
      <c r="Q17" s="48"/>
      <c r="R17" s="48"/>
      <c r="S17" s="48"/>
      <c r="T17" s="48"/>
      <c r="U17" s="48"/>
      <c r="V17" s="48"/>
      <c r="W17" s="48"/>
      <c r="X17" s="51" t="str">
        <f>Tabulacao!BI12</f>
        <v>Criei meu próprio negócio</v>
      </c>
      <c r="Y17" s="52">
        <f>Tabulacao!BJ12</f>
        <v>1</v>
      </c>
      <c r="Z17" s="53">
        <f t="shared" si="0"/>
        <v>0.01</v>
      </c>
      <c r="AA17" s="48"/>
      <c r="AB17" s="48"/>
      <c r="AC17" s="51" t="str">
        <f>Tabulacao!BL12</f>
        <v>Criei meu próprio negócio</v>
      </c>
      <c r="AD17" s="52">
        <f>Tabulacao!BM12</f>
        <v>4</v>
      </c>
      <c r="AE17" s="53">
        <f t="shared" si="1"/>
        <v>5.4054054054054057E-2</v>
      </c>
      <c r="AF17" s="48"/>
    </row>
    <row r="18" spans="2:32" x14ac:dyDescent="0.2">
      <c r="B18" s="152"/>
      <c r="C18" s="311"/>
      <c r="D18" s="152"/>
      <c r="E18" s="48"/>
      <c r="F18" s="48"/>
      <c r="G18" s="48"/>
      <c r="H18" s="48"/>
      <c r="I18" s="48"/>
      <c r="J18" s="48"/>
      <c r="K18" s="48"/>
      <c r="L18" s="48"/>
      <c r="M18" s="48"/>
      <c r="N18" s="48"/>
      <c r="O18" s="48"/>
      <c r="P18" s="48"/>
      <c r="Q18" s="48"/>
      <c r="R18" s="48"/>
      <c r="S18" s="48"/>
      <c r="T18" s="48"/>
      <c r="U18" s="48"/>
      <c r="V18" s="48"/>
      <c r="W18" s="48"/>
      <c r="X18" s="51" t="str">
        <f>Tabulacao!BI13</f>
        <v>Prestei concurso</v>
      </c>
      <c r="Y18" s="52">
        <f>Tabulacao!BJ13</f>
        <v>16</v>
      </c>
      <c r="Z18" s="53">
        <f t="shared" si="0"/>
        <v>0.16</v>
      </c>
      <c r="AA18" s="48"/>
      <c r="AB18" s="48"/>
      <c r="AC18" s="51" t="str">
        <f>Tabulacao!BL13</f>
        <v>Prestei concurso público</v>
      </c>
      <c r="AD18" s="52">
        <f>Tabulacao!BM13</f>
        <v>18</v>
      </c>
      <c r="AE18" s="53">
        <f t="shared" si="1"/>
        <v>0.24324324324324326</v>
      </c>
      <c r="AF18" s="48"/>
    </row>
    <row r="19" spans="2:32" x14ac:dyDescent="0.2">
      <c r="B19" s="152"/>
      <c r="C19" s="311"/>
      <c r="D19" s="152"/>
      <c r="E19" s="148" t="s">
        <v>124</v>
      </c>
      <c r="F19" s="48"/>
      <c r="G19" s="48"/>
      <c r="H19" s="48"/>
      <c r="I19" s="48"/>
      <c r="J19" s="48"/>
      <c r="K19" s="48"/>
      <c r="L19" s="48"/>
      <c r="M19" s="48"/>
      <c r="N19" s="48"/>
      <c r="O19" s="48"/>
      <c r="P19" s="48"/>
      <c r="Q19" s="48"/>
      <c r="R19" s="48"/>
      <c r="S19" s="48"/>
      <c r="T19" s="48"/>
      <c r="U19" s="48"/>
      <c r="V19" s="48"/>
      <c r="W19" s="48"/>
      <c r="X19" s="51" t="str">
        <f>Tabulacao!BI14</f>
        <v>Outros</v>
      </c>
      <c r="Y19" s="52">
        <f>$J$10-SUM(Y9:Y18)</f>
        <v>1</v>
      </c>
      <c r="Z19" s="53">
        <f t="shared" si="0"/>
        <v>0.01</v>
      </c>
      <c r="AA19" s="48"/>
      <c r="AB19" s="48"/>
      <c r="AC19" s="51" t="str">
        <f>Tabulacao!BL14</f>
        <v>Outros</v>
      </c>
      <c r="AD19" s="52">
        <f>Tabulacao!BM14</f>
        <v>0</v>
      </c>
      <c r="AE19" s="53">
        <f t="shared" si="1"/>
        <v>0</v>
      </c>
      <c r="AF19" s="48"/>
    </row>
    <row r="20" spans="2:32" ht="12.75" customHeight="1" x14ac:dyDescent="0.2">
      <c r="B20" s="152"/>
      <c r="C20" s="311"/>
      <c r="D20" s="152"/>
      <c r="E20" s="137" t="str">
        <f>E8</f>
        <v>Você já teve algum emprego remunerado desde que se formou?</v>
      </c>
      <c r="F20" s="138" t="str">
        <f>F8</f>
        <v>f</v>
      </c>
      <c r="G20" s="138" t="str">
        <f>G8</f>
        <v>%</v>
      </c>
      <c r="H20" s="48"/>
      <c r="I20" s="48"/>
      <c r="J20" s="48"/>
      <c r="K20" s="48"/>
      <c r="L20" s="48"/>
      <c r="M20" s="48"/>
      <c r="N20" s="48"/>
      <c r="O20" s="48"/>
      <c r="P20" s="48"/>
      <c r="Q20" s="48"/>
      <c r="R20" s="48"/>
      <c r="S20" s="48"/>
      <c r="T20" s="48"/>
      <c r="U20" s="48"/>
      <c r="V20" s="48"/>
      <c r="W20" s="48"/>
      <c r="X20" s="143" t="s">
        <v>621</v>
      </c>
      <c r="Y20" s="94">
        <f>SUM(Y9:Y19)</f>
        <v>100</v>
      </c>
      <c r="Z20" s="95">
        <f>SUM(Z9:Z19)</f>
        <v>1</v>
      </c>
      <c r="AA20" s="48"/>
      <c r="AB20" s="48"/>
      <c r="AC20" s="143" t="s">
        <v>621</v>
      </c>
      <c r="AD20" s="94">
        <f>SUM(AD9:AD19)</f>
        <v>74</v>
      </c>
      <c r="AE20" s="95">
        <f>SUM(AE9:AE19)</f>
        <v>1</v>
      </c>
      <c r="AF20" s="48"/>
    </row>
    <row r="21" spans="2:32" x14ac:dyDescent="0.2">
      <c r="B21" s="152"/>
      <c r="C21" s="311"/>
      <c r="D21" s="152"/>
      <c r="E21" s="51" t="str">
        <f>E9</f>
        <v>Não</v>
      </c>
      <c r="F21" s="122">
        <f>COUNTIFS(Respostas_Formatadas!$C:$C,TransEstTrab!$E$19,Respostas_Formatadas!$Y:$Y,TransEstTrab!$E21)</f>
        <v>12</v>
      </c>
      <c r="G21" s="53">
        <f>IFERROR(F21/$F$24,"-")</f>
        <v>0.26666666666666666</v>
      </c>
      <c r="H21" s="48"/>
      <c r="I21" s="48"/>
      <c r="J21" s="48"/>
      <c r="K21" s="48"/>
      <c r="L21" s="48"/>
      <c r="M21" s="48"/>
      <c r="N21" s="48"/>
      <c r="O21" s="48"/>
      <c r="P21" s="48"/>
      <c r="Q21" s="48"/>
      <c r="R21" s="48"/>
      <c r="S21" s="48"/>
      <c r="T21" s="48"/>
      <c r="U21" s="48"/>
      <c r="V21" s="48"/>
      <c r="W21" s="48"/>
      <c r="X21" s="48"/>
      <c r="Y21" s="48"/>
      <c r="Z21" s="48"/>
      <c r="AA21" s="48"/>
      <c r="AB21" s="48"/>
      <c r="AC21" s="48"/>
      <c r="AD21" s="48"/>
      <c r="AE21" s="48"/>
      <c r="AF21" s="48"/>
    </row>
    <row r="22" spans="2:32" x14ac:dyDescent="0.2">
      <c r="B22" s="152"/>
      <c r="C22" s="311"/>
      <c r="D22" s="152"/>
      <c r="E22" s="51" t="str">
        <f>E10</f>
        <v>Sim, iniciei em um novo emprego após concluir a graduação</v>
      </c>
      <c r="F22" s="122">
        <f>COUNTIFS(Respostas_Formatadas!$C:$C,TransEstTrab!$E$19,Respostas_Formatadas!$Y:$Y,TransEstTrab!$E22)</f>
        <v>19</v>
      </c>
      <c r="G22" s="53">
        <f>IFERROR(F22/$F$24,"-")</f>
        <v>0.42222222222222222</v>
      </c>
      <c r="H22" s="48"/>
      <c r="I22" s="48"/>
      <c r="J22" s="48"/>
      <c r="K22" s="48"/>
      <c r="L22" s="48"/>
      <c r="M22" s="48"/>
      <c r="N22" s="48"/>
      <c r="O22" s="48"/>
      <c r="P22" s="48"/>
      <c r="Q22" s="48"/>
      <c r="R22" s="48"/>
      <c r="S22" s="48"/>
      <c r="T22" s="48"/>
      <c r="U22" s="48"/>
      <c r="V22" s="48"/>
      <c r="W22" s="48"/>
      <c r="X22" s="48"/>
      <c r="Y22" s="48"/>
      <c r="Z22" s="48"/>
      <c r="AA22" s="48"/>
      <c r="AB22" s="48"/>
      <c r="AC22" s="48"/>
      <c r="AD22" s="48"/>
      <c r="AE22" s="48"/>
      <c r="AF22" s="48"/>
    </row>
    <row r="23" spans="2:32" x14ac:dyDescent="0.2">
      <c r="B23" s="152"/>
      <c r="C23" s="311"/>
      <c r="D23" s="152"/>
      <c r="E23" s="51" t="str">
        <f>E11</f>
        <v>Sim, continuei no emprego em que eu já estava durante a graduação</v>
      </c>
      <c r="F23" s="122">
        <f>COUNTIFS(Respostas_Formatadas!$C:$C,TransEstTrab!$E$19,Respostas_Formatadas!$Y:$Y,TransEstTrab!$E23)</f>
        <v>14</v>
      </c>
      <c r="G23" s="53">
        <f>IFERROR(F23/$F$24,"-")</f>
        <v>0.31111111111111112</v>
      </c>
      <c r="H23" s="48"/>
      <c r="I23" s="48"/>
      <c r="J23" s="48"/>
      <c r="K23" s="48"/>
      <c r="L23" s="48"/>
      <c r="M23" s="48"/>
      <c r="N23" s="48"/>
      <c r="O23" s="48"/>
      <c r="P23" s="48"/>
      <c r="Q23" s="48"/>
      <c r="R23" s="48"/>
      <c r="S23" s="48"/>
      <c r="T23" s="48"/>
      <c r="U23" s="48"/>
      <c r="V23" s="48"/>
      <c r="W23" s="48"/>
      <c r="X23" s="225"/>
      <c r="Y23" s="48"/>
      <c r="Z23" s="48"/>
      <c r="AA23" s="48"/>
      <c r="AB23" s="48"/>
      <c r="AC23" s="48"/>
      <c r="AD23" s="48"/>
      <c r="AE23" s="48"/>
      <c r="AF23" s="48"/>
    </row>
    <row r="24" spans="2:32" x14ac:dyDescent="0.2">
      <c r="B24" s="152"/>
      <c r="C24" s="311"/>
      <c r="D24" s="152"/>
      <c r="E24" s="143" t="str">
        <f>E12</f>
        <v>Total</v>
      </c>
      <c r="F24" s="94">
        <f>SUM(F21:F23)</f>
        <v>45</v>
      </c>
      <c r="G24" s="95">
        <f>SUM(G21:G23)</f>
        <v>1</v>
      </c>
      <c r="H24" s="48"/>
      <c r="I24" s="48"/>
      <c r="J24" s="48"/>
      <c r="K24" s="48"/>
      <c r="L24" s="48"/>
      <c r="M24" s="48"/>
      <c r="N24" s="48"/>
      <c r="O24" s="48"/>
      <c r="P24" s="48"/>
      <c r="Q24" s="48"/>
      <c r="R24" s="48"/>
      <c r="S24" s="48"/>
      <c r="T24" s="48"/>
      <c r="U24" s="48"/>
      <c r="V24" s="48"/>
      <c r="W24" s="48"/>
      <c r="X24" s="48"/>
      <c r="Y24" s="48"/>
      <c r="Z24" s="48"/>
      <c r="AA24" s="48"/>
      <c r="AB24" s="48"/>
      <c r="AC24" s="225"/>
      <c r="AD24" s="48"/>
      <c r="AE24" s="48"/>
      <c r="AF24" s="48"/>
    </row>
    <row r="25" spans="2:32" x14ac:dyDescent="0.2">
      <c r="B25" s="152"/>
      <c r="C25" s="311"/>
      <c r="D25" s="152"/>
      <c r="E25" s="48"/>
      <c r="F25" s="48"/>
      <c r="G25" s="48"/>
      <c r="H25" s="48"/>
      <c r="I25" s="48"/>
      <c r="J25" s="48"/>
      <c r="K25" s="48"/>
      <c r="L25" s="48"/>
      <c r="M25" s="48"/>
      <c r="N25" s="48"/>
      <c r="O25" s="48"/>
      <c r="P25" s="48"/>
      <c r="Q25" s="48"/>
      <c r="R25" s="48"/>
      <c r="S25" s="48"/>
      <c r="T25" s="48"/>
      <c r="U25" s="48"/>
      <c r="V25" s="48"/>
      <c r="W25" s="48"/>
      <c r="X25" s="48"/>
      <c r="Y25" s="48"/>
      <c r="Z25" s="48"/>
      <c r="AA25" s="48"/>
      <c r="AB25" s="48"/>
      <c r="AC25" s="48"/>
      <c r="AD25" s="48"/>
      <c r="AE25" s="48"/>
      <c r="AF25" s="48"/>
    </row>
    <row r="26" spans="2:32" x14ac:dyDescent="0.2">
      <c r="B26" s="152"/>
      <c r="C26" s="311"/>
      <c r="D26" s="152"/>
      <c r="E26" s="48"/>
      <c r="F26" s="48"/>
      <c r="G26" s="48"/>
      <c r="H26" s="48"/>
      <c r="I26" s="48"/>
      <c r="J26" s="48"/>
      <c r="K26" s="48"/>
      <c r="L26" s="48"/>
      <c r="M26" s="48"/>
      <c r="N26" s="48"/>
      <c r="O26" s="48"/>
      <c r="P26" s="48"/>
      <c r="Q26" s="48"/>
      <c r="R26" s="48"/>
      <c r="S26" s="48"/>
      <c r="T26" s="48"/>
      <c r="U26" s="48"/>
      <c r="V26" s="48"/>
      <c r="W26" s="48"/>
      <c r="X26" s="48"/>
      <c r="Y26" s="48"/>
      <c r="Z26" s="48"/>
      <c r="AA26" s="48"/>
      <c r="AB26" s="48"/>
      <c r="AC26" s="48"/>
      <c r="AD26" s="48"/>
      <c r="AE26" s="48"/>
      <c r="AF26" s="48"/>
    </row>
    <row r="27" spans="2:32" x14ac:dyDescent="0.2">
      <c r="B27" s="152"/>
      <c r="C27" s="311"/>
      <c r="D27" s="152"/>
      <c r="E27" s="48"/>
      <c r="F27" s="48"/>
      <c r="G27" s="48"/>
      <c r="H27" s="48"/>
      <c r="I27" s="48"/>
      <c r="J27" s="48"/>
      <c r="K27" s="48"/>
      <c r="L27" s="48"/>
      <c r="M27" s="48"/>
      <c r="N27" s="48"/>
      <c r="O27" s="48"/>
      <c r="P27" s="48"/>
      <c r="Q27" s="48"/>
      <c r="R27" s="48"/>
      <c r="S27" s="48"/>
      <c r="T27" s="48"/>
      <c r="U27" s="48"/>
      <c r="V27" s="48"/>
      <c r="W27" s="48"/>
      <c r="X27" s="48"/>
      <c r="Y27" s="48"/>
      <c r="Z27" s="48"/>
      <c r="AA27" s="48"/>
      <c r="AB27" s="48"/>
      <c r="AC27" s="48"/>
      <c r="AD27" s="48"/>
      <c r="AE27" s="48"/>
      <c r="AF27" s="48"/>
    </row>
    <row r="28" spans="2:32" x14ac:dyDescent="0.2">
      <c r="B28" s="152"/>
      <c r="C28" s="311"/>
      <c r="D28" s="152"/>
      <c r="E28" s="48"/>
      <c r="F28" s="48"/>
      <c r="G28" s="48"/>
      <c r="H28" s="48"/>
      <c r="I28" s="156" t="s">
        <v>980</v>
      </c>
      <c r="J28" s="48"/>
      <c r="K28" s="48"/>
      <c r="L28" s="48"/>
      <c r="M28" s="48"/>
      <c r="N28" s="146" t="s">
        <v>981</v>
      </c>
      <c r="O28" s="48"/>
      <c r="P28" s="48"/>
      <c r="Q28" s="48"/>
      <c r="R28" s="48"/>
      <c r="S28" s="146" t="s">
        <v>1175</v>
      </c>
      <c r="T28" s="48"/>
      <c r="U28" s="48"/>
      <c r="V28" s="48"/>
      <c r="W28" s="48"/>
      <c r="X28" s="146" t="s">
        <v>982</v>
      </c>
      <c r="Y28" s="48"/>
      <c r="Z28" s="48"/>
      <c r="AA28" s="48"/>
      <c r="AB28" s="48"/>
      <c r="AC28" s="146" t="s">
        <v>982</v>
      </c>
      <c r="AD28" s="48"/>
      <c r="AE28" s="48"/>
      <c r="AF28" s="48"/>
    </row>
    <row r="29" spans="2:32" x14ac:dyDescent="0.2">
      <c r="B29" s="152"/>
      <c r="C29" s="311"/>
      <c r="D29" s="152"/>
      <c r="E29" s="48"/>
      <c r="F29" s="48"/>
      <c r="G29" s="48"/>
      <c r="H29" s="48"/>
      <c r="I29" s="48"/>
      <c r="J29" s="48"/>
      <c r="K29" s="48"/>
      <c r="L29" s="48"/>
      <c r="M29" s="48"/>
      <c r="N29" s="48"/>
      <c r="O29" s="48"/>
      <c r="P29" s="48"/>
      <c r="Q29" s="48"/>
      <c r="R29" s="48"/>
      <c r="S29" s="48"/>
      <c r="T29" s="48"/>
      <c r="U29" s="48"/>
      <c r="V29" s="48"/>
      <c r="W29" s="48"/>
      <c r="X29" s="48"/>
      <c r="Y29" s="48"/>
      <c r="Z29" s="48"/>
      <c r="AA29" s="48"/>
      <c r="AB29" s="48"/>
      <c r="AC29" s="48"/>
      <c r="AD29" s="48"/>
      <c r="AE29" s="48"/>
      <c r="AF29" s="48"/>
    </row>
    <row r="30" spans="2:32" x14ac:dyDescent="0.2">
      <c r="B30" s="152"/>
      <c r="C30" s="311"/>
      <c r="D30" s="152"/>
      <c r="E30" s="48"/>
      <c r="F30" s="48"/>
      <c r="G30" s="48"/>
      <c r="H30" s="341" t="s">
        <v>1159</v>
      </c>
      <c r="I30" s="261" t="s">
        <v>120</v>
      </c>
      <c r="J30" s="48"/>
      <c r="K30" s="48"/>
      <c r="L30" s="48"/>
      <c r="M30" s="341" t="s">
        <v>1159</v>
      </c>
      <c r="N30" s="261" t="s">
        <v>125</v>
      </c>
      <c r="O30" s="48"/>
      <c r="P30" s="48"/>
      <c r="Q30" s="48"/>
      <c r="R30" s="341" t="s">
        <v>1159</v>
      </c>
      <c r="S30" s="261" t="s">
        <v>120</v>
      </c>
      <c r="T30" s="48"/>
      <c r="U30" s="48"/>
      <c r="V30" s="48"/>
      <c r="W30" s="341" t="s">
        <v>1159</v>
      </c>
      <c r="X30" s="261" t="s">
        <v>120</v>
      </c>
      <c r="Y30" s="48"/>
      <c r="Z30" s="48"/>
      <c r="AA30" s="48"/>
      <c r="AB30" s="341" t="s">
        <v>1159</v>
      </c>
      <c r="AC30" s="261" t="s">
        <v>120</v>
      </c>
      <c r="AD30" s="48"/>
      <c r="AE30" s="48"/>
      <c r="AF30" s="48"/>
    </row>
    <row r="31" spans="2:32" x14ac:dyDescent="0.2">
      <c r="B31" s="152"/>
      <c r="C31" s="311"/>
      <c r="D31" s="152"/>
      <c r="E31" s="48"/>
      <c r="F31" s="48"/>
      <c r="G31" s="48"/>
      <c r="H31" s="48"/>
      <c r="I31" s="194" t="str">
        <f>I8</f>
        <v>Já teve algum emprego remunerado desde que se formou?</v>
      </c>
      <c r="J31" s="187" t="str">
        <f>J8</f>
        <v>f</v>
      </c>
      <c r="K31" s="187" t="str">
        <f>K8</f>
        <v>%</v>
      </c>
      <c r="L31" s="48"/>
      <c r="M31" s="48"/>
      <c r="N31" s="194" t="str">
        <f>N8</f>
        <v>Tempo de formado até entrar no Mercado de Trabalho</v>
      </c>
      <c r="O31" s="187" t="str">
        <f>O8</f>
        <v>f</v>
      </c>
      <c r="P31" s="187" t="str">
        <f>P8</f>
        <v>%</v>
      </c>
      <c r="Q31" s="48"/>
      <c r="R31" s="48"/>
      <c r="S31" s="194" t="str">
        <f>S8</f>
        <v>Tempo em que começaram a procurar por um emprego</v>
      </c>
      <c r="T31" s="187" t="str">
        <f>T8</f>
        <v>f</v>
      </c>
      <c r="U31" s="187" t="str">
        <f>U8</f>
        <v>%</v>
      </c>
      <c r="V31" s="48"/>
      <c r="W31" s="48"/>
      <c r="X31" s="194" t="str">
        <f>X8</f>
        <v>Canais de acesso à vaga no mercado de trabalho</v>
      </c>
      <c r="Y31" s="187" t="str">
        <f>Y8</f>
        <v>f</v>
      </c>
      <c r="Z31" s="187" t="str">
        <f>Z8</f>
        <v>%</v>
      </c>
      <c r="AA31" s="48"/>
      <c r="AB31" s="48"/>
      <c r="AC31" s="194" t="str">
        <f>AC8</f>
        <v>Canais de acesso à vaga no mercado de trabalho</v>
      </c>
      <c r="AD31" s="187" t="str">
        <f>AD8</f>
        <v>f</v>
      </c>
      <c r="AE31" s="187" t="str">
        <f>AE8</f>
        <v>%</v>
      </c>
      <c r="AF31" s="48"/>
    </row>
    <row r="32" spans="2:32" x14ac:dyDescent="0.2">
      <c r="B32" s="152"/>
      <c r="C32" s="311"/>
      <c r="D32" s="152"/>
      <c r="E32" s="48"/>
      <c r="F32" s="48"/>
      <c r="G32" s="48"/>
      <c r="H32" s="48"/>
      <c r="I32" s="51" t="str">
        <f>I9</f>
        <v>Não</v>
      </c>
      <c r="J32" s="52">
        <f>IFERROR(COUNTIFS(Respostas_Formatadas!$C:$C,TransEstTrab!$I$30,Respostas_Formatadas!$Y:$Y,TransEstTrab!$I32),"-")</f>
        <v>1</v>
      </c>
      <c r="K32" s="53">
        <f>J32/SUM($J$32:$J$34)</f>
        <v>5.2631578947368418E-2</v>
      </c>
      <c r="L32" s="48"/>
      <c r="M32" s="48"/>
      <c r="N32" s="51" t="str">
        <f>N9</f>
        <v>Até 6 meses</v>
      </c>
      <c r="O32" s="52">
        <f>IFERROR(COUNTIFS(Respostas_Formatadas!$C:$C,TransEstTrab!$N$30,Respostas_Formatadas!$Z:$Z,TransEstTrab!$N32),"-")</f>
        <v>9</v>
      </c>
      <c r="P32" s="53">
        <f>O32/SUM($O$32:$O$35)</f>
        <v>0.75</v>
      </c>
      <c r="Q32" s="48"/>
      <c r="R32" s="48"/>
      <c r="S32" s="51" t="str">
        <f>S9</f>
        <v>Mais de um ano antes de concluir a graduação</v>
      </c>
      <c r="T32" s="52">
        <f>IFERROR(COUNTIFS(Respostas_Formatadas!$C:$C,TransEstTrab!$S$30,Respostas_Formatadas!$AA:$AA,TransEstTrab!$S32),"-")</f>
        <v>0</v>
      </c>
      <c r="U32" s="53">
        <f>T32/SUM($T$32:$T$35)</f>
        <v>0</v>
      </c>
      <c r="V32" s="48"/>
      <c r="W32" s="48"/>
      <c r="X32" s="51" t="str">
        <f t="shared" ref="X32:X41" si="2">X9</f>
        <v>Através de anúncios em jornais</v>
      </c>
      <c r="Y32" s="52">
        <f>IFERROR(COUNTIFS(Respostas_Formatadas!$C:$C,TransEstTrab!$X$30,Respostas_Formatadas!$AB:$AB,TransEstTrab!$X32),"-")</f>
        <v>1</v>
      </c>
      <c r="Z32" s="53">
        <f t="shared" ref="Z32:Z41" si="3">Y32/SUM($Y$32:$Y$41)</f>
        <v>0.14285714285714285</v>
      </c>
      <c r="AA32" s="48"/>
      <c r="AB32" s="48"/>
      <c r="AC32" s="51" t="str">
        <f t="shared" ref="AC32:AC41" si="4">AC9</f>
        <v>Através de anúncios em jornais</v>
      </c>
      <c r="AD32" s="52">
        <f>IFERROR(COUNTIFS(Respostas_Formatadas!$C:$C,TransEstTrab!$AC$30,Respostas_Formatadas!$AC:$AC,TransEstTrab!$AC32),"-")</f>
        <v>0</v>
      </c>
      <c r="AE32" s="53">
        <f t="shared" ref="AE32:AE41" si="5">IFERROR(AD32/SUM($AD$32:$AD$41),"-")</f>
        <v>0</v>
      </c>
      <c r="AF32" s="48"/>
    </row>
    <row r="33" spans="2:32" x14ac:dyDescent="0.2">
      <c r="B33" s="152"/>
      <c r="C33" s="311"/>
      <c r="D33" s="152"/>
      <c r="E33" s="48"/>
      <c r="F33" s="48"/>
      <c r="G33" s="48"/>
      <c r="H33" s="48"/>
      <c r="I33" s="51" t="str">
        <f>I10</f>
        <v>Sim, iniciei em um novo emprego após concluir a graduação</v>
      </c>
      <c r="J33" s="52">
        <f>IFERROR(COUNTIFS(Respostas_Formatadas!$C:$C,TransEstTrab!$I$30,Respostas_Formatadas!$Y:$Y,TransEstTrab!$I33),"-")</f>
        <v>7</v>
      </c>
      <c r="K33" s="53">
        <f>J33/SUM($J$32:$J$34)</f>
        <v>0.36842105263157893</v>
      </c>
      <c r="L33" s="48"/>
      <c r="M33" s="48"/>
      <c r="N33" s="51" t="str">
        <f>N10</f>
        <v>De 6 meses a 1 ano</v>
      </c>
      <c r="O33" s="52">
        <f>IFERROR(COUNTIFS(Respostas_Formatadas!$C:$C,TransEstTrab!$N$30,Respostas_Formatadas!$Z:$Z,TransEstTrab!$N33),"-")</f>
        <v>2</v>
      </c>
      <c r="P33" s="53">
        <f>O33/SUM($O$32:$O$35)</f>
        <v>0.16666666666666666</v>
      </c>
      <c r="Q33" s="48"/>
      <c r="R33" s="48"/>
      <c r="S33" s="51" t="str">
        <f>S10</f>
        <v>No último ano da graduação</v>
      </c>
      <c r="T33" s="52">
        <f>IFERROR(COUNTIFS(Respostas_Formatadas!$C:$C,TransEstTrab!$S$30,Respostas_Formatadas!$AA:$AA,TransEstTrab!$S33),"-")</f>
        <v>0</v>
      </c>
      <c r="U33" s="53">
        <f>T33/SUM($T$32:$T$35)</f>
        <v>0</v>
      </c>
      <c r="V33" s="48"/>
      <c r="W33" s="48"/>
      <c r="X33" s="51" t="str">
        <f t="shared" si="2"/>
        <v>Através de agência de emprego</v>
      </c>
      <c r="Y33" s="52">
        <f>IFERROR(COUNTIFS(Respostas_Formatadas!$C:$C,TransEstTrab!$X$30,Respostas_Formatadas!$AB:$AB,TransEstTrab!$X33),"-")</f>
        <v>0</v>
      </c>
      <c r="Z33" s="53">
        <f t="shared" si="3"/>
        <v>0</v>
      </c>
      <c r="AA33" s="48"/>
      <c r="AB33" s="48"/>
      <c r="AC33" s="51" t="str">
        <f t="shared" si="4"/>
        <v>Através de agência de emprego</v>
      </c>
      <c r="AD33" s="52">
        <f>IFERROR(COUNTIFS(Respostas_Formatadas!$C:$C,TransEstTrab!$AC$30,Respostas_Formatadas!$AC:$AC,TransEstTrab!$AC33),"-")</f>
        <v>0</v>
      </c>
      <c r="AE33" s="53">
        <f t="shared" si="5"/>
        <v>0</v>
      </c>
      <c r="AF33" s="48"/>
    </row>
    <row r="34" spans="2:32" x14ac:dyDescent="0.2">
      <c r="B34" s="152"/>
      <c r="C34" s="312"/>
      <c r="D34" s="152"/>
      <c r="E34" s="48"/>
      <c r="F34" s="48"/>
      <c r="G34" s="48"/>
      <c r="H34" s="48"/>
      <c r="I34" s="51" t="str">
        <f>I11</f>
        <v>Sim, continuei no emprego em que eu já estava durante a graduação</v>
      </c>
      <c r="J34" s="52">
        <f>IFERROR(COUNTIFS(Respostas_Formatadas!$C:$C,TransEstTrab!$I$30,Respostas_Formatadas!$Y:$Y,TransEstTrab!$I34),"-")</f>
        <v>11</v>
      </c>
      <c r="K34" s="53">
        <f>J34/SUM($J$32:$J$34)</f>
        <v>0.57894736842105265</v>
      </c>
      <c r="L34" s="48"/>
      <c r="M34" s="48"/>
      <c r="N34" s="51" t="str">
        <f>N11</f>
        <v>De 1 a 2 anos</v>
      </c>
      <c r="O34" s="52">
        <f>IFERROR(COUNTIFS(Respostas_Formatadas!$C:$C,TransEstTrab!$N$30,Respostas_Formatadas!$Z:$Z,TransEstTrab!$N34),"-")</f>
        <v>1</v>
      </c>
      <c r="P34" s="53">
        <f>O34/SUM($O$32:$O$35)</f>
        <v>8.3333333333333329E-2</v>
      </c>
      <c r="Q34" s="48"/>
      <c r="R34" s="48"/>
      <c r="S34" s="51" t="str">
        <f>S11</f>
        <v>Após concluir a graduação</v>
      </c>
      <c r="T34" s="52">
        <f>IFERROR(COUNTIFS(Respostas_Formatadas!$C:$C,TransEstTrab!$S$30,Respostas_Formatadas!$AA:$AA,TransEstTrab!$S34),"-")</f>
        <v>1</v>
      </c>
      <c r="U34" s="53">
        <f>T34/SUM($T$32:$T$35)</f>
        <v>0.14285714285714285</v>
      </c>
      <c r="V34" s="48"/>
      <c r="W34" s="48"/>
      <c r="X34" s="51" t="str">
        <f t="shared" si="2"/>
        <v>Através de redes sociais</v>
      </c>
      <c r="Y34" s="52">
        <f>IFERROR(COUNTIFS(Respostas_Formatadas!$C:$C,TransEstTrab!$X$30,Respostas_Formatadas!$AB:$AB,TransEstTrab!$X34),"-")</f>
        <v>2</v>
      </c>
      <c r="Z34" s="53">
        <f t="shared" si="3"/>
        <v>0.2857142857142857</v>
      </c>
      <c r="AA34" s="48"/>
      <c r="AB34" s="48"/>
      <c r="AC34" s="51" t="str">
        <f t="shared" si="4"/>
        <v>Através de redes sociais</v>
      </c>
      <c r="AD34" s="52">
        <f>IFERROR(COUNTIFS(Respostas_Formatadas!$C:$C,TransEstTrab!$AC$30,Respostas_Formatadas!$AC:$AC,TransEstTrab!$AC34),"-")</f>
        <v>2</v>
      </c>
      <c r="AE34" s="53">
        <f t="shared" si="5"/>
        <v>0.18181818181818182</v>
      </c>
      <c r="AF34" s="48"/>
    </row>
    <row r="35" spans="2:32" x14ac:dyDescent="0.2">
      <c r="B35" s="152"/>
      <c r="C35" s="152"/>
      <c r="D35" s="152"/>
      <c r="E35" s="48"/>
      <c r="F35" s="48"/>
      <c r="G35" s="48"/>
      <c r="H35" s="48"/>
      <c r="I35" s="148" t="str">
        <f>I12</f>
        <v>Total</v>
      </c>
      <c r="J35" s="192">
        <f>SUM(J32:J34)</f>
        <v>19</v>
      </c>
      <c r="K35" s="193">
        <f>SUM(K32:K34)</f>
        <v>1</v>
      </c>
      <c r="L35" s="48"/>
      <c r="M35" s="48"/>
      <c r="N35" s="51" t="str">
        <f>N12</f>
        <v>Mais de 2 anos</v>
      </c>
      <c r="O35" s="52">
        <f>IFERROR(COUNTIFS(Respostas_Formatadas!$C:$C,TransEstTrab!$N$30,Respostas_Formatadas!$Z:$Z,TransEstTrab!$N35),"-")</f>
        <v>0</v>
      </c>
      <c r="P35" s="53">
        <f>O35/SUM($O$32:$O$35)</f>
        <v>0</v>
      </c>
      <c r="Q35" s="48"/>
      <c r="R35" s="48"/>
      <c r="S35" s="51" t="str">
        <f>S12</f>
        <v>Comecei a trabalhar sem estar procurando na época</v>
      </c>
      <c r="T35" s="52">
        <f>IFERROR(COUNTIFS(Respostas_Formatadas!$C:$C,TransEstTrab!$S$30,Respostas_Formatadas!$AA:$AA,TransEstTrab!$S35),"-")</f>
        <v>6</v>
      </c>
      <c r="U35" s="53">
        <f>T35/SUM($T$32:$T$35)</f>
        <v>0.8571428571428571</v>
      </c>
      <c r="V35" s="48"/>
      <c r="W35" s="48"/>
      <c r="X35" s="51" t="str">
        <f t="shared" si="2"/>
        <v>Tomei a iniciativa de entrar em contato com o empregador</v>
      </c>
      <c r="Y35" s="52">
        <f>IFERROR(COUNTIFS(Respostas_Formatadas!$C:$C,TransEstTrab!$X$30,Respostas_Formatadas!$AB:$AB,TransEstTrab!$X35),"-")</f>
        <v>0</v>
      </c>
      <c r="Z35" s="53">
        <f t="shared" si="3"/>
        <v>0</v>
      </c>
      <c r="AA35" s="48"/>
      <c r="AB35" s="48"/>
      <c r="AC35" s="51" t="str">
        <f t="shared" si="4"/>
        <v>Tomei a iniciativa de entrar em contato com o empregador</v>
      </c>
      <c r="AD35" s="52">
        <f>IFERROR(COUNTIFS(Respostas_Formatadas!$C:$C,TransEstTrab!$AC$30,Respostas_Formatadas!$AC:$AC,TransEstTrab!$AC35),"-")</f>
        <v>1</v>
      </c>
      <c r="AE35" s="53">
        <f t="shared" si="5"/>
        <v>9.0909090909090912E-2</v>
      </c>
      <c r="AF35" s="48"/>
    </row>
    <row r="36" spans="2:32" x14ac:dyDescent="0.2">
      <c r="B36" s="152"/>
      <c r="C36" s="152"/>
      <c r="D36" s="152"/>
      <c r="E36" s="48"/>
      <c r="F36" s="48"/>
      <c r="G36" s="48"/>
      <c r="H36" s="48"/>
      <c r="I36" s="48"/>
      <c r="J36" s="48"/>
      <c r="K36" s="48"/>
      <c r="L36" s="48"/>
      <c r="M36" s="48"/>
      <c r="N36" s="148" t="s">
        <v>621</v>
      </c>
      <c r="O36" s="192">
        <f>SUM(O32:O35)</f>
        <v>12</v>
      </c>
      <c r="P36" s="193">
        <f>SUM(P32:P35)</f>
        <v>1</v>
      </c>
      <c r="Q36" s="48"/>
      <c r="R36" s="48"/>
      <c r="S36" s="148" t="s">
        <v>621</v>
      </c>
      <c r="T36" s="192">
        <f>SUM(T32:T35)</f>
        <v>7</v>
      </c>
      <c r="U36" s="193">
        <f>SUM(U32:U35)</f>
        <v>1</v>
      </c>
      <c r="V36" s="48"/>
      <c r="W36" s="48"/>
      <c r="X36" s="51" t="str">
        <f t="shared" si="2"/>
        <v>Fui procurado pelo empregador</v>
      </c>
      <c r="Y36" s="52">
        <f>IFERROR(COUNTIFS(Respostas_Formatadas!$C:$C,TransEstTrab!$X$30,Respostas_Formatadas!$AB:$AB,TransEstTrab!$X36),"-")</f>
        <v>0</v>
      </c>
      <c r="Z36" s="53">
        <f t="shared" si="3"/>
        <v>0</v>
      </c>
      <c r="AA36" s="48"/>
      <c r="AB36" s="48"/>
      <c r="AC36" s="51" t="str">
        <f t="shared" si="4"/>
        <v>Fui procurado pelo empregador</v>
      </c>
      <c r="AD36" s="52">
        <f>IFERROR(COUNTIFS(Respostas_Formatadas!$C:$C,TransEstTrab!$AC$30,Respostas_Formatadas!$AC:$AC,TransEstTrab!$AC36),"-")</f>
        <v>0</v>
      </c>
      <c r="AE36" s="53">
        <f t="shared" si="5"/>
        <v>0</v>
      </c>
      <c r="AF36" s="48"/>
    </row>
    <row r="37" spans="2:32" x14ac:dyDescent="0.2">
      <c r="B37" s="152"/>
      <c r="C37" s="152"/>
      <c r="D37" s="152"/>
      <c r="E37" s="48"/>
      <c r="F37" s="48"/>
      <c r="G37" s="48"/>
      <c r="H37" s="48"/>
      <c r="I37" s="48"/>
      <c r="J37" s="48"/>
      <c r="K37" s="48"/>
      <c r="L37" s="48"/>
      <c r="M37" s="48"/>
      <c r="N37" s="48"/>
      <c r="O37" s="48"/>
      <c r="P37" s="48"/>
      <c r="Q37" s="48"/>
      <c r="R37" s="48"/>
      <c r="S37" s="48"/>
      <c r="T37" s="48"/>
      <c r="U37" s="48"/>
      <c r="V37" s="48"/>
      <c r="W37" s="48"/>
      <c r="X37" s="51" t="str">
        <f t="shared" si="2"/>
        <v>Através de estágio durante a graduação</v>
      </c>
      <c r="Y37" s="52">
        <f>IFERROR(COUNTIFS(Respostas_Formatadas!$C:$C,TransEstTrab!$X$30,Respostas_Formatadas!$AB:$AB,TransEstTrab!$X37),"-")</f>
        <v>1</v>
      </c>
      <c r="Z37" s="53">
        <f t="shared" si="3"/>
        <v>0.14285714285714285</v>
      </c>
      <c r="AA37" s="48"/>
      <c r="AB37" s="48"/>
      <c r="AC37" s="51" t="str">
        <f t="shared" si="4"/>
        <v>Através de estágio durante graduação</v>
      </c>
      <c r="AD37" s="52">
        <f>IFERROR(COUNTIFS(Respostas_Formatadas!$C:$C,TransEstTrab!$AC$30,Respostas_Formatadas!$AC:$AC,TransEstTrab!$AC37),"-")</f>
        <v>1</v>
      </c>
      <c r="AE37" s="53">
        <f t="shared" si="5"/>
        <v>9.0909090909090912E-2</v>
      </c>
      <c r="AF37" s="48"/>
    </row>
    <row r="38" spans="2:32" x14ac:dyDescent="0.2">
      <c r="B38" s="152"/>
      <c r="C38" s="152"/>
      <c r="D38" s="152"/>
      <c r="E38" s="48"/>
      <c r="F38" s="48"/>
      <c r="G38" s="48"/>
      <c r="H38" s="48"/>
      <c r="I38" s="48"/>
      <c r="J38" s="226"/>
      <c r="K38" s="227"/>
      <c r="L38" s="48"/>
      <c r="M38" s="48"/>
      <c r="N38" s="48"/>
      <c r="O38" s="48"/>
      <c r="P38" s="48"/>
      <c r="Q38" s="48"/>
      <c r="R38" s="48"/>
      <c r="S38" s="48" t="s">
        <v>1019</v>
      </c>
      <c r="T38" s="48"/>
      <c r="U38" s="48"/>
      <c r="V38" s="48"/>
      <c r="W38" s="48"/>
      <c r="X38" s="51" t="str">
        <f t="shared" si="2"/>
        <v>Através de familiares, amigos ou conhecidos</v>
      </c>
      <c r="Y38" s="52">
        <f>IFERROR(COUNTIFS(Respostas_Formatadas!$C:$C,TransEstTrab!$X$30,Respostas_Formatadas!$AB:$AB,TransEstTrab!$X38),"-")</f>
        <v>1</v>
      </c>
      <c r="Z38" s="53">
        <f t="shared" si="3"/>
        <v>0.14285714285714285</v>
      </c>
      <c r="AA38" s="48"/>
      <c r="AB38" s="48"/>
      <c r="AC38" s="51" t="str">
        <f t="shared" si="4"/>
        <v>Através de familiares, amigos ou conhecidos</v>
      </c>
      <c r="AD38" s="52">
        <f>IFERROR(COUNTIFS(Respostas_Formatadas!$C:$C,TransEstTrab!$AC$30,Respostas_Formatadas!$AC:$AC,TransEstTrab!$AC38),"-")</f>
        <v>5</v>
      </c>
      <c r="AE38" s="53">
        <f t="shared" si="5"/>
        <v>0.45454545454545453</v>
      </c>
      <c r="AF38" s="48"/>
    </row>
    <row r="39" spans="2:32" x14ac:dyDescent="0.2">
      <c r="B39" s="152"/>
      <c r="C39" s="152"/>
      <c r="D39" s="152"/>
      <c r="E39" s="48"/>
      <c r="F39" s="48"/>
      <c r="G39" s="48"/>
      <c r="H39" s="48"/>
      <c r="I39" s="48"/>
      <c r="J39" s="226"/>
      <c r="K39" s="227"/>
      <c r="L39" s="48"/>
      <c r="M39" s="48"/>
      <c r="N39" s="48"/>
      <c r="O39" s="87"/>
      <c r="P39" s="48"/>
      <c r="Q39" s="48"/>
      <c r="R39" s="48"/>
      <c r="S39" s="48"/>
      <c r="T39" s="48"/>
      <c r="U39" s="48"/>
      <c r="V39" s="48"/>
      <c r="W39" s="48"/>
      <c r="X39" s="51" t="str">
        <f t="shared" si="2"/>
        <v>Através da ajuda do Instituto Federal de Sergipe</v>
      </c>
      <c r="Y39" s="52">
        <f>IFERROR(COUNTIFS(Respostas_Formatadas!$C:$C,TransEstTrab!$X$30,Respostas_Formatadas!$AB:$AB,TransEstTrab!$X39),"-")</f>
        <v>0</v>
      </c>
      <c r="Z39" s="53">
        <f t="shared" si="3"/>
        <v>0</v>
      </c>
      <c r="AA39" s="48"/>
      <c r="AB39" s="48"/>
      <c r="AC39" s="51" t="str">
        <f t="shared" si="4"/>
        <v>Através da ajuda do Instituto Federal de Sergipe</v>
      </c>
      <c r="AD39" s="52">
        <f>IFERROR(COUNTIFS(Respostas_Formatadas!$C:$C,TransEstTrab!$AC$30,Respostas_Formatadas!$AC:$AC,TransEstTrab!$AC39),"-")</f>
        <v>0</v>
      </c>
      <c r="AE39" s="53">
        <f t="shared" si="5"/>
        <v>0</v>
      </c>
      <c r="AF39" s="48"/>
    </row>
    <row r="40" spans="2:32" x14ac:dyDescent="0.2">
      <c r="B40" s="152"/>
      <c r="C40" s="152"/>
      <c r="D40" s="152"/>
      <c r="E40" s="48"/>
      <c r="F40" s="48"/>
      <c r="G40" s="48"/>
      <c r="H40" s="48"/>
      <c r="I40" s="48"/>
      <c r="J40" s="128"/>
      <c r="K40" s="48"/>
      <c r="L40" s="48"/>
      <c r="M40" s="48"/>
      <c r="N40" s="48"/>
      <c r="O40" s="87"/>
      <c r="P40" s="48"/>
      <c r="Q40" s="48"/>
      <c r="R40" s="48"/>
      <c r="S40" s="48"/>
      <c r="T40" s="48"/>
      <c r="U40" s="48"/>
      <c r="V40" s="48"/>
      <c r="W40" s="48"/>
      <c r="X40" s="51" t="str">
        <f t="shared" si="2"/>
        <v>Criei meu próprio negócio</v>
      </c>
      <c r="Y40" s="52">
        <f>IFERROR(COUNTIFS(Respostas_Formatadas!$C:$C,TransEstTrab!$X$30,Respostas_Formatadas!$AB:$AB,TransEstTrab!$X40),"-")</f>
        <v>1</v>
      </c>
      <c r="Z40" s="53">
        <f t="shared" si="3"/>
        <v>0.14285714285714285</v>
      </c>
      <c r="AA40" s="48"/>
      <c r="AB40" s="48"/>
      <c r="AC40" s="51" t="str">
        <f t="shared" si="4"/>
        <v>Criei meu próprio negócio</v>
      </c>
      <c r="AD40" s="52">
        <f>IFERROR(COUNTIFS(Respostas_Formatadas!$C:$C,TransEstTrab!$AC$30,Respostas_Formatadas!$AC:$AC,TransEstTrab!$AC40),"-")</f>
        <v>0</v>
      </c>
      <c r="AE40" s="53">
        <f t="shared" si="5"/>
        <v>0</v>
      </c>
      <c r="AF40" s="48"/>
    </row>
    <row r="41" spans="2:32" x14ac:dyDescent="0.2">
      <c r="B41" s="152"/>
      <c r="C41" s="152"/>
      <c r="D41" s="152"/>
      <c r="E41" s="48"/>
      <c r="F41" s="48"/>
      <c r="G41" s="48"/>
      <c r="H41" s="48"/>
      <c r="I41" s="48"/>
      <c r="J41" s="48"/>
      <c r="K41" s="48"/>
      <c r="L41" s="48"/>
      <c r="M41" s="48"/>
      <c r="N41" s="48"/>
      <c r="O41" s="87"/>
      <c r="P41" s="48"/>
      <c r="Q41" s="48"/>
      <c r="R41" s="48"/>
      <c r="S41" s="48"/>
      <c r="T41" s="48"/>
      <c r="U41" s="48"/>
      <c r="V41" s="48"/>
      <c r="W41" s="48"/>
      <c r="X41" s="51" t="str">
        <f t="shared" si="2"/>
        <v>Prestei concurso</v>
      </c>
      <c r="Y41" s="52">
        <f>IFERROR(COUNTIFS(Respostas_Formatadas!$C:$C,TransEstTrab!$X$30,Respostas_Formatadas!$AB:$AB,TransEstTrab!$X41),"-")</f>
        <v>1</v>
      </c>
      <c r="Z41" s="53">
        <f t="shared" si="3"/>
        <v>0.14285714285714285</v>
      </c>
      <c r="AA41" s="48"/>
      <c r="AB41" s="48"/>
      <c r="AC41" s="51" t="str">
        <f t="shared" si="4"/>
        <v>Prestei concurso público</v>
      </c>
      <c r="AD41" s="52">
        <f>IFERROR(COUNTIFS(Respostas_Formatadas!$C:$C,TransEstTrab!$AC$30,Respostas_Formatadas!$AC:$AC,TransEstTrab!$AC41),"-")</f>
        <v>2</v>
      </c>
      <c r="AE41" s="53">
        <f t="shared" si="5"/>
        <v>0.18181818181818182</v>
      </c>
      <c r="AF41" s="48"/>
    </row>
    <row r="42" spans="2:32" x14ac:dyDescent="0.2">
      <c r="B42" s="152"/>
      <c r="C42" s="152"/>
      <c r="D42" s="152"/>
      <c r="E42" s="48"/>
      <c r="F42" s="48"/>
      <c r="G42" s="48"/>
      <c r="H42" s="48"/>
      <c r="I42" s="48"/>
      <c r="J42" s="48"/>
      <c r="K42" s="48"/>
      <c r="L42" s="48"/>
      <c r="M42" s="48"/>
      <c r="N42" s="48"/>
      <c r="O42" s="87"/>
      <c r="P42" s="48"/>
      <c r="Q42" s="48"/>
      <c r="R42" s="48"/>
      <c r="S42" s="48"/>
      <c r="T42" s="48"/>
      <c r="U42" s="48"/>
      <c r="V42" s="48"/>
      <c r="W42" s="48"/>
      <c r="X42" s="148" t="s">
        <v>621</v>
      </c>
      <c r="Y42" s="192">
        <f>SUM(Y32:Y41)</f>
        <v>7</v>
      </c>
      <c r="Z42" s="193">
        <f>SUM(Z32:Z41)</f>
        <v>0.99999999999999978</v>
      </c>
      <c r="AA42" s="48"/>
      <c r="AB42" s="48"/>
      <c r="AC42" s="148" t="s">
        <v>621</v>
      </c>
      <c r="AD42" s="192">
        <f>SUM(AD32:AD41)</f>
        <v>11</v>
      </c>
      <c r="AE42" s="193">
        <f>SUM(AE32:AE41)</f>
        <v>1</v>
      </c>
      <c r="AF42" s="48"/>
    </row>
    <row r="43" spans="2:32" x14ac:dyDescent="0.2">
      <c r="B43" s="152"/>
      <c r="C43" s="152"/>
      <c r="D43" s="152"/>
      <c r="E43" s="48"/>
      <c r="F43" s="48"/>
      <c r="G43" s="48"/>
      <c r="H43" s="48"/>
      <c r="I43" s="48"/>
      <c r="J43" s="48"/>
      <c r="K43" s="48"/>
      <c r="L43" s="48"/>
      <c r="M43" s="48"/>
      <c r="N43" s="48"/>
      <c r="O43" s="87"/>
      <c r="P43" s="48"/>
      <c r="Q43" s="48"/>
      <c r="R43" s="48"/>
      <c r="S43" s="48"/>
      <c r="T43" s="48"/>
      <c r="U43" s="48"/>
      <c r="V43" s="48"/>
      <c r="W43" s="48"/>
      <c r="X43" s="48"/>
      <c r="Y43" s="48"/>
      <c r="Z43" s="48"/>
      <c r="AA43" s="48"/>
      <c r="AB43" s="48"/>
      <c r="AC43" s="48"/>
      <c r="AD43" s="48"/>
      <c r="AE43" s="48"/>
      <c r="AF43" s="48"/>
    </row>
    <row r="44" spans="2:32" x14ac:dyDescent="0.2">
      <c r="B44" s="152"/>
      <c r="C44" s="152"/>
      <c r="D44" s="152"/>
      <c r="E44" s="48"/>
      <c r="F44" s="48"/>
      <c r="G44" s="48"/>
      <c r="H44" s="48"/>
      <c r="I44" s="48"/>
      <c r="J44" s="48"/>
      <c r="K44" s="48"/>
      <c r="L44" s="48"/>
      <c r="M44" s="48"/>
      <c r="N44" s="48"/>
      <c r="O44" s="87"/>
      <c r="P44" s="48"/>
      <c r="Q44" s="48"/>
      <c r="R44" s="48"/>
      <c r="S44" s="48"/>
      <c r="T44" s="48"/>
      <c r="U44" s="48"/>
      <c r="V44" s="48"/>
      <c r="W44" s="48"/>
      <c r="X44" s="48"/>
      <c r="Y44" s="48"/>
      <c r="Z44" s="48"/>
      <c r="AA44" s="48"/>
      <c r="AB44" s="48"/>
      <c r="AC44" s="48"/>
      <c r="AD44" s="48"/>
      <c r="AE44" s="48"/>
      <c r="AF44" s="48"/>
    </row>
    <row r="45" spans="2:32" x14ac:dyDescent="0.2">
      <c r="B45" s="152"/>
      <c r="C45" s="152"/>
      <c r="D45" s="152"/>
      <c r="E45" s="48"/>
      <c r="F45" s="48"/>
      <c r="G45" s="48"/>
      <c r="H45" s="48"/>
      <c r="I45" s="48"/>
      <c r="J45" s="48"/>
      <c r="K45" s="48"/>
      <c r="L45" s="48"/>
      <c r="M45" s="48"/>
      <c r="N45" s="48"/>
      <c r="O45" s="87"/>
      <c r="P45" s="48"/>
      <c r="Q45" s="48"/>
      <c r="R45" s="48"/>
      <c r="S45" s="48"/>
      <c r="T45" s="48"/>
      <c r="U45" s="48"/>
      <c r="V45" s="48"/>
      <c r="W45" s="48"/>
      <c r="X45" s="48"/>
      <c r="Y45" s="48"/>
      <c r="Z45" s="48"/>
      <c r="AA45" s="48"/>
      <c r="AB45" s="48"/>
      <c r="AC45" s="48"/>
      <c r="AD45" s="48"/>
      <c r="AE45" s="48"/>
      <c r="AF45" s="48"/>
    </row>
    <row r="46" spans="2:32" x14ac:dyDescent="0.2">
      <c r="B46" s="152"/>
      <c r="C46" s="152"/>
      <c r="D46" s="152"/>
      <c r="E46" s="48"/>
      <c r="F46" s="48"/>
      <c r="G46" s="48"/>
      <c r="H46" s="48"/>
      <c r="I46" s="48"/>
      <c r="J46" s="48"/>
      <c r="K46" s="48"/>
      <c r="L46" s="48"/>
      <c r="M46" s="48"/>
      <c r="N46" s="48"/>
      <c r="O46" s="87"/>
      <c r="P46" s="48"/>
      <c r="Q46" s="48"/>
      <c r="R46" s="48"/>
      <c r="S46" s="48"/>
      <c r="T46" s="48"/>
      <c r="U46" s="48"/>
      <c r="V46" s="48"/>
      <c r="W46" s="48"/>
      <c r="X46" s="48"/>
      <c r="Y46" s="48"/>
      <c r="Z46" s="48"/>
      <c r="AA46" s="48"/>
      <c r="AB46" s="48"/>
      <c r="AC46" s="48"/>
      <c r="AD46" s="48"/>
      <c r="AE46" s="48"/>
      <c r="AF46" s="48"/>
    </row>
    <row r="47" spans="2:32" x14ac:dyDescent="0.2">
      <c r="B47" s="152"/>
      <c r="C47" s="152"/>
      <c r="D47" s="152"/>
      <c r="E47" s="48"/>
      <c r="F47" s="48"/>
      <c r="G47" s="48"/>
      <c r="H47" s="48"/>
      <c r="I47" s="48"/>
      <c r="J47" s="48"/>
      <c r="K47" s="48"/>
      <c r="L47" s="48"/>
      <c r="M47" s="48"/>
      <c r="N47" s="48"/>
      <c r="O47" s="87"/>
      <c r="P47" s="48"/>
      <c r="Q47" s="48"/>
      <c r="R47" s="48"/>
      <c r="S47" s="48"/>
      <c r="T47" s="48"/>
      <c r="U47" s="48"/>
      <c r="V47" s="48"/>
      <c r="W47" s="48"/>
      <c r="X47" s="48"/>
      <c r="Y47" s="48"/>
      <c r="Z47" s="48"/>
      <c r="AA47" s="48"/>
      <c r="AB47" s="48"/>
      <c r="AC47" s="48"/>
      <c r="AD47" s="48"/>
      <c r="AE47" s="48"/>
      <c r="AF47" s="48"/>
    </row>
    <row r="48" spans="2:32" x14ac:dyDescent="0.2">
      <c r="B48" s="152"/>
      <c r="C48" s="152"/>
      <c r="D48" s="152"/>
      <c r="E48" s="48"/>
      <c r="F48" s="48"/>
      <c r="G48" s="48"/>
      <c r="H48" s="48"/>
      <c r="I48" s="48"/>
      <c r="J48" s="48"/>
      <c r="K48" s="48"/>
      <c r="L48" s="48"/>
      <c r="M48" s="48"/>
      <c r="N48" s="48"/>
      <c r="O48" s="87"/>
      <c r="P48" s="48"/>
      <c r="Q48" s="48"/>
      <c r="R48" s="48"/>
      <c r="S48" s="48"/>
      <c r="T48" s="48"/>
      <c r="U48" s="48"/>
      <c r="V48" s="48"/>
      <c r="W48" s="48"/>
      <c r="X48" s="48"/>
      <c r="Y48" s="48"/>
      <c r="Z48" s="48"/>
      <c r="AA48" s="48"/>
      <c r="AB48" s="48"/>
      <c r="AC48" s="48"/>
      <c r="AD48" s="48"/>
      <c r="AE48" s="48"/>
      <c r="AF48" s="48"/>
    </row>
    <row r="49" spans="2:32" x14ac:dyDescent="0.2">
      <c r="B49" s="152"/>
      <c r="C49" s="152"/>
      <c r="D49" s="152"/>
      <c r="E49" s="48"/>
      <c r="F49" s="48"/>
      <c r="G49" s="48"/>
      <c r="H49" s="48"/>
      <c r="I49" s="48"/>
      <c r="J49" s="48"/>
      <c r="K49" s="48"/>
      <c r="L49" s="48"/>
      <c r="M49" s="48"/>
      <c r="N49" s="48"/>
      <c r="O49" s="87"/>
      <c r="P49" s="48"/>
      <c r="Q49" s="48"/>
      <c r="R49" s="48"/>
      <c r="S49" s="48"/>
      <c r="T49" s="48"/>
      <c r="U49" s="48"/>
      <c r="V49" s="48"/>
      <c r="W49" s="48"/>
      <c r="X49" s="48"/>
      <c r="Y49" s="48"/>
      <c r="Z49" s="48"/>
      <c r="AA49" s="48"/>
      <c r="AB49" s="48"/>
      <c r="AC49" s="48"/>
      <c r="AD49" s="48"/>
      <c r="AE49" s="48"/>
      <c r="AF49" s="48"/>
    </row>
    <row r="50" spans="2:32" ht="25.5" x14ac:dyDescent="0.2">
      <c r="B50" s="152"/>
      <c r="C50" s="152"/>
      <c r="D50" s="152"/>
      <c r="E50" s="48"/>
      <c r="F50" s="48"/>
      <c r="G50" s="48"/>
      <c r="H50" s="48"/>
      <c r="I50" s="156" t="s">
        <v>1105</v>
      </c>
      <c r="J50" s="48"/>
      <c r="K50" s="48"/>
      <c r="L50" s="48"/>
      <c r="M50" s="48"/>
      <c r="N50" s="48"/>
      <c r="O50" s="87"/>
      <c r="P50" s="48"/>
      <c r="Q50" s="48"/>
      <c r="R50" s="48"/>
      <c r="S50" s="48"/>
      <c r="T50" s="48"/>
      <c r="U50" s="48"/>
      <c r="V50" s="48"/>
      <c r="W50" s="48"/>
      <c r="X50" s="48"/>
      <c r="Y50" s="48"/>
      <c r="Z50" s="48"/>
      <c r="AA50" s="48"/>
      <c r="AB50" s="48"/>
      <c r="AC50" s="48"/>
      <c r="AD50" s="48"/>
      <c r="AE50" s="48"/>
      <c r="AF50" s="48"/>
    </row>
    <row r="51" spans="2:32" x14ac:dyDescent="0.2">
      <c r="B51" s="152"/>
      <c r="C51" s="152"/>
      <c r="D51" s="152"/>
      <c r="E51" s="48"/>
      <c r="F51" s="48"/>
      <c r="G51" s="48"/>
      <c r="H51" s="48"/>
      <c r="I51" s="48"/>
      <c r="J51" s="48"/>
      <c r="K51" s="48"/>
      <c r="L51" s="48"/>
      <c r="M51" s="48"/>
      <c r="N51" s="48"/>
      <c r="O51" s="48"/>
      <c r="P51" s="48"/>
      <c r="Q51" s="48"/>
      <c r="R51" s="48"/>
      <c r="S51" s="48"/>
      <c r="T51" s="48"/>
      <c r="U51" s="48"/>
      <c r="V51" s="48"/>
      <c r="W51" s="48"/>
      <c r="X51" s="48"/>
      <c r="Y51" s="48"/>
      <c r="Z51" s="48"/>
      <c r="AA51" s="48"/>
      <c r="AB51" s="48"/>
      <c r="AC51" s="48"/>
      <c r="AD51" s="48"/>
      <c r="AE51" s="48"/>
      <c r="AF51" s="48"/>
    </row>
    <row r="52" spans="2:32" x14ac:dyDescent="0.2">
      <c r="B52" s="152"/>
      <c r="C52" s="152"/>
      <c r="D52" s="152"/>
      <c r="E52" s="48"/>
      <c r="F52" s="48"/>
      <c r="G52" s="48"/>
      <c r="H52" s="341" t="s">
        <v>1159</v>
      </c>
      <c r="I52" s="281">
        <v>2018</v>
      </c>
      <c r="J52" s="48"/>
      <c r="K52" s="48"/>
      <c r="L52" s="48"/>
      <c r="M52" s="48"/>
      <c r="N52" s="48"/>
      <c r="O52" s="48"/>
      <c r="P52" s="48"/>
      <c r="Q52" s="48"/>
      <c r="R52" s="48"/>
      <c r="S52" s="48"/>
      <c r="T52" s="48"/>
      <c r="U52" s="48"/>
      <c r="V52" s="48"/>
      <c r="W52" s="48"/>
      <c r="X52" s="48"/>
      <c r="Y52" s="48"/>
      <c r="Z52" s="48"/>
      <c r="AA52" s="48"/>
      <c r="AB52" s="48"/>
      <c r="AC52" s="48"/>
      <c r="AD52" s="48"/>
      <c r="AE52" s="48"/>
      <c r="AF52" s="48"/>
    </row>
    <row r="53" spans="2:32" x14ac:dyDescent="0.2">
      <c r="B53" s="152"/>
      <c r="C53" s="152"/>
      <c r="D53" s="152"/>
      <c r="E53" s="48"/>
      <c r="F53" s="48"/>
      <c r="G53" s="48"/>
      <c r="H53" s="48"/>
      <c r="I53" s="157" t="str">
        <f>I30</f>
        <v>Bacharelado em Sistemas de Informação</v>
      </c>
      <c r="J53" s="48"/>
      <c r="K53" s="48"/>
      <c r="L53" s="48"/>
      <c r="M53" s="48"/>
      <c r="N53" s="48"/>
      <c r="O53" s="48"/>
      <c r="P53" s="48"/>
      <c r="Q53" s="48"/>
      <c r="R53" s="48"/>
      <c r="S53" s="48"/>
      <c r="T53" s="48"/>
      <c r="U53" s="48"/>
      <c r="V53" s="48"/>
      <c r="W53" s="48"/>
      <c r="X53" s="48"/>
      <c r="Y53" s="48"/>
      <c r="Z53" s="48"/>
      <c r="AA53" s="48"/>
      <c r="AB53" s="48"/>
      <c r="AC53" s="48"/>
      <c r="AD53" s="48"/>
      <c r="AE53" s="48"/>
      <c r="AF53" s="48"/>
    </row>
    <row r="54" spans="2:32" x14ac:dyDescent="0.2">
      <c r="B54" s="152"/>
      <c r="C54" s="152"/>
      <c r="D54" s="152"/>
      <c r="E54" s="48"/>
      <c r="F54" s="48"/>
      <c r="G54" s="48"/>
      <c r="H54" s="48"/>
      <c r="I54" s="194" t="str">
        <f t="shared" ref="I54:I58" si="6">E20</f>
        <v>Você já teve algum emprego remunerado desde que se formou?</v>
      </c>
      <c r="J54" s="187" t="str">
        <f>F20</f>
        <v>f</v>
      </c>
      <c r="K54" s="187" t="str">
        <f>G20</f>
        <v>%</v>
      </c>
      <c r="L54" s="48"/>
      <c r="M54" s="48"/>
      <c r="N54" s="48"/>
      <c r="O54" s="48"/>
      <c r="P54" s="48"/>
      <c r="Q54" s="48"/>
      <c r="R54" s="48"/>
      <c r="S54" s="48"/>
      <c r="T54" s="48"/>
      <c r="U54" s="48"/>
      <c r="V54" s="48"/>
      <c r="W54" s="48"/>
      <c r="X54" s="48"/>
      <c r="Y54" s="48"/>
      <c r="Z54" s="48"/>
      <c r="AA54" s="48"/>
      <c r="AB54" s="48"/>
      <c r="AC54" s="48"/>
      <c r="AD54" s="48"/>
      <c r="AE54" s="48"/>
      <c r="AF54" s="48"/>
    </row>
    <row r="55" spans="2:32" x14ac:dyDescent="0.2">
      <c r="B55" s="152"/>
      <c r="C55" s="152"/>
      <c r="D55" s="152"/>
      <c r="E55" s="48"/>
      <c r="F55" s="48"/>
      <c r="G55" s="48"/>
      <c r="H55" s="48"/>
      <c r="I55" s="51" t="str">
        <f t="shared" si="6"/>
        <v>Não</v>
      </c>
      <c r="J55" s="122">
        <f>COUNTIFS(Respostas_Formatadas!$C:$C,TransEstTrab!$I$53,Respostas_Formatadas!$FE:$FE,TransEstTrab!$I$52,Respostas_Formatadas!$Y:$Y,TransEstTrab!$I55)</f>
        <v>1</v>
      </c>
      <c r="K55" s="53">
        <f>IFERROR(J55/$J$58,"-")</f>
        <v>0.2</v>
      </c>
      <c r="L55" s="48"/>
      <c r="M55" s="48"/>
      <c r="N55" s="48"/>
      <c r="O55" s="48"/>
      <c r="P55" s="48"/>
      <c r="Q55" s="48"/>
      <c r="R55" s="48"/>
      <c r="S55" s="48"/>
      <c r="T55" s="48"/>
      <c r="U55" s="48"/>
      <c r="V55" s="48"/>
      <c r="W55" s="48"/>
      <c r="X55" s="48"/>
      <c r="Y55" s="48"/>
      <c r="Z55" s="48"/>
      <c r="AA55" s="48"/>
      <c r="AB55" s="48"/>
      <c r="AC55" s="48"/>
      <c r="AD55" s="48"/>
      <c r="AE55" s="48"/>
      <c r="AF55" s="48"/>
    </row>
    <row r="56" spans="2:32" x14ac:dyDescent="0.2">
      <c r="B56" s="152"/>
      <c r="C56" s="152"/>
      <c r="D56" s="152"/>
      <c r="E56" s="48"/>
      <c r="F56" s="48"/>
      <c r="G56" s="48"/>
      <c r="H56" s="48"/>
      <c r="I56" s="51" t="str">
        <f t="shared" si="6"/>
        <v>Sim, iniciei em um novo emprego após concluir a graduação</v>
      </c>
      <c r="J56" s="122">
        <f>COUNTIFS(Respostas_Formatadas!$C:$C,TransEstTrab!$I$53,Respostas_Formatadas!$FE:$FE,TransEstTrab!$I$52,Respostas_Formatadas!$Y:$Y,TransEstTrab!$I56)</f>
        <v>0</v>
      </c>
      <c r="K56" s="53">
        <f>IFERROR(J56/$J$58,"-")</f>
        <v>0</v>
      </c>
      <c r="L56" s="48"/>
      <c r="M56" s="48"/>
      <c r="N56" s="48"/>
      <c r="O56" s="48"/>
      <c r="P56" s="48"/>
      <c r="Q56" s="48"/>
      <c r="R56" s="48"/>
      <c r="S56" s="48"/>
      <c r="T56" s="48"/>
      <c r="U56" s="48"/>
      <c r="V56" s="48"/>
      <c r="W56" s="48"/>
      <c r="X56" s="48"/>
      <c r="Y56" s="48"/>
      <c r="Z56" s="48"/>
      <c r="AA56" s="48"/>
      <c r="AB56" s="48"/>
      <c r="AC56" s="48"/>
      <c r="AD56" s="48"/>
      <c r="AE56" s="48"/>
      <c r="AF56" s="48"/>
    </row>
    <row r="57" spans="2:32" x14ac:dyDescent="0.2">
      <c r="B57" s="152"/>
      <c r="C57" s="152"/>
      <c r="D57" s="152"/>
      <c r="E57" s="48"/>
      <c r="F57" s="48"/>
      <c r="G57" s="48"/>
      <c r="H57" s="48"/>
      <c r="I57" s="51" t="str">
        <f t="shared" si="6"/>
        <v>Sim, continuei no emprego em que eu já estava durante a graduação</v>
      </c>
      <c r="J57" s="122">
        <f>COUNTIFS(Respostas_Formatadas!$C:$C,TransEstTrab!$I$53,Respostas_Formatadas!$FE:$FE,TransEstTrab!$I$52,Respostas_Formatadas!$Y:$Y,TransEstTrab!$I57)</f>
        <v>4</v>
      </c>
      <c r="K57" s="53">
        <f>IFERROR(J57/$J$58,"-")</f>
        <v>0.8</v>
      </c>
      <c r="L57" s="48"/>
      <c r="M57" s="48"/>
      <c r="N57" s="48"/>
      <c r="O57" s="48"/>
      <c r="P57" s="48"/>
      <c r="Q57" s="48"/>
      <c r="R57" s="48"/>
      <c r="S57" s="48"/>
      <c r="T57" s="48"/>
      <c r="U57" s="48"/>
      <c r="V57" s="48"/>
      <c r="W57" s="48"/>
      <c r="X57" s="48"/>
      <c r="Y57" s="48"/>
      <c r="Z57" s="48"/>
      <c r="AA57" s="48"/>
      <c r="AB57" s="48"/>
      <c r="AC57" s="48"/>
      <c r="AD57" s="48"/>
      <c r="AE57" s="48"/>
      <c r="AF57" s="48"/>
    </row>
    <row r="58" spans="2:32" x14ac:dyDescent="0.2">
      <c r="B58" s="152"/>
      <c r="C58" s="152"/>
      <c r="D58" s="152"/>
      <c r="E58" s="48"/>
      <c r="F58" s="48"/>
      <c r="G58" s="48"/>
      <c r="H58" s="48"/>
      <c r="I58" s="148" t="str">
        <f t="shared" si="6"/>
        <v>Total</v>
      </c>
      <c r="J58" s="192">
        <f>SUM(J55:J57)</f>
        <v>5</v>
      </c>
      <c r="K58" s="193">
        <f>SUM(K55:K57)</f>
        <v>1</v>
      </c>
      <c r="L58" s="48"/>
      <c r="M58" s="48"/>
      <c r="N58" s="48"/>
      <c r="O58" s="48"/>
      <c r="P58" s="48"/>
      <c r="Q58" s="48"/>
      <c r="R58" s="48"/>
      <c r="S58" s="48"/>
      <c r="T58" s="48"/>
      <c r="U58" s="48"/>
      <c r="V58" s="48"/>
      <c r="W58" s="48"/>
      <c r="X58" s="48"/>
      <c r="Y58" s="48"/>
      <c r="Z58" s="48"/>
      <c r="AA58" s="48"/>
      <c r="AB58" s="48"/>
      <c r="AC58" s="48"/>
      <c r="AD58" s="48"/>
      <c r="AE58" s="48"/>
      <c r="AF58" s="48"/>
    </row>
    <row r="59" spans="2:32" x14ac:dyDescent="0.2">
      <c r="B59" s="152"/>
      <c r="C59" s="152"/>
      <c r="D59" s="152"/>
      <c r="E59" s="48"/>
      <c r="F59" s="48"/>
      <c r="G59" s="48"/>
      <c r="H59" s="48"/>
      <c r="I59" s="48"/>
      <c r="J59" s="48"/>
      <c r="K59" s="48"/>
      <c r="L59" s="48"/>
      <c r="M59" s="48"/>
      <c r="N59" s="48"/>
      <c r="O59" s="48"/>
      <c r="P59" s="48"/>
      <c r="Q59" s="48"/>
      <c r="R59" s="48"/>
      <c r="S59" s="48"/>
      <c r="T59" s="48"/>
      <c r="U59" s="48"/>
      <c r="V59" s="48"/>
      <c r="W59" s="48"/>
      <c r="X59" s="48"/>
      <c r="Y59" s="48"/>
      <c r="Z59" s="48"/>
      <c r="AA59" s="48"/>
      <c r="AB59" s="48"/>
      <c r="AC59" s="48"/>
      <c r="AD59" s="48"/>
      <c r="AE59" s="48"/>
      <c r="AF59" s="48"/>
    </row>
    <row r="60" spans="2:32" x14ac:dyDescent="0.2">
      <c r="B60" s="152"/>
      <c r="C60" s="152"/>
      <c r="D60" s="152"/>
      <c r="E60" s="48"/>
      <c r="F60" s="48"/>
      <c r="G60" s="48"/>
      <c r="H60" s="48"/>
      <c r="I60" s="159" t="s">
        <v>1106</v>
      </c>
      <c r="J60" s="48"/>
      <c r="K60" s="48"/>
      <c r="L60" s="48"/>
      <c r="M60" s="48"/>
      <c r="N60" s="48"/>
      <c r="O60" s="48"/>
      <c r="P60" s="48"/>
      <c r="Q60" s="48"/>
      <c r="R60" s="48"/>
      <c r="S60" s="48"/>
      <c r="T60" s="48"/>
      <c r="U60" s="48"/>
      <c r="V60" s="48"/>
      <c r="W60" s="48"/>
      <c r="X60" s="48"/>
      <c r="Y60" s="48"/>
      <c r="Z60" s="48"/>
      <c r="AA60" s="48"/>
      <c r="AB60" s="48"/>
      <c r="AC60" s="48"/>
      <c r="AD60" s="48"/>
      <c r="AE60" s="48"/>
      <c r="AF60" s="48"/>
    </row>
    <row r="61" spans="2:32" x14ac:dyDescent="0.2">
      <c r="B61" s="152"/>
      <c r="C61" s="152"/>
      <c r="D61" s="152"/>
      <c r="E61" s="48"/>
      <c r="F61" s="48"/>
      <c r="G61" s="48"/>
      <c r="H61" s="48"/>
      <c r="I61" s="157" t="str">
        <f>I53</f>
        <v>Bacharelado em Sistemas de Informação</v>
      </c>
      <c r="J61" s="48"/>
      <c r="K61" s="48"/>
      <c r="L61" s="48"/>
      <c r="M61" s="48"/>
      <c r="N61" s="48"/>
      <c r="O61" s="48"/>
      <c r="P61" s="48"/>
      <c r="Q61" s="48"/>
      <c r="R61" s="48"/>
      <c r="S61" s="48"/>
      <c r="T61" s="48"/>
      <c r="U61" s="48"/>
      <c r="V61" s="48"/>
      <c r="W61" s="48"/>
      <c r="X61" s="48"/>
      <c r="Y61" s="48"/>
      <c r="Z61" s="48"/>
      <c r="AA61" s="48"/>
      <c r="AB61" s="48"/>
      <c r="AC61" s="48"/>
      <c r="AD61" s="48"/>
      <c r="AE61" s="48"/>
      <c r="AF61" s="48"/>
    </row>
    <row r="62" spans="2:32" x14ac:dyDescent="0.2">
      <c r="B62" s="152"/>
      <c r="C62" s="152"/>
      <c r="D62" s="152"/>
      <c r="E62" s="48"/>
      <c r="F62" s="48"/>
      <c r="G62" s="48"/>
      <c r="H62" s="48"/>
      <c r="I62" s="194" t="str">
        <f>E20</f>
        <v>Você já teve algum emprego remunerado desde que se formou?</v>
      </c>
      <c r="J62" s="187" t="s">
        <v>131</v>
      </c>
      <c r="K62" s="187" t="s">
        <v>132</v>
      </c>
      <c r="L62" s="48"/>
      <c r="M62" s="48"/>
      <c r="N62" s="48"/>
      <c r="O62" s="48"/>
      <c r="P62" s="48"/>
      <c r="Q62" s="48"/>
      <c r="R62" s="48"/>
      <c r="S62" s="48"/>
      <c r="T62" s="48"/>
      <c r="U62" s="48"/>
      <c r="V62" s="48"/>
      <c r="W62" s="48"/>
      <c r="X62" s="48"/>
      <c r="Y62" s="48"/>
      <c r="Z62" s="48"/>
      <c r="AA62" s="48"/>
      <c r="AB62" s="48"/>
      <c r="AC62" s="48"/>
      <c r="AD62" s="48"/>
      <c r="AE62" s="48"/>
      <c r="AF62" s="48"/>
    </row>
    <row r="63" spans="2:32" x14ac:dyDescent="0.2">
      <c r="B63" s="152"/>
      <c r="C63" s="152"/>
      <c r="D63" s="152"/>
      <c r="E63" s="48"/>
      <c r="F63" s="48"/>
      <c r="G63" s="48"/>
      <c r="H63" s="48"/>
      <c r="I63" s="51" t="str">
        <f>I55</f>
        <v>Não</v>
      </c>
      <c r="J63" s="122">
        <f>J32-J55</f>
        <v>0</v>
      </c>
      <c r="K63" s="53">
        <f>J63/$J$66</f>
        <v>0</v>
      </c>
      <c r="L63" s="48"/>
      <c r="M63" s="48"/>
      <c r="N63" s="48"/>
      <c r="O63" s="48"/>
      <c r="P63" s="48"/>
      <c r="Q63" s="48"/>
      <c r="R63" s="48"/>
      <c r="S63" s="48"/>
      <c r="T63" s="48"/>
      <c r="U63" s="48"/>
      <c r="V63" s="48"/>
      <c r="W63" s="48"/>
      <c r="X63" s="48"/>
      <c r="Y63" s="48"/>
      <c r="Z63" s="48"/>
      <c r="AA63" s="48"/>
      <c r="AB63" s="48"/>
      <c r="AC63" s="48"/>
      <c r="AD63" s="48"/>
      <c r="AE63" s="48"/>
      <c r="AF63" s="48"/>
    </row>
    <row r="64" spans="2:32" x14ac:dyDescent="0.2">
      <c r="B64" s="152"/>
      <c r="C64" s="152"/>
      <c r="D64" s="152"/>
      <c r="E64" s="48"/>
      <c r="F64" s="48"/>
      <c r="G64" s="48"/>
      <c r="H64" s="48"/>
      <c r="I64" s="51" t="str">
        <f>I56</f>
        <v>Sim, iniciei em um novo emprego após concluir a graduação</v>
      </c>
      <c r="J64" s="122">
        <f t="shared" ref="J64:J65" si="7">J33-J56</f>
        <v>7</v>
      </c>
      <c r="K64" s="53">
        <f>J64/$J$66</f>
        <v>0.5</v>
      </c>
      <c r="L64" s="48"/>
      <c r="M64" s="48"/>
      <c r="N64" s="48"/>
      <c r="O64" s="48"/>
      <c r="P64" s="48"/>
      <c r="Q64" s="48"/>
      <c r="R64" s="48"/>
      <c r="S64" s="48"/>
      <c r="T64" s="48"/>
      <c r="U64" s="48"/>
      <c r="V64" s="48"/>
      <c r="W64" s="48"/>
      <c r="X64" s="48"/>
      <c r="Y64" s="48"/>
      <c r="Z64" s="48"/>
      <c r="AA64" s="48"/>
      <c r="AB64" s="48"/>
      <c r="AC64" s="48"/>
      <c r="AD64" s="48"/>
      <c r="AE64" s="48"/>
      <c r="AF64" s="48"/>
    </row>
    <row r="65" spans="2:32" x14ac:dyDescent="0.2">
      <c r="B65" s="152"/>
      <c r="C65" s="152"/>
      <c r="D65" s="152"/>
      <c r="E65" s="48"/>
      <c r="F65" s="48"/>
      <c r="G65" s="48"/>
      <c r="H65" s="48"/>
      <c r="I65" s="51" t="str">
        <f>I57</f>
        <v>Sim, continuei no emprego em que eu já estava durante a graduação</v>
      </c>
      <c r="J65" s="122">
        <f t="shared" si="7"/>
        <v>7</v>
      </c>
      <c r="K65" s="53">
        <f>J65/$J$66</f>
        <v>0.5</v>
      </c>
      <c r="L65" s="48"/>
      <c r="M65" s="48"/>
      <c r="N65" s="48"/>
      <c r="O65" s="48"/>
      <c r="P65" s="48"/>
      <c r="Q65" s="48"/>
      <c r="R65" s="48"/>
      <c r="S65" s="48"/>
      <c r="T65" s="48"/>
      <c r="U65" s="48"/>
      <c r="V65" s="48"/>
      <c r="W65" s="48"/>
      <c r="X65" s="48"/>
      <c r="Y65" s="48"/>
      <c r="Z65" s="48"/>
      <c r="AA65" s="48"/>
      <c r="AB65" s="48"/>
      <c r="AC65" s="48"/>
      <c r="AD65" s="48"/>
      <c r="AE65" s="48"/>
      <c r="AF65" s="48"/>
    </row>
    <row r="66" spans="2:32" x14ac:dyDescent="0.2">
      <c r="B66" s="152"/>
      <c r="C66" s="152"/>
      <c r="D66" s="152"/>
      <c r="E66" s="48"/>
      <c r="F66" s="48"/>
      <c r="G66" s="48"/>
      <c r="H66" s="48"/>
      <c r="I66" s="148" t="str">
        <f>I58</f>
        <v>Total</v>
      </c>
      <c r="J66" s="192">
        <f>SUM(J63:J65)</f>
        <v>14</v>
      </c>
      <c r="K66" s="193">
        <f>SUM(K63:K65)</f>
        <v>1</v>
      </c>
      <c r="L66" s="48"/>
      <c r="M66" s="48"/>
      <c r="N66" s="48"/>
      <c r="O66" s="48"/>
      <c r="P66" s="48"/>
      <c r="Q66" s="48"/>
      <c r="R66" s="48"/>
      <c r="S66" s="48"/>
      <c r="T66" s="48"/>
      <c r="U66" s="48"/>
      <c r="V66" s="48"/>
      <c r="W66" s="48"/>
      <c r="X66" s="48"/>
      <c r="Y66" s="48"/>
      <c r="Z66" s="48"/>
      <c r="AA66" s="48"/>
      <c r="AB66" s="48"/>
      <c r="AC66" s="48"/>
      <c r="AD66" s="48"/>
      <c r="AE66" s="48"/>
      <c r="AF66" s="48"/>
    </row>
    <row r="67" spans="2:32" x14ac:dyDescent="0.2">
      <c r="B67" s="152"/>
      <c r="C67" s="152"/>
      <c r="D67" s="152"/>
      <c r="E67" s="48"/>
      <c r="F67" s="48"/>
      <c r="G67" s="48"/>
      <c r="H67" s="48"/>
      <c r="I67" s="48"/>
      <c r="J67" s="48"/>
      <c r="K67" s="48"/>
      <c r="L67" s="48"/>
      <c r="M67" s="48"/>
      <c r="N67" s="48"/>
      <c r="O67" s="48"/>
      <c r="P67" s="48"/>
      <c r="Q67" s="48"/>
      <c r="R67" s="48"/>
      <c r="S67" s="48"/>
      <c r="T67" s="48"/>
      <c r="U67" s="48"/>
      <c r="V67" s="48"/>
      <c r="W67" s="48"/>
      <c r="X67" s="48"/>
      <c r="Y67" s="48"/>
      <c r="Z67" s="48"/>
      <c r="AA67" s="48"/>
      <c r="AB67" s="48"/>
      <c r="AC67" s="48"/>
      <c r="AD67" s="48"/>
      <c r="AE67" s="48"/>
      <c r="AF67" s="48"/>
    </row>
    <row r="68" spans="2:32" x14ac:dyDescent="0.2">
      <c r="B68" s="152"/>
      <c r="C68" s="152"/>
      <c r="D68" s="152"/>
      <c r="E68" s="48"/>
      <c r="F68" s="48"/>
      <c r="G68" s="48"/>
      <c r="H68" s="48"/>
      <c r="I68" s="48"/>
      <c r="J68" s="48"/>
      <c r="K68" s="48"/>
      <c r="L68" s="48"/>
      <c r="M68" s="48"/>
      <c r="N68" s="48"/>
      <c r="O68" s="48"/>
      <c r="P68" s="48"/>
      <c r="Q68" s="48"/>
      <c r="R68" s="48"/>
      <c r="S68" s="48"/>
      <c r="T68" s="48"/>
      <c r="U68" s="48"/>
      <c r="V68" s="48"/>
      <c r="W68" s="48"/>
      <c r="X68" s="48"/>
      <c r="Y68" s="48"/>
      <c r="Z68" s="48"/>
      <c r="AA68" s="48"/>
      <c r="AB68" s="48"/>
      <c r="AC68" s="48"/>
      <c r="AD68" s="48"/>
      <c r="AE68" s="48"/>
      <c r="AF68" s="48"/>
    </row>
    <row r="69" spans="2:32" x14ac:dyDescent="0.2"/>
    <row r="70" spans="2:32" x14ac:dyDescent="0.2"/>
    <row r="71" spans="2:32" x14ac:dyDescent="0.2"/>
  </sheetData>
  <sheetProtection algorithmName="SHA-512" hashValue="KCr5RYM2XMhxlDeEk22XWGascZ4D84P0YIrhmbJNcGyq8lYpFsCgJmoovSS5gsx2ajc4sFxmpYEwNqpn2MK7xQ==" saltValue="qrN/kAcduFZI0sJhsmjskA==" spinCount="100000" sheet="1" objects="1" scenarios="1"/>
  <mergeCells count="1">
    <mergeCell ref="C7:C34"/>
  </mergeCells>
  <pageMargins left="0.511811024" right="0.511811024" top="0.78740157499999996" bottom="0.78740157499999996" header="0.31496062000000002" footer="0.31496062000000002"/>
  <pageSetup orientation="portrait" r:id="rId1"/>
  <ignoredErrors>
    <ignoredError sqref="I62" formula="1"/>
  </ignoredErrors>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CaractAmostra!$BV$26:$BV$39</xm:f>
          </x14:formula1>
          <xm:sqref>I52</xm:sqref>
        </x14:dataValidation>
        <x14:dataValidation type="list" allowBlank="1" showInputMessage="1" showErrorMessage="1">
          <x14:formula1>
            <xm:f>CaractAmostra!$E$9:$E$20</xm:f>
          </x14:formula1>
          <xm:sqref>E19 I30 N30 S30 X30 AC30</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W225"/>
  <sheetViews>
    <sheetView showGridLines="0" workbookViewId="0"/>
  </sheetViews>
  <sheetFormatPr defaultColWidth="0" defaultRowHeight="12.75" zeroHeight="1" x14ac:dyDescent="0.2"/>
  <cols>
    <col min="1" max="1" width="24.7109375" style="126" customWidth="1"/>
    <col min="2" max="2" width="11.42578125" style="135" customWidth="1"/>
    <col min="3" max="3" width="69.5703125" style="135" customWidth="1"/>
    <col min="4" max="4" width="6.42578125" style="126" customWidth="1"/>
    <col min="5" max="5" width="46.5703125" style="126" hidden="1" customWidth="1"/>
    <col min="6" max="7" width="10" style="126" hidden="1" customWidth="1"/>
    <col min="8" max="8" width="6.28515625" style="126" customWidth="1"/>
    <col min="9" max="9" width="6.7109375" style="126" customWidth="1"/>
    <col min="10" max="10" width="39.5703125" style="126" bestFit="1" customWidth="1"/>
    <col min="11" max="13" width="10" style="126" customWidth="1"/>
    <col min="14" max="14" width="6.42578125" style="126" bestFit="1" customWidth="1"/>
    <col min="15" max="15" width="41" style="126" customWidth="1"/>
    <col min="16" max="17" width="10" style="126" customWidth="1"/>
    <col min="18" max="18" width="10.7109375" style="126" customWidth="1"/>
    <col min="19" max="19" width="54.85546875" style="126" bestFit="1" customWidth="1"/>
    <col min="20" max="20" width="15.7109375" style="126" customWidth="1"/>
    <col min="21" max="21" width="14.140625" style="126" customWidth="1"/>
    <col min="22" max="22" width="15.7109375" style="126" customWidth="1"/>
    <col min="23" max="23" width="14.140625" style="126" customWidth="1"/>
    <col min="24" max="24" width="149.42578125" style="126" customWidth="1"/>
    <col min="25" max="25" width="7.28515625" style="126" customWidth="1"/>
    <col min="26" max="26" width="35.7109375" style="126" customWidth="1"/>
    <col min="27" max="28" width="13.140625" style="126" bestFit="1" customWidth="1"/>
    <col min="29" max="30" width="9.140625" style="126" customWidth="1"/>
    <col min="31" max="31" width="14.28515625" style="126" customWidth="1"/>
    <col min="32" max="32" width="47.7109375" style="126" bestFit="1" customWidth="1"/>
    <col min="33" max="34" width="16.7109375" style="126" customWidth="1"/>
    <col min="35" max="35" width="12" style="126" customWidth="1"/>
    <col min="36" max="36" width="13.42578125" style="126" customWidth="1"/>
    <col min="37" max="37" width="13.140625" style="126" bestFit="1" customWidth="1"/>
    <col min="38" max="38" width="9.140625" style="126" customWidth="1"/>
    <col min="39" max="39" width="88.85546875" style="126" customWidth="1"/>
    <col min="40" max="40" width="6.28515625" style="126" customWidth="1"/>
    <col min="41" max="41" width="56.28515625" style="126" customWidth="1"/>
    <col min="42" max="42" width="15.7109375" style="126" customWidth="1"/>
    <col min="43" max="43" width="15.140625" style="126" customWidth="1"/>
    <col min="44" max="44" width="15.7109375" style="126" customWidth="1"/>
    <col min="45" max="45" width="14.140625" style="126" customWidth="1"/>
    <col min="46" max="46" width="148" style="126" customWidth="1"/>
    <col min="47" max="47" width="6.140625" style="126" customWidth="1"/>
    <col min="48" max="48" width="36.140625" style="126" customWidth="1"/>
    <col min="49" max="50" width="11.7109375" style="126" customWidth="1"/>
    <col min="51" max="52" width="9.140625" style="126" customWidth="1"/>
    <col min="53" max="75" width="0" style="126" hidden="1" customWidth="1"/>
    <col min="76" max="16384" width="9.140625" style="126" hidden="1"/>
  </cols>
  <sheetData>
    <row r="1" spans="1:75" s="135" customFormat="1" ht="139.5" customHeight="1" x14ac:dyDescent="0.2">
      <c r="A1" s="151" t="s">
        <v>1176</v>
      </c>
      <c r="H1" s="126"/>
      <c r="I1" s="222" t="s">
        <v>1212</v>
      </c>
      <c r="J1" s="126"/>
      <c r="K1" s="126"/>
      <c r="L1" s="126"/>
      <c r="M1" s="126"/>
      <c r="N1" s="126"/>
      <c r="O1" s="126"/>
      <c r="P1" s="126"/>
      <c r="Q1" s="126"/>
      <c r="R1" s="126"/>
      <c r="S1" s="126"/>
      <c r="T1" s="126"/>
      <c r="U1" s="126"/>
      <c r="V1" s="126"/>
      <c r="W1" s="126"/>
      <c r="X1" s="126"/>
      <c r="Y1" s="126"/>
      <c r="Z1" s="126"/>
      <c r="AA1" s="126"/>
      <c r="AB1" s="126"/>
      <c r="AC1" s="126"/>
      <c r="AD1" s="126"/>
      <c r="AE1" s="126"/>
      <c r="AF1" s="126"/>
      <c r="AG1" s="126"/>
      <c r="AH1" s="126"/>
      <c r="AI1" s="126"/>
      <c r="AJ1" s="126"/>
      <c r="AK1" s="126"/>
      <c r="AL1" s="126"/>
      <c r="AM1" s="126"/>
      <c r="AN1" s="126"/>
      <c r="AO1" s="126"/>
      <c r="AP1" s="126"/>
      <c r="AQ1" s="126"/>
      <c r="AR1" s="126"/>
      <c r="AS1" s="126"/>
      <c r="AT1" s="126"/>
      <c r="AU1" s="126"/>
      <c r="AV1" s="126"/>
      <c r="AW1" s="126"/>
      <c r="AX1" s="126"/>
      <c r="AY1" s="126"/>
      <c r="AZ1" s="126"/>
      <c r="BA1" s="126"/>
      <c r="BB1" s="126"/>
      <c r="BC1" s="126"/>
      <c r="BD1" s="126"/>
      <c r="BE1" s="126"/>
      <c r="BF1" s="126"/>
      <c r="BG1" s="126"/>
      <c r="BH1" s="126"/>
      <c r="BI1" s="126"/>
      <c r="BJ1" s="126"/>
      <c r="BK1" s="126"/>
      <c r="BL1" s="126"/>
      <c r="BM1" s="126"/>
      <c r="BN1" s="126"/>
      <c r="BO1" s="126"/>
      <c r="BP1" s="126"/>
      <c r="BQ1" s="126"/>
      <c r="BR1" s="126"/>
      <c r="BS1" s="126"/>
      <c r="BT1" s="126"/>
      <c r="BU1" s="126"/>
      <c r="BV1" s="126"/>
      <c r="BW1" s="126"/>
    </row>
    <row r="2" spans="1:75" x14ac:dyDescent="0.2">
      <c r="B2" s="152"/>
      <c r="C2" s="152"/>
      <c r="D2" s="48"/>
      <c r="E2" s="48"/>
      <c r="F2" s="48"/>
      <c r="G2" s="48"/>
      <c r="H2" s="48"/>
      <c r="I2" s="48"/>
      <c r="J2" s="48"/>
      <c r="K2" s="48"/>
      <c r="L2" s="48"/>
      <c r="M2" s="48"/>
      <c r="N2" s="48"/>
      <c r="O2" s="48"/>
      <c r="P2" s="48"/>
      <c r="Q2" s="48"/>
      <c r="R2" s="48"/>
      <c r="S2" s="48"/>
      <c r="T2" s="48"/>
      <c r="U2" s="48"/>
      <c r="V2" s="48"/>
      <c r="W2" s="48"/>
      <c r="X2" s="48"/>
      <c r="Y2" s="48"/>
      <c r="Z2" s="48"/>
      <c r="AA2" s="48"/>
      <c r="AB2" s="48"/>
      <c r="AC2" s="48"/>
      <c r="AD2" s="48"/>
      <c r="AE2" s="48"/>
      <c r="AF2" s="48"/>
      <c r="AG2" s="48"/>
      <c r="AH2" s="48"/>
      <c r="AI2" s="48"/>
      <c r="AJ2" s="48"/>
      <c r="AK2" s="48"/>
      <c r="AL2" s="48"/>
      <c r="AM2" s="48"/>
      <c r="AN2" s="48"/>
      <c r="AO2" s="48"/>
      <c r="AP2" s="48"/>
      <c r="AQ2" s="48"/>
      <c r="AR2" s="48"/>
      <c r="AS2" s="48"/>
      <c r="AT2" s="48"/>
      <c r="AU2" s="48"/>
      <c r="AV2" s="48"/>
      <c r="AW2" s="48"/>
      <c r="AX2" s="48"/>
      <c r="AY2" s="48"/>
    </row>
    <row r="3" spans="1:75" x14ac:dyDescent="0.2">
      <c r="B3" s="152"/>
      <c r="C3" s="152"/>
      <c r="D3" s="48"/>
      <c r="E3" s="48"/>
      <c r="F3" s="48"/>
      <c r="G3" s="48"/>
      <c r="H3" s="48"/>
      <c r="I3" s="48"/>
      <c r="J3" s="48"/>
      <c r="K3" s="48"/>
      <c r="L3" s="48"/>
      <c r="M3" s="48"/>
      <c r="N3" s="48"/>
      <c r="O3" s="48"/>
      <c r="P3" s="48"/>
      <c r="Q3" s="48"/>
      <c r="R3" s="48"/>
      <c r="S3" s="48"/>
      <c r="T3" s="48"/>
      <c r="U3" s="48"/>
      <c r="V3" s="48"/>
      <c r="W3" s="48"/>
      <c r="X3" s="48"/>
      <c r="Y3" s="48"/>
      <c r="Z3" s="48"/>
      <c r="AA3" s="48"/>
      <c r="AB3" s="48"/>
      <c r="AC3" s="48"/>
      <c r="AD3" s="48"/>
      <c r="AE3" s="48"/>
      <c r="AF3" s="48"/>
      <c r="AG3" s="48"/>
      <c r="AH3" s="48"/>
      <c r="AI3" s="48"/>
      <c r="AJ3" s="48"/>
      <c r="AK3" s="48"/>
      <c r="AL3" s="48"/>
      <c r="AM3" s="48"/>
      <c r="AN3" s="48"/>
      <c r="AO3" s="48"/>
      <c r="AP3" s="48"/>
      <c r="AQ3" s="48"/>
      <c r="AR3" s="48"/>
      <c r="AS3" s="48"/>
      <c r="AT3" s="48"/>
      <c r="AU3" s="48"/>
      <c r="AV3" s="48"/>
      <c r="AW3" s="48"/>
      <c r="AX3" s="48"/>
      <c r="AY3" s="48"/>
    </row>
    <row r="4" spans="1:75" x14ac:dyDescent="0.2">
      <c r="A4" s="136"/>
      <c r="B4" s="152"/>
      <c r="C4" s="152"/>
      <c r="D4" s="131"/>
      <c r="E4" s="133">
        <v>21</v>
      </c>
      <c r="F4" s="131"/>
      <c r="G4" s="131"/>
      <c r="H4" s="131"/>
      <c r="I4" s="131"/>
      <c r="J4" s="133">
        <f>E4</f>
        <v>21</v>
      </c>
      <c r="K4" s="131"/>
      <c r="L4" s="131"/>
      <c r="M4" s="131"/>
      <c r="N4" s="131"/>
      <c r="O4" s="133">
        <f>J4</f>
        <v>21</v>
      </c>
      <c r="P4" s="131"/>
      <c r="Q4" s="131"/>
      <c r="R4" s="131"/>
      <c r="S4" s="133">
        <v>22</v>
      </c>
      <c r="T4" s="131"/>
      <c r="U4" s="131"/>
      <c r="V4" s="131"/>
      <c r="W4" s="131"/>
      <c r="X4" s="131"/>
      <c r="Y4" s="131"/>
      <c r="Z4" s="133">
        <v>24</v>
      </c>
      <c r="AA4" s="131"/>
      <c r="AB4" s="131"/>
      <c r="AC4" s="131"/>
      <c r="AD4" s="131"/>
      <c r="AE4" s="131"/>
      <c r="AF4" s="133">
        <v>25</v>
      </c>
      <c r="AG4" s="131"/>
      <c r="AH4" s="131"/>
      <c r="AI4" s="131"/>
      <c r="AJ4" s="131"/>
      <c r="AK4" s="131"/>
      <c r="AL4" s="131"/>
      <c r="AM4" s="131"/>
      <c r="AN4" s="131"/>
      <c r="AO4" s="133">
        <v>26</v>
      </c>
      <c r="AP4" s="131"/>
      <c r="AQ4" s="131"/>
      <c r="AR4" s="131"/>
      <c r="AS4" s="131"/>
      <c r="AT4" s="131"/>
      <c r="AU4" s="131"/>
      <c r="AV4" s="133">
        <v>30</v>
      </c>
      <c r="AW4" s="131"/>
      <c r="AX4" s="131"/>
      <c r="AY4" s="131"/>
    </row>
    <row r="5" spans="1:75" x14ac:dyDescent="0.2">
      <c r="B5" s="152"/>
      <c r="C5" s="152"/>
      <c r="D5" s="48"/>
      <c r="E5" s="48"/>
      <c r="F5" s="48"/>
      <c r="G5" s="48"/>
      <c r="H5" s="48"/>
      <c r="I5" s="48"/>
      <c r="J5" s="48"/>
      <c r="K5" s="48"/>
      <c r="L5" s="48"/>
      <c r="M5" s="48"/>
      <c r="N5" s="48"/>
      <c r="O5" s="48"/>
      <c r="P5" s="48"/>
      <c r="Q5" s="48"/>
      <c r="R5" s="48"/>
      <c r="S5" s="48"/>
      <c r="T5" s="48"/>
      <c r="U5" s="48"/>
      <c r="V5" s="48"/>
      <c r="W5" s="48"/>
      <c r="X5" s="48"/>
      <c r="Y5" s="48"/>
      <c r="Z5" s="48"/>
      <c r="AA5" s="48"/>
      <c r="AB5" s="48"/>
      <c r="AC5" s="48"/>
      <c r="AD5" s="48"/>
      <c r="AE5" s="48"/>
      <c r="AF5" s="48"/>
      <c r="AG5" s="48"/>
      <c r="AH5" s="48"/>
      <c r="AI5" s="48"/>
      <c r="AJ5" s="48"/>
      <c r="AK5" s="48"/>
      <c r="AL5" s="48"/>
      <c r="AM5" s="48"/>
      <c r="AN5" s="48"/>
      <c r="AO5" s="48"/>
      <c r="AP5" s="48"/>
      <c r="AQ5" s="48"/>
      <c r="AR5" s="48"/>
      <c r="AS5" s="48"/>
      <c r="AT5" s="48"/>
      <c r="AU5" s="48"/>
      <c r="AV5" s="48"/>
      <c r="AW5" s="48"/>
      <c r="AX5" s="48"/>
      <c r="AY5" s="48"/>
    </row>
    <row r="6" spans="1:75" ht="25.5" x14ac:dyDescent="0.2">
      <c r="B6" s="152"/>
      <c r="C6" s="145" t="s">
        <v>1153</v>
      </c>
      <c r="D6" s="48"/>
      <c r="E6" s="137" t="s">
        <v>1178</v>
      </c>
      <c r="F6" s="48"/>
      <c r="G6" s="48"/>
      <c r="H6" s="48"/>
      <c r="I6" s="48"/>
      <c r="J6" s="137" t="str">
        <f>E6</f>
        <v>Em seu primeiro emprego após formado, qual era o nome do cargo ocupado?</v>
      </c>
      <c r="K6" s="48"/>
      <c r="L6" s="48"/>
      <c r="M6" s="48"/>
      <c r="N6" s="48"/>
      <c r="O6" s="156" t="s">
        <v>1177</v>
      </c>
      <c r="P6" s="48"/>
      <c r="Q6" s="48"/>
      <c r="R6" s="48"/>
      <c r="S6" s="137" t="str">
        <f>Tabulacao!$BU$2</f>
        <v>Em que medida as atividades do seu primeiro emprego após formado eram relacionadas à sua graduação no IFS?</v>
      </c>
      <c r="T6" s="313" t="s">
        <v>1262</v>
      </c>
      <c r="U6" s="314"/>
      <c r="V6" s="48"/>
      <c r="W6" s="48"/>
      <c r="X6" s="48"/>
      <c r="Y6" s="48"/>
      <c r="Z6" s="137" t="str">
        <f>Tabulacao!CA2</f>
        <v>Você era um profissional autônomo?</v>
      </c>
      <c r="AA6" s="48"/>
      <c r="AB6" s="48"/>
      <c r="AC6" s="48"/>
      <c r="AD6" s="48"/>
      <c r="AE6" s="48"/>
      <c r="AF6" s="137" t="str">
        <f>Tabulacao!CD2</f>
        <v>Em seu primeiro emprego após formado, qual era o seu salário inicial bruto? (em R$ por mês)</v>
      </c>
      <c r="AG6" s="48"/>
      <c r="AH6" s="48"/>
      <c r="AI6" s="48"/>
      <c r="AJ6" s="48"/>
      <c r="AK6" s="48"/>
      <c r="AL6" s="48"/>
      <c r="AM6" s="48"/>
      <c r="AN6" s="48"/>
      <c r="AO6" s="137" t="str">
        <f>Tabulacao!CG2</f>
        <v>Em que medida os conhecimentos adquiridos no IFS foram utilizados por você nesse emprego?</v>
      </c>
      <c r="AP6" s="313" t="s">
        <v>1262</v>
      </c>
      <c r="AQ6" s="314"/>
      <c r="AR6" s="48"/>
      <c r="AS6" s="48"/>
      <c r="AT6" s="48"/>
      <c r="AU6" s="48"/>
      <c r="AV6" s="137" t="str">
        <f>Tabulacao!CS2</f>
        <v xml:space="preserve">No total, quantos empregadores você teve desde a conclusão da graduação? </v>
      </c>
      <c r="AW6" s="48"/>
      <c r="AX6" s="48"/>
      <c r="AY6" s="48"/>
    </row>
    <row r="7" spans="1:75" ht="12.75" customHeight="1" x14ac:dyDescent="0.2">
      <c r="B7" s="152"/>
      <c r="C7" s="310" t="s">
        <v>1255</v>
      </c>
      <c r="D7" s="48"/>
      <c r="E7" s="48"/>
      <c r="F7" s="48"/>
      <c r="G7" s="48"/>
      <c r="H7" s="48"/>
      <c r="I7" s="48"/>
      <c r="J7" s="48"/>
      <c r="K7" s="48"/>
      <c r="L7" s="48"/>
      <c r="M7" s="48"/>
      <c r="N7" s="341" t="s">
        <v>1159</v>
      </c>
      <c r="O7" s="261" t="s">
        <v>119</v>
      </c>
      <c r="P7" s="48"/>
      <c r="Q7" s="48"/>
      <c r="R7" s="48"/>
      <c r="S7" s="48"/>
      <c r="T7" s="48"/>
      <c r="U7" s="48"/>
      <c r="V7" s="48"/>
      <c r="W7" s="48"/>
      <c r="X7" s="48"/>
      <c r="Y7" s="48"/>
      <c r="Z7" s="48"/>
      <c r="AA7" s="48"/>
      <c r="AB7" s="48"/>
      <c r="AC7" s="48"/>
      <c r="AD7" s="48"/>
      <c r="AE7" s="48"/>
      <c r="AF7" s="48"/>
      <c r="AG7" s="48"/>
      <c r="AH7" s="48"/>
      <c r="AI7" s="48"/>
      <c r="AJ7" s="48"/>
      <c r="AK7" s="48"/>
      <c r="AL7" s="48"/>
      <c r="AM7" s="48"/>
      <c r="AN7" s="48"/>
      <c r="AO7" s="48"/>
      <c r="AP7" s="48"/>
      <c r="AQ7" s="48"/>
      <c r="AR7" s="48"/>
      <c r="AS7" s="48"/>
      <c r="AT7" s="48"/>
      <c r="AU7" s="48"/>
      <c r="AV7" s="48"/>
      <c r="AW7" s="48"/>
      <c r="AX7" s="48"/>
      <c r="AY7" s="48"/>
    </row>
    <row r="8" spans="1:75" ht="25.5" x14ac:dyDescent="0.2">
      <c r="B8" s="152"/>
      <c r="C8" s="311"/>
      <c r="D8" s="48"/>
      <c r="E8" s="137" t="s">
        <v>1149</v>
      </c>
      <c r="F8" s="138" t="s">
        <v>131</v>
      </c>
      <c r="G8" s="138" t="s">
        <v>132</v>
      </c>
      <c r="H8" s="48"/>
      <c r="I8" s="137" t="s">
        <v>931</v>
      </c>
      <c r="J8" s="167" t="s">
        <v>1149</v>
      </c>
      <c r="K8" s="138" t="s">
        <v>131</v>
      </c>
      <c r="L8" s="138" t="s">
        <v>132</v>
      </c>
      <c r="M8" s="48"/>
      <c r="N8" s="256" t="s">
        <v>931</v>
      </c>
      <c r="O8" s="259" t="s">
        <v>1149</v>
      </c>
      <c r="P8" s="257" t="s">
        <v>131</v>
      </c>
      <c r="Q8" s="257" t="s">
        <v>132</v>
      </c>
      <c r="R8" s="48"/>
      <c r="S8" s="160" t="s">
        <v>970</v>
      </c>
      <c r="T8" s="138" t="s">
        <v>131</v>
      </c>
      <c r="U8" s="138" t="s">
        <v>132</v>
      </c>
      <c r="V8" s="48"/>
      <c r="W8" s="48"/>
      <c r="X8" s="48"/>
      <c r="Y8" s="48"/>
      <c r="Z8" s="160" t="s">
        <v>971</v>
      </c>
      <c r="AA8" s="138" t="s">
        <v>131</v>
      </c>
      <c r="AB8" s="138" t="s">
        <v>132</v>
      </c>
      <c r="AC8" s="48"/>
      <c r="AD8" s="48"/>
      <c r="AE8" s="48"/>
      <c r="AF8" s="160" t="s">
        <v>973</v>
      </c>
      <c r="AG8" s="138" t="s">
        <v>972</v>
      </c>
      <c r="AH8" s="48"/>
      <c r="AI8" s="48"/>
      <c r="AJ8" s="48"/>
      <c r="AK8" s="48"/>
      <c r="AL8" s="48"/>
      <c r="AM8" s="48"/>
      <c r="AN8" s="48"/>
      <c r="AO8" s="160" t="s">
        <v>985</v>
      </c>
      <c r="AP8" s="138" t="s">
        <v>131</v>
      </c>
      <c r="AQ8" s="138" t="s">
        <v>132</v>
      </c>
      <c r="AR8" s="48"/>
      <c r="AS8" s="48"/>
      <c r="AT8" s="48"/>
      <c r="AU8" s="48"/>
      <c r="AV8" s="160" t="s">
        <v>991</v>
      </c>
      <c r="AW8" s="138" t="s">
        <v>131</v>
      </c>
      <c r="AX8" s="48"/>
      <c r="AY8" s="48"/>
    </row>
    <row r="9" spans="1:75" x14ac:dyDescent="0.2">
      <c r="B9" s="152"/>
      <c r="C9" s="311"/>
      <c r="D9" s="87"/>
      <c r="E9" s="51" t="str">
        <f>Tabulacao!BR3</f>
        <v>Técnico de Tecnologia da Informação</v>
      </c>
      <c r="F9" s="52">
        <f>COUNTIF(Tabulacao!$BR:$BR,'1Emp'!$E9)</f>
        <v>2</v>
      </c>
      <c r="G9" s="53">
        <f t="shared" ref="G9:G40" si="0">F9/$F$97</f>
        <v>1.2269938650306749E-2</v>
      </c>
      <c r="H9" s="48"/>
      <c r="I9" s="52">
        <v>1</v>
      </c>
      <c r="J9" s="51" t="str">
        <f t="array" ref="J9">INDEX($E$9:$E$96,SMALL(IF($F$9:$F$96=K9,ROW($F$9:$F$96)-8),COUNTIF($K$9:K9,K9)))</f>
        <v>Professor</v>
      </c>
      <c r="K9" s="52">
        <f>LARGE($F$9:$F$96,I9)</f>
        <v>31</v>
      </c>
      <c r="L9" s="53">
        <f t="shared" ref="L9:L40" si="1">K9/$K$97</f>
        <v>0.19018404907975461</v>
      </c>
      <c r="M9" s="119"/>
      <c r="N9" s="52">
        <v>1</v>
      </c>
      <c r="O9" s="51" t="str">
        <f t="array" ref="O9">INDEX($E$103:$E$190,SMALL(IF($F$103:$F$190=P9,ROW($F$103:$F$190)-102),COUNTIF($P$9:P9,P9)))</f>
        <v>Engenheiro Civil</v>
      </c>
      <c r="P9" s="52">
        <f>LARGE($F$103:$F$190,N9)</f>
        <v>8</v>
      </c>
      <c r="Q9" s="53">
        <f t="shared" ref="Q9:Q40" si="2">P9/$P$97</f>
        <v>0.32</v>
      </c>
      <c r="R9" s="48"/>
      <c r="S9" s="60">
        <f>Tabulacao!BU4</f>
        <v>1</v>
      </c>
      <c r="T9" s="52">
        <f>Tabulacao!BV4</f>
        <v>34</v>
      </c>
      <c r="U9" s="53">
        <f>T9/SUM($T$9:$T$13)</f>
        <v>0.19540229885057472</v>
      </c>
      <c r="V9" s="48"/>
      <c r="W9" s="48"/>
      <c r="X9" s="48"/>
      <c r="Y9" s="48"/>
      <c r="Z9" s="60" t="str">
        <f>Tabulacao!CA4</f>
        <v>Não</v>
      </c>
      <c r="AA9" s="52">
        <f>Tabulacao!CB4</f>
        <v>142</v>
      </c>
      <c r="AB9" s="53">
        <f>AA9/SUM($AA$9:$AA$10)</f>
        <v>0.81609195402298851</v>
      </c>
      <c r="AC9" s="48"/>
      <c r="AD9" s="48"/>
      <c r="AE9" s="48"/>
      <c r="AF9" s="60" t="str">
        <f>Tabulacao!CD4</f>
        <v>Média</v>
      </c>
      <c r="AG9" s="99">
        <f>Tabulacao!CE4</f>
        <v>1982.6707317073171</v>
      </c>
      <c r="AH9" s="48"/>
      <c r="AI9" s="48"/>
      <c r="AJ9" s="48"/>
      <c r="AK9" s="48"/>
      <c r="AL9" s="48"/>
      <c r="AM9" s="48"/>
      <c r="AN9" s="48"/>
      <c r="AO9" s="60">
        <f>Tabulacao!CG4</f>
        <v>1</v>
      </c>
      <c r="AP9" s="52">
        <f>IFERROR(COUNTIF(Respostas_Formatadas!$AJ:$AJ,'1Emp'!$AO9),"-")</f>
        <v>17</v>
      </c>
      <c r="AQ9" s="53">
        <f>AP9/SUM($AP$9:$AP$13)</f>
        <v>9.7701149425287362E-2</v>
      </c>
      <c r="AR9" s="48"/>
      <c r="AS9" s="48"/>
      <c r="AT9" s="48"/>
      <c r="AU9" s="48"/>
      <c r="AV9" s="60" t="str">
        <f>Tabulacao!CS4</f>
        <v>Média</v>
      </c>
      <c r="AW9" s="72">
        <f>Tabulacao!CT4</f>
        <v>2.3194444444444446</v>
      </c>
      <c r="AX9" s="73"/>
      <c r="AY9" s="48"/>
    </row>
    <row r="10" spans="1:75" x14ac:dyDescent="0.2">
      <c r="B10" s="152"/>
      <c r="C10" s="311"/>
      <c r="D10" s="87"/>
      <c r="E10" s="51" t="str">
        <f>Tabulacao!BR6</f>
        <v>Assistente de Sistemas</v>
      </c>
      <c r="F10" s="52">
        <f>COUNTIF(Tabulacao!$BR:$BR,'1Emp'!$E10)</f>
        <v>1</v>
      </c>
      <c r="G10" s="53">
        <f t="shared" si="0"/>
        <v>6.1349693251533744E-3</v>
      </c>
      <c r="H10" s="48"/>
      <c r="I10" s="52">
        <v>2</v>
      </c>
      <c r="J10" s="51" t="str">
        <f t="array" ref="J10">INDEX($E$9:$E$96,SMALL(IF($F$9:$F$96=K10,ROW($F$9:$F$96)-8),COUNTIF($K$9:K10,K10)))</f>
        <v>Engenheiro Civil</v>
      </c>
      <c r="K10" s="52">
        <f t="shared" ref="K10:K73" si="3">LARGE($F$9:$F$96,I10)</f>
        <v>8</v>
      </c>
      <c r="L10" s="53">
        <f t="shared" si="1"/>
        <v>4.9079754601226995E-2</v>
      </c>
      <c r="M10" s="119"/>
      <c r="N10" s="52">
        <v>2</v>
      </c>
      <c r="O10" s="51" t="str">
        <f t="array" ref="O10">INDEX($E$103:$E$190,SMALL(IF($F$103:$F$190=P10,ROW($F$103:$F$190)-102),COUNTIF($P$9:P10,P10)))</f>
        <v>Professor</v>
      </c>
      <c r="P10" s="52">
        <f t="shared" ref="P10:P73" si="4">LARGE($F$103:$F$190,N10)</f>
        <v>3</v>
      </c>
      <c r="Q10" s="53">
        <f t="shared" si="2"/>
        <v>0.12</v>
      </c>
      <c r="R10" s="48"/>
      <c r="S10" s="60">
        <f>Tabulacao!BU5</f>
        <v>2</v>
      </c>
      <c r="T10" s="52">
        <f>Tabulacao!BV5</f>
        <v>11</v>
      </c>
      <c r="U10" s="53">
        <f>T10/SUM($T$9:$T$13)</f>
        <v>6.3218390804597707E-2</v>
      </c>
      <c r="V10" s="48"/>
      <c r="W10" s="48"/>
      <c r="X10" s="48"/>
      <c r="Y10" s="48"/>
      <c r="Z10" s="60" t="str">
        <f>Tabulacao!CA5</f>
        <v>Sim</v>
      </c>
      <c r="AA10" s="52">
        <f>Tabulacao!CB5</f>
        <v>32</v>
      </c>
      <c r="AB10" s="53">
        <f>AA10/SUM($AA$9:$AA$10)</f>
        <v>0.18390804597701149</v>
      </c>
      <c r="AC10" s="48"/>
      <c r="AD10" s="48"/>
      <c r="AE10" s="48"/>
      <c r="AF10" s="60" t="s">
        <v>975</v>
      </c>
      <c r="AG10" s="68">
        <f>MAX($AG$56:$AG$219)</f>
        <v>21350</v>
      </c>
      <c r="AH10" s="48"/>
      <c r="AI10" s="48"/>
      <c r="AJ10" s="48"/>
      <c r="AK10" s="48"/>
      <c r="AL10" s="48"/>
      <c r="AM10" s="48"/>
      <c r="AN10" s="48"/>
      <c r="AO10" s="60">
        <f>Tabulacao!CG5</f>
        <v>2</v>
      </c>
      <c r="AP10" s="52">
        <f>IFERROR(COUNTIF(Respostas_Formatadas!$AJ:$AJ,'1Emp'!$AO10),"-")</f>
        <v>17</v>
      </c>
      <c r="AQ10" s="53">
        <f>AP10/SUM($AP$9:$AP$13)</f>
        <v>9.7701149425287362E-2</v>
      </c>
      <c r="AR10" s="48"/>
      <c r="AS10" s="48"/>
      <c r="AT10" s="48"/>
      <c r="AU10" s="48"/>
      <c r="AV10" s="60" t="str">
        <f>Tabulacao!CS5</f>
        <v>Moda</v>
      </c>
      <c r="AW10" s="52">
        <f>Tabulacao!CT5</f>
        <v>2</v>
      </c>
      <c r="AX10" s="74"/>
      <c r="AY10" s="48"/>
    </row>
    <row r="11" spans="1:75" x14ac:dyDescent="0.2">
      <c r="B11" s="152"/>
      <c r="C11" s="311"/>
      <c r="D11" s="87"/>
      <c r="E11" s="51" t="str">
        <f>Tabulacao!BR8</f>
        <v>Inspetor de Segurança</v>
      </c>
      <c r="F11" s="52">
        <f>COUNTIF(Tabulacao!$BR:$BR,'1Emp'!$E11)</f>
        <v>1</v>
      </c>
      <c r="G11" s="53">
        <f t="shared" si="0"/>
        <v>6.1349693251533744E-3</v>
      </c>
      <c r="H11" s="48"/>
      <c r="I11" s="52">
        <v>3</v>
      </c>
      <c r="J11" s="51" t="str">
        <f t="array" ref="J11">INDEX($E$9:$E$96,SMALL(IF($F$9:$F$96=K11,ROW($F$9:$F$96)-8),COUNTIF($K$9:K11,K11)))</f>
        <v>Auxiliar Administrativo</v>
      </c>
      <c r="K11" s="52">
        <f t="shared" si="3"/>
        <v>7</v>
      </c>
      <c r="L11" s="53">
        <f t="shared" si="1"/>
        <v>4.2944785276073622E-2</v>
      </c>
      <c r="M11" s="119"/>
      <c r="N11" s="52">
        <v>3</v>
      </c>
      <c r="O11" s="51" t="str">
        <f t="array" ref="O11">INDEX($E$103:$E$190,SMALL(IF($F$103:$F$190=P11,ROW($F$103:$F$190)-102),COUNTIF($P$9:P11,P11)))</f>
        <v>Diretor</v>
      </c>
      <c r="P11" s="52">
        <f t="shared" si="4"/>
        <v>2</v>
      </c>
      <c r="Q11" s="53">
        <f t="shared" si="2"/>
        <v>0.08</v>
      </c>
      <c r="R11" s="48"/>
      <c r="S11" s="60">
        <f>Tabulacao!BU6</f>
        <v>3</v>
      </c>
      <c r="T11" s="52">
        <f>Tabulacao!BV6</f>
        <v>23</v>
      </c>
      <c r="U11" s="53">
        <f>T11/SUM($T$9:$T$13)</f>
        <v>0.13218390804597702</v>
      </c>
      <c r="V11" s="48"/>
      <c r="W11" s="48"/>
      <c r="X11" s="48"/>
      <c r="Y11" s="48"/>
      <c r="Z11" s="93" t="s">
        <v>621</v>
      </c>
      <c r="AA11" s="94">
        <f>SUM(AA9:AA10)</f>
        <v>174</v>
      </c>
      <c r="AB11" s="95">
        <f>SUM(AB9:AB10)</f>
        <v>1</v>
      </c>
      <c r="AC11" s="48"/>
      <c r="AD11" s="48"/>
      <c r="AE11" s="48"/>
      <c r="AF11" s="60" t="s">
        <v>976</v>
      </c>
      <c r="AG11" s="68">
        <f>MIN($AG$56:$AG$219)</f>
        <v>400</v>
      </c>
      <c r="AH11" s="48"/>
      <c r="AI11" s="48"/>
      <c r="AJ11" s="48"/>
      <c r="AK11" s="48"/>
      <c r="AL11" s="48"/>
      <c r="AM11" s="48"/>
      <c r="AN11" s="48"/>
      <c r="AO11" s="60">
        <f>Tabulacao!CG6</f>
        <v>3</v>
      </c>
      <c r="AP11" s="52">
        <f>IFERROR(COUNTIF(Respostas_Formatadas!$AJ:$AJ,'1Emp'!$AO11),"-")</f>
        <v>30</v>
      </c>
      <c r="AQ11" s="53">
        <f>AP11/SUM($AP$9:$AP$13)</f>
        <v>0.17241379310344829</v>
      </c>
      <c r="AR11" s="48"/>
      <c r="AS11" s="48"/>
      <c r="AT11" s="48"/>
      <c r="AU11" s="48"/>
      <c r="AV11" s="60" t="str">
        <f>Tabulacao!CS6</f>
        <v>Mediana</v>
      </c>
      <c r="AW11" s="52">
        <f>Tabulacao!CT6</f>
        <v>2</v>
      </c>
      <c r="AX11" s="74"/>
      <c r="AY11" s="48"/>
    </row>
    <row r="12" spans="1:75" x14ac:dyDescent="0.2">
      <c r="B12" s="152"/>
      <c r="C12" s="311"/>
      <c r="D12" s="87"/>
      <c r="E12" s="51" t="str">
        <f>Tabulacao!BR10</f>
        <v>Gerente</v>
      </c>
      <c r="F12" s="52">
        <f>COUNTIF(Tabulacao!$BR:$BR,'1Emp'!$E12)</f>
        <v>1</v>
      </c>
      <c r="G12" s="53">
        <f t="shared" si="0"/>
        <v>6.1349693251533744E-3</v>
      </c>
      <c r="H12" s="48"/>
      <c r="I12" s="52">
        <v>4</v>
      </c>
      <c r="J12" s="51" t="str">
        <f t="array" ref="J12">INDEX($E$9:$E$96,SMALL(IF($F$9:$F$96=K12,ROW($F$9:$F$96)-8),COUNTIF($K$9:K12,K12)))</f>
        <v>Assistente Administrativo</v>
      </c>
      <c r="K12" s="52">
        <f t="shared" si="3"/>
        <v>7</v>
      </c>
      <c r="L12" s="53">
        <f t="shared" si="1"/>
        <v>4.2944785276073622E-2</v>
      </c>
      <c r="M12" s="119"/>
      <c r="N12" s="52">
        <v>4</v>
      </c>
      <c r="O12" s="51" t="str">
        <f t="array" ref="O12">INDEX($E$103:$E$190,SMALL(IF($F$103:$F$190=P12,ROW($F$103:$F$190)-102),COUNTIF($P$9:P12,P12)))</f>
        <v>Assistente de Engenharia</v>
      </c>
      <c r="P12" s="52">
        <f t="shared" si="4"/>
        <v>2</v>
      </c>
      <c r="Q12" s="53">
        <f t="shared" si="2"/>
        <v>0.08</v>
      </c>
      <c r="R12" s="48"/>
      <c r="S12" s="60">
        <f>Tabulacao!BU7</f>
        <v>4</v>
      </c>
      <c r="T12" s="52">
        <f>Tabulacao!BV7</f>
        <v>31</v>
      </c>
      <c r="U12" s="53">
        <f>T12/SUM($T$9:$T$13)</f>
        <v>0.17816091954022989</v>
      </c>
      <c r="V12" s="48"/>
      <c r="W12" s="48"/>
      <c r="X12" s="48"/>
      <c r="Y12" s="48"/>
      <c r="Z12" s="48"/>
      <c r="AA12" s="48"/>
      <c r="AB12" s="48"/>
      <c r="AC12" s="48"/>
      <c r="AD12" s="48"/>
      <c r="AE12" s="48"/>
      <c r="AF12" s="60" t="str">
        <f>Tabulacao!CD5</f>
        <v>Moda</v>
      </c>
      <c r="AG12" s="68">
        <f>Tabulacao!CE5</f>
        <v>1500</v>
      </c>
      <c r="AH12" s="48"/>
      <c r="AI12" s="48"/>
      <c r="AJ12" s="48"/>
      <c r="AK12" s="48"/>
      <c r="AL12" s="48"/>
      <c r="AM12" s="48"/>
      <c r="AN12" s="48"/>
      <c r="AO12" s="60">
        <f>Tabulacao!CG7</f>
        <v>4</v>
      </c>
      <c r="AP12" s="52">
        <f>IFERROR(COUNTIF(Respostas_Formatadas!$AJ:$AJ,'1Emp'!$AO12),"-")</f>
        <v>42</v>
      </c>
      <c r="AQ12" s="53">
        <f>AP12/SUM($AP$9:$AP$13)</f>
        <v>0.2413793103448276</v>
      </c>
      <c r="AR12" s="48"/>
      <c r="AS12" s="48"/>
      <c r="AT12" s="48"/>
      <c r="AU12" s="48"/>
      <c r="AV12" s="60" t="str">
        <f>Tabulacao!CS7</f>
        <v>Máximo</v>
      </c>
      <c r="AW12" s="52">
        <f>Tabulacao!CT7</f>
        <v>6</v>
      </c>
      <c r="AX12" s="74"/>
      <c r="AY12" s="48"/>
    </row>
    <row r="13" spans="1:75" x14ac:dyDescent="0.2">
      <c r="B13" s="152"/>
      <c r="C13" s="311"/>
      <c r="D13" s="87"/>
      <c r="E13" s="51" t="str">
        <f>Tabulacao!BR11</f>
        <v>Diretor Administrativo</v>
      </c>
      <c r="F13" s="52">
        <f>COUNTIF(Tabulacao!$BR:$BR,'1Emp'!$E13)</f>
        <v>1</v>
      </c>
      <c r="G13" s="53">
        <f t="shared" si="0"/>
        <v>6.1349693251533744E-3</v>
      </c>
      <c r="H13" s="48"/>
      <c r="I13" s="52">
        <v>5</v>
      </c>
      <c r="J13" s="51" t="str">
        <f t="array" ref="J13">INDEX($E$9:$E$96,SMALL(IF($F$9:$F$96=K13,ROW($F$9:$F$96)-8),COUNTIF($K$9:K13,K13)))</f>
        <v>Analista de Sistemas</v>
      </c>
      <c r="K13" s="52">
        <f t="shared" si="3"/>
        <v>5</v>
      </c>
      <c r="L13" s="53">
        <f t="shared" si="1"/>
        <v>3.0674846625766871E-2</v>
      </c>
      <c r="M13" s="119"/>
      <c r="N13" s="52">
        <v>5</v>
      </c>
      <c r="O13" s="51" t="str">
        <f t="array" ref="O13">INDEX($E$103:$E$190,SMALL(IF($F$103:$F$190=P13,ROW($F$103:$F$190)-102),COUNTIF($P$9:P13,P13)))</f>
        <v>Assistente</v>
      </c>
      <c r="P13" s="52">
        <f t="shared" si="4"/>
        <v>1</v>
      </c>
      <c r="Q13" s="53">
        <f t="shared" si="2"/>
        <v>0.04</v>
      </c>
      <c r="R13" s="48"/>
      <c r="S13" s="60">
        <f>Tabulacao!BU8</f>
        <v>5</v>
      </c>
      <c r="T13" s="52">
        <f>Tabulacao!BV8</f>
        <v>75</v>
      </c>
      <c r="U13" s="53">
        <f>T13/SUM($T$9:$T$13)</f>
        <v>0.43103448275862066</v>
      </c>
      <c r="V13" s="48"/>
      <c r="W13" s="48"/>
      <c r="X13" s="48"/>
      <c r="Y13" s="48"/>
      <c r="Z13" s="48"/>
      <c r="AA13" s="48"/>
      <c r="AB13" s="48"/>
      <c r="AC13" s="48"/>
      <c r="AD13" s="48"/>
      <c r="AE13" s="48"/>
      <c r="AF13" s="60" t="str">
        <f>Tabulacao!CD6</f>
        <v>Mediana</v>
      </c>
      <c r="AG13" s="68">
        <f>Tabulacao!CE6</f>
        <v>1500</v>
      </c>
      <c r="AH13" s="48"/>
      <c r="AI13" s="48"/>
      <c r="AJ13" s="48"/>
      <c r="AK13" s="48"/>
      <c r="AL13" s="48"/>
      <c r="AM13" s="48"/>
      <c r="AN13" s="48"/>
      <c r="AO13" s="60">
        <f>Tabulacao!CG8</f>
        <v>5</v>
      </c>
      <c r="AP13" s="52">
        <f>IFERROR(COUNTIF(Respostas_Formatadas!$AJ:$AJ,'1Emp'!$AO13),"-")</f>
        <v>68</v>
      </c>
      <c r="AQ13" s="53">
        <f>AP13/SUM($AP$9:$AP$13)</f>
        <v>0.39080459770114945</v>
      </c>
      <c r="AR13" s="48"/>
      <c r="AS13" s="48"/>
      <c r="AT13" s="48"/>
      <c r="AU13" s="48"/>
      <c r="AV13" s="60" t="str">
        <f>Tabulacao!CS8</f>
        <v>Mínimo</v>
      </c>
      <c r="AW13" s="52">
        <f>Tabulacao!CT8</f>
        <v>1</v>
      </c>
      <c r="AX13" s="74"/>
      <c r="AY13" s="48"/>
    </row>
    <row r="14" spans="1:75" x14ac:dyDescent="0.2">
      <c r="B14" s="152"/>
      <c r="C14" s="311"/>
      <c r="D14" s="87"/>
      <c r="E14" s="51" t="str">
        <f>Tabulacao!BR12</f>
        <v>Atendente de Hospedagem</v>
      </c>
      <c r="F14" s="52">
        <f>COUNTIF(Tabulacao!$BR:$BR,'1Emp'!$E14)</f>
        <v>1</v>
      </c>
      <c r="G14" s="53">
        <f t="shared" si="0"/>
        <v>6.1349693251533744E-3</v>
      </c>
      <c r="H14" s="48"/>
      <c r="I14" s="52">
        <v>6</v>
      </c>
      <c r="J14" s="51" t="str">
        <f t="array" ref="J14">INDEX($E$9:$E$96,SMALL(IF($F$9:$F$96=K14,ROW($F$9:$F$96)-8),COUNTIF($K$9:K14,K14)))</f>
        <v>Analista Ambiental</v>
      </c>
      <c r="K14" s="52">
        <f t="shared" si="3"/>
        <v>4</v>
      </c>
      <c r="L14" s="53">
        <f t="shared" si="1"/>
        <v>2.4539877300613498E-2</v>
      </c>
      <c r="M14" s="119"/>
      <c r="N14" s="52">
        <v>6</v>
      </c>
      <c r="O14" s="51" t="str">
        <f t="array" ref="O14">INDEX($E$103:$E$190,SMALL(IF($F$103:$F$190=P14,ROW($F$103:$F$190)-102),COUNTIF($P$9:P14,P14)))</f>
        <v>Entrevistador</v>
      </c>
      <c r="P14" s="52">
        <f t="shared" si="4"/>
        <v>1</v>
      </c>
      <c r="Q14" s="53">
        <f t="shared" si="2"/>
        <v>0.04</v>
      </c>
      <c r="R14" s="48"/>
      <c r="S14" s="93" t="s">
        <v>621</v>
      </c>
      <c r="T14" s="94">
        <f>SUM(T9:T13)</f>
        <v>174</v>
      </c>
      <c r="U14" s="95">
        <f>SUM(U9:U13)</f>
        <v>1</v>
      </c>
      <c r="V14" s="48"/>
      <c r="W14" s="48"/>
      <c r="X14" s="48"/>
      <c r="Y14" s="48"/>
      <c r="Z14" s="48"/>
      <c r="AA14" s="48"/>
      <c r="AB14" s="48"/>
      <c r="AC14" s="48"/>
      <c r="AD14" s="48"/>
      <c r="AE14" s="48"/>
      <c r="AF14" s="60" t="str">
        <f>Tabulacao!CD7</f>
        <v>Desvio Padrão</v>
      </c>
      <c r="AG14" s="68">
        <f>Tabulacao!CE7</f>
        <v>1895.7417931068505</v>
      </c>
      <c r="AH14" s="48"/>
      <c r="AI14" s="48"/>
      <c r="AJ14" s="48"/>
      <c r="AK14" s="48"/>
      <c r="AL14" s="48"/>
      <c r="AM14" s="48"/>
      <c r="AN14" s="48"/>
      <c r="AO14" s="93" t="s">
        <v>621</v>
      </c>
      <c r="AP14" s="94">
        <f>SUM(AP9:AP13)</f>
        <v>174</v>
      </c>
      <c r="AQ14" s="95">
        <f>SUM(AQ9:AQ13)</f>
        <v>1</v>
      </c>
      <c r="AR14" s="48"/>
      <c r="AS14" s="48"/>
      <c r="AT14" s="48"/>
      <c r="AU14" s="48"/>
      <c r="AV14" s="60" t="str">
        <f>Tabulacao!CS9</f>
        <v>Desvio Padrão</v>
      </c>
      <c r="AW14" s="72">
        <f>Tabulacao!CT9</f>
        <v>1.1362640055950723</v>
      </c>
      <c r="AX14" s="73"/>
      <c r="AY14" s="48"/>
    </row>
    <row r="15" spans="1:75" x14ac:dyDescent="0.2">
      <c r="B15" s="152"/>
      <c r="C15" s="311"/>
      <c r="D15" s="87"/>
      <c r="E15" s="51" t="str">
        <f>Tabulacao!BR14</f>
        <v>Entrevistador</v>
      </c>
      <c r="F15" s="52">
        <f>COUNTIF(Tabulacao!$BR:$BR,'1Emp'!$E15)</f>
        <v>1</v>
      </c>
      <c r="G15" s="53">
        <f t="shared" si="0"/>
        <v>6.1349693251533744E-3</v>
      </c>
      <c r="H15" s="48"/>
      <c r="I15" s="52">
        <v>7</v>
      </c>
      <c r="J15" s="51" t="str">
        <f t="array" ref="J15">INDEX($E$9:$E$96,SMALL(IF($F$9:$F$96=K15,ROW($F$9:$F$96)-8),COUNTIF($K$9:K15,K15)))</f>
        <v>Recepcionista</v>
      </c>
      <c r="K15" s="52">
        <f t="shared" si="3"/>
        <v>3</v>
      </c>
      <c r="L15" s="53">
        <f t="shared" si="1"/>
        <v>1.8404907975460124E-2</v>
      </c>
      <c r="M15" s="119"/>
      <c r="N15" s="52">
        <v>7</v>
      </c>
      <c r="O15" s="51" t="str">
        <f t="array" ref="O15">INDEX($E$103:$E$190,SMALL(IF($F$103:$F$190=P15,ROW($F$103:$F$190)-102),COUNTIF($P$9:P15,P15)))</f>
        <v>Assistente de Gestão Operacional</v>
      </c>
      <c r="P15" s="52">
        <f t="shared" si="4"/>
        <v>1</v>
      </c>
      <c r="Q15" s="53">
        <f t="shared" si="2"/>
        <v>0.04</v>
      </c>
      <c r="R15" s="48"/>
      <c r="S15" s="61" t="str">
        <f>Tabulacao!BU10</f>
        <v>Média</v>
      </c>
      <c r="T15" s="62">
        <f>Tabulacao!BV10</f>
        <v>3.5862068965517242</v>
      </c>
      <c r="U15" s="63" t="s">
        <v>933</v>
      </c>
      <c r="V15" s="48"/>
      <c r="W15" s="48"/>
      <c r="X15" s="48"/>
      <c r="Y15" s="48"/>
      <c r="Z15" s="48"/>
      <c r="AA15" s="48"/>
      <c r="AB15" s="48"/>
      <c r="AC15" s="48"/>
      <c r="AD15" s="48"/>
      <c r="AE15" s="48"/>
      <c r="AF15" s="60" t="str">
        <f>Tabulacao!CD8</f>
        <v>Variância</v>
      </c>
      <c r="AG15" s="68">
        <f>Tabulacao!CE8</f>
        <v>3593836.9461319768</v>
      </c>
      <c r="AH15" s="48"/>
      <c r="AI15" s="48"/>
      <c r="AJ15" s="48"/>
      <c r="AK15" s="48"/>
      <c r="AL15" s="48"/>
      <c r="AM15" s="48"/>
      <c r="AN15" s="48"/>
      <c r="AO15" s="61" t="str">
        <f>Tabulacao!CG10</f>
        <v>Média</v>
      </c>
      <c r="AP15" s="62">
        <f>Tabulacao!CH10</f>
        <v>3.7298850574712645</v>
      </c>
      <c r="AQ15" s="63" t="s">
        <v>933</v>
      </c>
      <c r="AR15" s="48"/>
      <c r="AS15" s="48"/>
      <c r="AT15" s="48"/>
      <c r="AU15" s="48"/>
      <c r="AV15" s="60" t="str">
        <f>Tabulacao!CS10</f>
        <v>Variância</v>
      </c>
      <c r="AW15" s="72">
        <f>Tabulacao!CT10</f>
        <v>1.2910958904109586</v>
      </c>
      <c r="AX15" s="73"/>
      <c r="AY15" s="48"/>
    </row>
    <row r="16" spans="1:75" x14ac:dyDescent="0.2">
      <c r="B16" s="152"/>
      <c r="C16" s="311"/>
      <c r="D16" s="87"/>
      <c r="E16" s="51" t="str">
        <f>Tabulacao!BR18</f>
        <v>Auxiliar Administrativo</v>
      </c>
      <c r="F16" s="52">
        <f>COUNTIF(Tabulacao!$BR:$BR,'1Emp'!$E16)</f>
        <v>7</v>
      </c>
      <c r="G16" s="53">
        <f t="shared" si="0"/>
        <v>4.2944785276073622E-2</v>
      </c>
      <c r="H16" s="48"/>
      <c r="I16" s="52">
        <v>8</v>
      </c>
      <c r="J16" s="51" t="str">
        <f t="array" ref="J16">INDEX($E$9:$E$96,SMALL(IF($F$9:$F$96=K16,ROW($F$9:$F$96)-8),COUNTIF($K$9:K16,K16)))</f>
        <v>Coordenador Ambiental</v>
      </c>
      <c r="K16" s="52">
        <f t="shared" si="3"/>
        <v>3</v>
      </c>
      <c r="L16" s="53">
        <f t="shared" si="1"/>
        <v>1.8404907975460124E-2</v>
      </c>
      <c r="M16" s="119"/>
      <c r="N16" s="52">
        <v>8</v>
      </c>
      <c r="O16" s="51" t="str">
        <f t="array" ref="O16">INDEX($E$103:$E$190,SMALL(IF($F$103:$F$190=P16,ROW($F$103:$F$190)-102),COUNTIF($P$9:P16,P16)))</f>
        <v>Gerente de Fábrica</v>
      </c>
      <c r="P16" s="52">
        <f t="shared" si="4"/>
        <v>1</v>
      </c>
      <c r="Q16" s="53">
        <f t="shared" si="2"/>
        <v>0.04</v>
      </c>
      <c r="R16" s="48"/>
      <c r="S16" s="61" t="str">
        <f>Tabulacao!BU11</f>
        <v>Moda</v>
      </c>
      <c r="T16" s="64">
        <f>Tabulacao!BV11</f>
        <v>5</v>
      </c>
      <c r="U16" s="63" t="s">
        <v>933</v>
      </c>
      <c r="V16" s="48"/>
      <c r="W16" s="48"/>
      <c r="X16" s="48"/>
      <c r="Y16" s="48"/>
      <c r="Z16" s="48"/>
      <c r="AA16" s="48"/>
      <c r="AB16" s="48"/>
      <c r="AC16" s="48"/>
      <c r="AD16" s="48"/>
      <c r="AE16" s="48"/>
      <c r="AF16" s="48"/>
      <c r="AG16" s="48"/>
      <c r="AH16" s="48"/>
      <c r="AI16" s="48"/>
      <c r="AJ16" s="48"/>
      <c r="AK16" s="48"/>
      <c r="AL16" s="48"/>
      <c r="AM16" s="48"/>
      <c r="AN16" s="48"/>
      <c r="AO16" s="61" t="str">
        <f>Tabulacao!CG11</f>
        <v>Moda</v>
      </c>
      <c r="AP16" s="64">
        <f>Tabulacao!CH11</f>
        <v>5</v>
      </c>
      <c r="AQ16" s="63" t="s">
        <v>933</v>
      </c>
      <c r="AR16" s="48"/>
      <c r="AS16" s="48"/>
      <c r="AT16" s="48"/>
      <c r="AU16" s="48"/>
      <c r="AV16" s="48"/>
      <c r="AW16" s="48"/>
      <c r="AX16" s="48"/>
      <c r="AY16" s="48"/>
    </row>
    <row r="17" spans="2:51" x14ac:dyDescent="0.2">
      <c r="B17" s="152"/>
      <c r="C17" s="311"/>
      <c r="D17" s="87"/>
      <c r="E17" s="51" t="str">
        <f>Tabulacao!BR19</f>
        <v>Porteiro</v>
      </c>
      <c r="F17" s="52">
        <f>COUNTIF(Tabulacao!$BR:$BR,'1Emp'!$E17)</f>
        <v>1</v>
      </c>
      <c r="G17" s="53">
        <f t="shared" si="0"/>
        <v>6.1349693251533744E-3</v>
      </c>
      <c r="H17" s="48"/>
      <c r="I17" s="52">
        <v>9</v>
      </c>
      <c r="J17" s="51" t="str">
        <f t="array" ref="J17">INDEX($E$9:$E$96,SMALL(IF($F$9:$F$96=K17,ROW($F$9:$F$96)-8),COUNTIF($K$9:K17,K17)))</f>
        <v>Atendente</v>
      </c>
      <c r="K17" s="52">
        <f t="shared" si="3"/>
        <v>3</v>
      </c>
      <c r="L17" s="53">
        <f t="shared" si="1"/>
        <v>1.8404907975460124E-2</v>
      </c>
      <c r="M17" s="119"/>
      <c r="N17" s="52">
        <v>9</v>
      </c>
      <c r="O17" s="51" t="str">
        <f t="array" ref="O17">INDEX($E$103:$E$190,SMALL(IF($F$103:$F$190=P17,ROW($F$103:$F$190)-102),COUNTIF($P$9:P17,P17)))</f>
        <v>Auxiliar de Engenharia</v>
      </c>
      <c r="P17" s="52">
        <f t="shared" si="4"/>
        <v>1</v>
      </c>
      <c r="Q17" s="53">
        <f t="shared" si="2"/>
        <v>0.04</v>
      </c>
      <c r="R17" s="48"/>
      <c r="S17" s="61" t="str">
        <f>Tabulacao!BU12</f>
        <v>Mediana</v>
      </c>
      <c r="T17" s="64">
        <f>Tabulacao!BV12</f>
        <v>4</v>
      </c>
      <c r="U17" s="63" t="s">
        <v>933</v>
      </c>
      <c r="V17" s="48"/>
      <c r="W17" s="48"/>
      <c r="X17" s="48"/>
      <c r="Y17" s="48"/>
      <c r="Z17" s="48"/>
      <c r="AA17" s="48"/>
      <c r="AB17" s="48"/>
      <c r="AC17" s="48"/>
      <c r="AD17" s="48"/>
      <c r="AE17" s="48"/>
      <c r="AF17" s="48"/>
      <c r="AG17" s="48"/>
      <c r="AH17" s="48"/>
      <c r="AI17" s="48"/>
      <c r="AJ17" s="48"/>
      <c r="AK17" s="48"/>
      <c r="AL17" s="48"/>
      <c r="AM17" s="48"/>
      <c r="AN17" s="48"/>
      <c r="AO17" s="61" t="str">
        <f>Tabulacao!CG12</f>
        <v>Mediana</v>
      </c>
      <c r="AP17" s="64">
        <f>Tabulacao!CH12</f>
        <v>4</v>
      </c>
      <c r="AQ17" s="63" t="s">
        <v>933</v>
      </c>
      <c r="AR17" s="48"/>
      <c r="AS17" s="48"/>
      <c r="AT17" s="48"/>
      <c r="AU17" s="48"/>
      <c r="AV17" s="48"/>
      <c r="AW17" s="48"/>
      <c r="AX17" s="48"/>
      <c r="AY17" s="48"/>
    </row>
    <row r="18" spans="2:51" x14ac:dyDescent="0.2">
      <c r="B18" s="152"/>
      <c r="C18" s="311"/>
      <c r="D18" s="87"/>
      <c r="E18" s="51" t="str">
        <f>Tabulacao!BR20</f>
        <v>Analista de Sistemas</v>
      </c>
      <c r="F18" s="52">
        <f>COUNTIF(Tabulacao!$BR:$BR,'1Emp'!$E18)</f>
        <v>5</v>
      </c>
      <c r="G18" s="53">
        <f t="shared" si="0"/>
        <v>3.0674846625766871E-2</v>
      </c>
      <c r="H18" s="48"/>
      <c r="I18" s="52">
        <v>10</v>
      </c>
      <c r="J18" s="51" t="str">
        <f t="array" ref="J18">INDEX($E$9:$E$96,SMALL(IF($F$9:$F$96=K18,ROW($F$9:$F$96)-8),COUNTIF($K$9:K18,K18)))</f>
        <v>Tecnólogo em Saneamento Ambiental</v>
      </c>
      <c r="K18" s="52">
        <f t="shared" si="3"/>
        <v>3</v>
      </c>
      <c r="L18" s="53">
        <f t="shared" si="1"/>
        <v>1.8404907975460124E-2</v>
      </c>
      <c r="M18" s="119"/>
      <c r="N18" s="52">
        <v>10</v>
      </c>
      <c r="O18" s="51" t="str">
        <f t="array" ref="O18">INDEX($E$103:$E$190,SMALL(IF($F$103:$F$190=P18,ROW($F$103:$F$190)-102),COUNTIF($P$9:P18,P18)))</f>
        <v>Assistente Técnico de Engenharia Civil</v>
      </c>
      <c r="P18" s="52">
        <f t="shared" si="4"/>
        <v>1</v>
      </c>
      <c r="Q18" s="53">
        <f t="shared" si="2"/>
        <v>0.04</v>
      </c>
      <c r="R18" s="48"/>
      <c r="S18" s="61" t="str">
        <f>Tabulacao!BU13</f>
        <v>Desvio Padrão</v>
      </c>
      <c r="T18" s="62">
        <f>Tabulacao!BV13</f>
        <v>1.5547928816801488</v>
      </c>
      <c r="U18" s="63" t="s">
        <v>933</v>
      </c>
      <c r="V18" s="48"/>
      <c r="W18" s="48"/>
      <c r="X18" s="48"/>
      <c r="Y18" s="48"/>
      <c r="Z18" s="48"/>
      <c r="AA18" s="48"/>
      <c r="AB18" s="48"/>
      <c r="AC18" s="48"/>
      <c r="AD18" s="48"/>
      <c r="AE18" s="48"/>
      <c r="AF18" s="225"/>
      <c r="AG18" s="48"/>
      <c r="AH18" s="48"/>
      <c r="AI18" s="48"/>
      <c r="AJ18" s="48"/>
      <c r="AK18" s="48"/>
      <c r="AL18" s="48"/>
      <c r="AM18" s="48"/>
      <c r="AN18" s="48"/>
      <c r="AO18" s="61" t="str">
        <f>Tabulacao!CG13</f>
        <v>Desvio Padrão</v>
      </c>
      <c r="AP18" s="62">
        <f>Tabulacao!CH13</f>
        <v>1.3306189565465742</v>
      </c>
      <c r="AQ18" s="63" t="s">
        <v>933</v>
      </c>
      <c r="AR18" s="48"/>
      <c r="AS18" s="48"/>
      <c r="AT18" s="48"/>
      <c r="AU18" s="48"/>
      <c r="AV18" s="48"/>
      <c r="AW18" s="48"/>
      <c r="AX18" s="48"/>
      <c r="AY18" s="48"/>
    </row>
    <row r="19" spans="2:51" x14ac:dyDescent="0.2">
      <c r="B19" s="152"/>
      <c r="C19" s="311"/>
      <c r="D19" s="87"/>
      <c r="E19" s="51" t="str">
        <f>Tabulacao!BR24</f>
        <v>Motorista</v>
      </c>
      <c r="F19" s="52">
        <f>COUNTIF(Tabulacao!$BR:$BR,'1Emp'!$E19)</f>
        <v>1</v>
      </c>
      <c r="G19" s="53">
        <f t="shared" si="0"/>
        <v>6.1349693251533744E-3</v>
      </c>
      <c r="H19" s="48"/>
      <c r="I19" s="52">
        <v>11</v>
      </c>
      <c r="J19" s="51" t="str">
        <f t="array" ref="J19">INDEX($E$9:$E$96,SMALL(IF($F$9:$F$96=K19,ROW($F$9:$F$96)-8),COUNTIF($K$9:K19,K19)))</f>
        <v>Técnico de Tecnologia da Informação</v>
      </c>
      <c r="K19" s="52">
        <f t="shared" si="3"/>
        <v>2</v>
      </c>
      <c r="L19" s="53">
        <f t="shared" si="1"/>
        <v>1.2269938650306749E-2</v>
      </c>
      <c r="M19" s="119"/>
      <c r="N19" s="52">
        <v>11</v>
      </c>
      <c r="O19" s="51" t="str">
        <f t="array" ref="O19">INDEX($E$103:$E$190,SMALL(IF($F$103:$F$190=P19,ROW($F$103:$F$190)-102),COUNTIF($P$9:P19,P19)))</f>
        <v>Consultor de Negócios</v>
      </c>
      <c r="P19" s="52">
        <f t="shared" si="4"/>
        <v>1</v>
      </c>
      <c r="Q19" s="53">
        <f t="shared" si="2"/>
        <v>0.04</v>
      </c>
      <c r="R19" s="48"/>
      <c r="S19" s="61" t="str">
        <f>Tabulacao!BU14</f>
        <v>Variância</v>
      </c>
      <c r="T19" s="62">
        <f>Tabulacao!BV14</f>
        <v>2.4173809049232613</v>
      </c>
      <c r="U19" s="63" t="s">
        <v>933</v>
      </c>
      <c r="V19" s="48"/>
      <c r="W19" s="48"/>
      <c r="X19" s="48"/>
      <c r="Y19" s="48"/>
      <c r="Z19" s="48"/>
      <c r="AA19" s="48"/>
      <c r="AB19" s="48"/>
      <c r="AC19" s="48"/>
      <c r="AD19" s="48"/>
      <c r="AE19" s="48"/>
      <c r="AF19" s="48"/>
      <c r="AG19" s="48"/>
      <c r="AH19" s="48"/>
      <c r="AI19" s="48"/>
      <c r="AJ19" s="48"/>
      <c r="AK19" s="48"/>
      <c r="AL19" s="48"/>
      <c r="AM19" s="48"/>
      <c r="AN19" s="48"/>
      <c r="AO19" s="61" t="str">
        <f>Tabulacao!CG14</f>
        <v>Variância</v>
      </c>
      <c r="AP19" s="62">
        <f>Tabulacao!CH14</f>
        <v>1.7705468075210939</v>
      </c>
      <c r="AQ19" s="63" t="s">
        <v>933</v>
      </c>
      <c r="AR19" s="48"/>
      <c r="AS19" s="48"/>
      <c r="AT19" s="48"/>
      <c r="AU19" s="48"/>
      <c r="AV19" s="48"/>
      <c r="AW19" s="48"/>
      <c r="AX19" s="48"/>
      <c r="AY19" s="48"/>
    </row>
    <row r="20" spans="2:51" x14ac:dyDescent="0.2">
      <c r="B20" s="152"/>
      <c r="C20" s="311"/>
      <c r="D20" s="87"/>
      <c r="E20" s="51" t="str">
        <f>Tabulacao!BR28</f>
        <v>Engenheiro Civil</v>
      </c>
      <c r="F20" s="52">
        <f>COUNTIF(Tabulacao!$BR:$BR,'1Emp'!$E20)</f>
        <v>8</v>
      </c>
      <c r="G20" s="53">
        <f t="shared" si="0"/>
        <v>4.9079754601226995E-2</v>
      </c>
      <c r="H20" s="48"/>
      <c r="I20" s="52">
        <v>12</v>
      </c>
      <c r="J20" s="51" t="str">
        <f t="array" ref="J20">INDEX($E$9:$E$96,SMALL(IF($F$9:$F$96=K20,ROW($F$9:$F$96)-8),COUNTIF($K$9:K20,K20)))</f>
        <v>Eletricista</v>
      </c>
      <c r="K20" s="52">
        <f t="shared" si="3"/>
        <v>2</v>
      </c>
      <c r="L20" s="53">
        <f t="shared" si="1"/>
        <v>1.2269938650306749E-2</v>
      </c>
      <c r="M20" s="119"/>
      <c r="N20" s="52">
        <v>12</v>
      </c>
      <c r="O20" s="51" t="str">
        <f t="array" ref="O20">INDEX($E$103:$E$190,SMALL(IF($F$103:$F$190=P20,ROW($F$103:$F$190)-102),COUNTIF($P$9:P20,P20)))</f>
        <v>Projetista</v>
      </c>
      <c r="P20" s="52">
        <f t="shared" si="4"/>
        <v>1</v>
      </c>
      <c r="Q20" s="53">
        <f t="shared" si="2"/>
        <v>0.04</v>
      </c>
      <c r="R20" s="48"/>
      <c r="S20" s="61" t="s">
        <v>1179</v>
      </c>
      <c r="T20" s="92">
        <f>Tabulacao!BV15</f>
        <v>0.43354801508388763</v>
      </c>
      <c r="U20" s="63" t="s">
        <v>933</v>
      </c>
      <c r="V20" s="48"/>
      <c r="W20" s="48"/>
      <c r="X20" s="48"/>
      <c r="Y20" s="48"/>
      <c r="Z20" s="48"/>
      <c r="AA20" s="48"/>
      <c r="AB20" s="48"/>
      <c r="AC20" s="48"/>
      <c r="AD20" s="48"/>
      <c r="AE20" s="48"/>
      <c r="AF20" s="48"/>
      <c r="AG20" s="48"/>
      <c r="AH20" s="48"/>
      <c r="AI20" s="48"/>
      <c r="AJ20" s="48"/>
      <c r="AK20" s="48"/>
      <c r="AL20" s="48"/>
      <c r="AM20" s="48"/>
      <c r="AN20" s="48"/>
      <c r="AO20" s="48"/>
      <c r="AP20" s="48"/>
      <c r="AQ20" s="48"/>
      <c r="AR20" s="48"/>
      <c r="AS20" s="48"/>
      <c r="AT20" s="48"/>
      <c r="AU20" s="48"/>
      <c r="AV20" s="48"/>
      <c r="AW20" s="48"/>
      <c r="AX20" s="48"/>
      <c r="AY20" s="48"/>
    </row>
    <row r="21" spans="2:51" x14ac:dyDescent="0.2">
      <c r="B21" s="152"/>
      <c r="C21" s="311"/>
      <c r="D21" s="87"/>
      <c r="E21" s="51" t="str">
        <f>Tabulacao!BR29</f>
        <v>Condutor de Ambulância</v>
      </c>
      <c r="F21" s="52">
        <f>COUNTIF(Tabulacao!$BR:$BR,'1Emp'!$E21)</f>
        <v>1</v>
      </c>
      <c r="G21" s="53">
        <f t="shared" si="0"/>
        <v>6.1349693251533744E-3</v>
      </c>
      <c r="H21" s="48"/>
      <c r="I21" s="52">
        <v>13</v>
      </c>
      <c r="J21" s="51" t="str">
        <f t="array" ref="J21">INDEX($E$9:$E$96,SMALL(IF($F$9:$F$96=K21,ROW($F$9:$F$96)-8),COUNTIF($K$9:K21,K21)))</f>
        <v>Plataformista</v>
      </c>
      <c r="K21" s="52">
        <f t="shared" si="3"/>
        <v>2</v>
      </c>
      <c r="L21" s="53">
        <f t="shared" si="1"/>
        <v>1.2269938650306749E-2</v>
      </c>
      <c r="M21" s="119"/>
      <c r="N21" s="52">
        <v>13</v>
      </c>
      <c r="O21" s="51" t="str">
        <f t="array" ref="O21">INDEX($E$103:$E$190,SMALL(IF($F$103:$F$190=P21,ROW($F$103:$F$190)-102),COUNTIF($P$9:P21,P21)))</f>
        <v>Assessor de Diretoria</v>
      </c>
      <c r="P21" s="52">
        <f t="shared" si="4"/>
        <v>1</v>
      </c>
      <c r="Q21" s="53">
        <f t="shared" si="2"/>
        <v>0.04</v>
      </c>
      <c r="R21" s="48"/>
      <c r="S21" s="48"/>
      <c r="T21" s="48"/>
      <c r="U21" s="48"/>
      <c r="V21" s="48"/>
      <c r="W21" s="48"/>
      <c r="X21" s="48"/>
      <c r="Y21" s="48"/>
      <c r="Z21" s="48"/>
      <c r="AA21" s="48"/>
      <c r="AB21" s="48"/>
      <c r="AC21" s="48"/>
      <c r="AD21" s="48"/>
      <c r="AE21" s="48"/>
      <c r="AF21" s="48"/>
      <c r="AG21" s="48"/>
      <c r="AH21" s="48"/>
      <c r="AI21" s="48"/>
      <c r="AJ21" s="48"/>
      <c r="AK21" s="48"/>
      <c r="AL21" s="48"/>
      <c r="AM21" s="48"/>
      <c r="AN21" s="48"/>
      <c r="AO21" s="48"/>
      <c r="AP21" s="48"/>
      <c r="AQ21" s="48"/>
      <c r="AR21" s="48"/>
      <c r="AS21" s="48"/>
      <c r="AT21" s="48"/>
      <c r="AU21" s="48"/>
      <c r="AV21" s="48"/>
      <c r="AW21" s="48"/>
      <c r="AX21" s="48"/>
      <c r="AY21" s="48"/>
    </row>
    <row r="22" spans="2:51" x14ac:dyDescent="0.2">
      <c r="B22" s="152"/>
      <c r="C22" s="311"/>
      <c r="D22" s="87"/>
      <c r="E22" s="51" t="str">
        <f>Tabulacao!BR30</f>
        <v>Eletricista</v>
      </c>
      <c r="F22" s="52">
        <f>COUNTIF(Tabulacao!$BR:$BR,'1Emp'!$E22)</f>
        <v>2</v>
      </c>
      <c r="G22" s="53">
        <f t="shared" si="0"/>
        <v>1.2269938650306749E-2</v>
      </c>
      <c r="H22" s="48"/>
      <c r="I22" s="52">
        <v>14</v>
      </c>
      <c r="J22" s="51" t="str">
        <f t="array" ref="J22">INDEX($E$9:$E$96,SMALL(IF($F$9:$F$96=K22,ROW($F$9:$F$96)-8),COUNTIF($K$9:K22,K22)))</f>
        <v>Diretor</v>
      </c>
      <c r="K22" s="52">
        <f t="shared" si="3"/>
        <v>2</v>
      </c>
      <c r="L22" s="53">
        <f t="shared" si="1"/>
        <v>1.2269938650306749E-2</v>
      </c>
      <c r="M22" s="119"/>
      <c r="N22" s="52">
        <v>14</v>
      </c>
      <c r="O22" s="51" t="str">
        <f t="array" ref="O22">INDEX($E$103:$E$190,SMALL(IF($F$103:$F$190=P22,ROW($F$103:$F$190)-102),COUNTIF($P$9:P22,P22)))</f>
        <v>Auxiliar em Administração</v>
      </c>
      <c r="P22" s="52">
        <f t="shared" si="4"/>
        <v>1</v>
      </c>
      <c r="Q22" s="53">
        <f t="shared" si="2"/>
        <v>0.04</v>
      </c>
      <c r="R22" s="48"/>
      <c r="S22" s="48"/>
      <c r="T22" s="48"/>
      <c r="U22" s="48"/>
      <c r="V22" s="48"/>
      <c r="W22" s="48"/>
      <c r="X22" s="48"/>
      <c r="Y22" s="48"/>
      <c r="Z22" s="48"/>
      <c r="AA22" s="48"/>
      <c r="AB22" s="48"/>
      <c r="AC22" s="48"/>
      <c r="AD22" s="48"/>
      <c r="AE22" s="48"/>
      <c r="AF22" s="48"/>
      <c r="AG22" s="48"/>
      <c r="AH22" s="48"/>
      <c r="AI22" s="48"/>
      <c r="AJ22" s="48"/>
      <c r="AK22" s="48"/>
      <c r="AL22" s="48"/>
      <c r="AM22" s="48"/>
      <c r="AN22" s="48"/>
      <c r="AO22" s="48"/>
      <c r="AP22" s="48"/>
      <c r="AQ22" s="48"/>
      <c r="AR22" s="48"/>
      <c r="AS22" s="48"/>
      <c r="AT22" s="48"/>
      <c r="AU22" s="48"/>
      <c r="AV22" s="48"/>
      <c r="AW22" s="48"/>
      <c r="AX22" s="48"/>
      <c r="AY22" s="48"/>
    </row>
    <row r="23" spans="2:51" x14ac:dyDescent="0.2">
      <c r="B23" s="152"/>
      <c r="C23" s="311"/>
      <c r="D23" s="87"/>
      <c r="E23" s="51" t="str">
        <f>Tabulacao!BR33</f>
        <v>Recepcionista</v>
      </c>
      <c r="F23" s="52">
        <f>COUNTIF(Tabulacao!$BR:$BR,'1Emp'!$E23)</f>
        <v>3</v>
      </c>
      <c r="G23" s="53">
        <f t="shared" si="0"/>
        <v>1.8404907975460124E-2</v>
      </c>
      <c r="H23" s="48"/>
      <c r="I23" s="52">
        <v>15</v>
      </c>
      <c r="J23" s="51" t="str">
        <f t="array" ref="J23">INDEX($E$9:$E$96,SMALL(IF($F$9:$F$96=K23,ROW($F$9:$F$96)-8),COUNTIF($K$9:K23,K23)))</f>
        <v>Técnico em Química</v>
      </c>
      <c r="K23" s="52">
        <f t="shared" si="3"/>
        <v>2</v>
      </c>
      <c r="L23" s="53">
        <f t="shared" si="1"/>
        <v>1.2269938650306749E-2</v>
      </c>
      <c r="M23" s="119"/>
      <c r="N23" s="52">
        <v>15</v>
      </c>
      <c r="O23" s="51" t="str">
        <f t="array" ref="O23">INDEX($E$103:$E$190,SMALL(IF($F$103:$F$190=P23,ROW($F$103:$F$190)-102),COUNTIF($P$9:P23,P23)))</f>
        <v>Auxiliar Administrativo</v>
      </c>
      <c r="P23" s="52">
        <f t="shared" si="4"/>
        <v>0</v>
      </c>
      <c r="Q23" s="53">
        <f t="shared" si="2"/>
        <v>0</v>
      </c>
      <c r="R23" s="48"/>
      <c r="S23" s="225"/>
      <c r="T23" s="48"/>
      <c r="U23" s="48"/>
      <c r="V23" s="48"/>
      <c r="W23" s="48"/>
      <c r="X23" s="48"/>
      <c r="Y23" s="48"/>
      <c r="Z23" s="48"/>
      <c r="AA23" s="48"/>
      <c r="AB23" s="48"/>
      <c r="AC23" s="48"/>
      <c r="AD23" s="48"/>
      <c r="AE23" s="48"/>
      <c r="AF23" s="48"/>
      <c r="AG23" s="48"/>
      <c r="AH23" s="48"/>
      <c r="AI23" s="48"/>
      <c r="AJ23" s="48"/>
      <c r="AK23" s="48"/>
      <c r="AL23" s="48"/>
      <c r="AM23" s="48"/>
      <c r="AN23" s="48"/>
      <c r="AO23" s="48"/>
      <c r="AP23" s="48"/>
      <c r="AQ23" s="48"/>
      <c r="AR23" s="48"/>
      <c r="AS23" s="48"/>
      <c r="AT23" s="48"/>
      <c r="AU23" s="48"/>
      <c r="AV23" s="48"/>
      <c r="AW23" s="48"/>
      <c r="AX23" s="48"/>
      <c r="AY23" s="48"/>
    </row>
    <row r="24" spans="2:51" x14ac:dyDescent="0.2">
      <c r="B24" s="152"/>
      <c r="C24" s="311"/>
      <c r="D24" s="87"/>
      <c r="E24" s="51" t="str">
        <f>Tabulacao!BR34</f>
        <v>Professor</v>
      </c>
      <c r="F24" s="52">
        <f>COUNTIF(Tabulacao!$BR:$BR,'1Emp'!$E24)</f>
        <v>31</v>
      </c>
      <c r="G24" s="53">
        <f t="shared" si="0"/>
        <v>0.19018404907975461</v>
      </c>
      <c r="H24" s="48"/>
      <c r="I24" s="52">
        <v>16</v>
      </c>
      <c r="J24" s="51" t="str">
        <f t="array" ref="J24">INDEX($E$9:$E$96,SMALL(IF($F$9:$F$96=K24,ROW($F$9:$F$96)-8),COUNTIF($K$9:K24,K24)))</f>
        <v>Coordenador</v>
      </c>
      <c r="K24" s="52">
        <f t="shared" si="3"/>
        <v>2</v>
      </c>
      <c r="L24" s="53">
        <f t="shared" si="1"/>
        <v>1.2269938650306749E-2</v>
      </c>
      <c r="M24" s="119"/>
      <c r="N24" s="52">
        <v>16</v>
      </c>
      <c r="O24" s="51" t="str">
        <f t="array" ref="O24">INDEX($E$103:$E$190,SMALL(IF($F$103:$F$190=P24,ROW($F$103:$F$190)-102),COUNTIF($P$9:P24,P24)))</f>
        <v>Assistente Administrativo</v>
      </c>
      <c r="P24" s="52">
        <f t="shared" si="4"/>
        <v>0</v>
      </c>
      <c r="Q24" s="53">
        <f t="shared" si="2"/>
        <v>0</v>
      </c>
      <c r="R24" s="48"/>
      <c r="S24" s="48"/>
      <c r="T24" s="48"/>
      <c r="U24" s="48"/>
      <c r="V24" s="48"/>
      <c r="W24" s="48"/>
      <c r="X24" s="48"/>
      <c r="Y24" s="48"/>
      <c r="Z24" s="48"/>
      <c r="AA24" s="48"/>
      <c r="AB24" s="48"/>
      <c r="AC24" s="48"/>
      <c r="AD24" s="48"/>
      <c r="AE24" s="48"/>
      <c r="AF24" s="48"/>
      <c r="AG24" s="48"/>
      <c r="AH24" s="48"/>
      <c r="AI24" s="48"/>
      <c r="AJ24" s="48"/>
      <c r="AK24" s="48"/>
      <c r="AL24" s="48"/>
      <c r="AM24" s="48"/>
      <c r="AN24" s="48"/>
      <c r="AO24" s="48"/>
      <c r="AP24" s="48"/>
      <c r="AQ24" s="48"/>
      <c r="AR24" s="48"/>
      <c r="AS24" s="48"/>
      <c r="AT24" s="48"/>
      <c r="AU24" s="48"/>
      <c r="AV24" s="48"/>
      <c r="AW24" s="48"/>
      <c r="AX24" s="48"/>
      <c r="AY24" s="48"/>
    </row>
    <row r="25" spans="2:51" x14ac:dyDescent="0.2">
      <c r="B25" s="152"/>
      <c r="C25" s="312"/>
      <c r="D25" s="87"/>
      <c r="E25" s="51" t="str">
        <f>Tabulacao!BR42</f>
        <v>Consultor de Vendas</v>
      </c>
      <c r="F25" s="52">
        <f>COUNTIF(Tabulacao!$BR:$BR,'1Emp'!$E25)</f>
        <v>1</v>
      </c>
      <c r="G25" s="53">
        <f t="shared" si="0"/>
        <v>6.1349693251533744E-3</v>
      </c>
      <c r="H25" s="48"/>
      <c r="I25" s="52">
        <v>17</v>
      </c>
      <c r="J25" s="51" t="str">
        <f t="array" ref="J25">INDEX($E$9:$E$96,SMALL(IF($F$9:$F$96=K25,ROW($F$9:$F$96)-8),COUNTIF($K$9:K25,K25)))</f>
        <v>Técnico Ambiental</v>
      </c>
      <c r="K25" s="52">
        <f t="shared" si="3"/>
        <v>2</v>
      </c>
      <c r="L25" s="53">
        <f t="shared" si="1"/>
        <v>1.2269938650306749E-2</v>
      </c>
      <c r="M25" s="119"/>
      <c r="N25" s="52">
        <v>17</v>
      </c>
      <c r="O25" s="51" t="str">
        <f t="array" ref="O25">INDEX($E$103:$E$190,SMALL(IF($F$103:$F$190=P25,ROW($F$103:$F$190)-102),COUNTIF($P$9:P25,P25)))</f>
        <v>Analista de Sistemas</v>
      </c>
      <c r="P25" s="52">
        <f t="shared" si="4"/>
        <v>0</v>
      </c>
      <c r="Q25" s="53">
        <f t="shared" si="2"/>
        <v>0</v>
      </c>
      <c r="R25" s="48"/>
      <c r="S25" s="48"/>
      <c r="T25" s="48"/>
      <c r="U25" s="48"/>
      <c r="V25" s="48"/>
      <c r="W25" s="48"/>
      <c r="X25" s="48"/>
      <c r="Y25" s="48"/>
      <c r="Z25" s="48"/>
      <c r="AA25" s="48"/>
      <c r="AB25" s="48"/>
      <c r="AC25" s="48"/>
      <c r="AD25" s="48"/>
      <c r="AE25" s="48"/>
      <c r="AF25" s="48"/>
      <c r="AG25" s="48"/>
      <c r="AH25" s="48"/>
      <c r="AI25" s="48"/>
      <c r="AJ25" s="48"/>
      <c r="AK25" s="48"/>
      <c r="AL25" s="48"/>
      <c r="AM25" s="48"/>
      <c r="AN25" s="48"/>
      <c r="AO25" s="48"/>
      <c r="AP25" s="48"/>
      <c r="AQ25" s="48"/>
      <c r="AR25" s="48"/>
      <c r="AS25" s="48"/>
      <c r="AT25" s="48"/>
      <c r="AU25" s="48"/>
      <c r="AV25" s="48"/>
      <c r="AW25" s="48"/>
      <c r="AX25" s="48"/>
      <c r="AY25" s="48"/>
    </row>
    <row r="26" spans="2:51" x14ac:dyDescent="0.2">
      <c r="B26" s="152"/>
      <c r="C26" s="152"/>
      <c r="D26" s="87"/>
      <c r="E26" s="51" t="str">
        <f>Tabulacao!BR43</f>
        <v>Policial Militar</v>
      </c>
      <c r="F26" s="52">
        <f>COUNTIF(Tabulacao!$BR:$BR,'1Emp'!$E26)</f>
        <v>1</v>
      </c>
      <c r="G26" s="53">
        <f t="shared" si="0"/>
        <v>6.1349693251533744E-3</v>
      </c>
      <c r="H26" s="48"/>
      <c r="I26" s="52">
        <v>18</v>
      </c>
      <c r="J26" s="51" t="str">
        <f t="array" ref="J26">INDEX($E$9:$E$96,SMALL(IF($F$9:$F$96=K26,ROW($F$9:$F$96)-8),COUNTIF($K$9:K26,K26)))</f>
        <v>Funcionário Público</v>
      </c>
      <c r="K26" s="52">
        <f t="shared" si="3"/>
        <v>2</v>
      </c>
      <c r="L26" s="53">
        <f t="shared" si="1"/>
        <v>1.2269938650306749E-2</v>
      </c>
      <c r="M26" s="119"/>
      <c r="N26" s="52">
        <v>18</v>
      </c>
      <c r="O26" s="51" t="str">
        <f t="array" ref="O26">INDEX($E$103:$E$190,SMALL(IF($F$103:$F$190=P26,ROW($F$103:$F$190)-102),COUNTIF($P$9:P26,P26)))</f>
        <v>Analista Ambiental</v>
      </c>
      <c r="P26" s="52">
        <f t="shared" si="4"/>
        <v>0</v>
      </c>
      <c r="Q26" s="53">
        <f t="shared" si="2"/>
        <v>0</v>
      </c>
      <c r="R26" s="48"/>
      <c r="S26" s="48"/>
      <c r="T26" s="48"/>
      <c r="U26" s="48"/>
      <c r="V26" s="48"/>
      <c r="W26" s="48"/>
      <c r="X26" s="48"/>
      <c r="Y26" s="48"/>
      <c r="Z26" s="48"/>
      <c r="AA26" s="48"/>
      <c r="AB26" s="48"/>
      <c r="AC26" s="48"/>
      <c r="AD26" s="48"/>
      <c r="AE26" s="48"/>
      <c r="AF26" s="48"/>
      <c r="AG26" s="48"/>
      <c r="AH26" s="48"/>
      <c r="AI26" s="48"/>
      <c r="AJ26" s="48"/>
      <c r="AK26" s="48"/>
      <c r="AL26" s="48"/>
      <c r="AM26" s="48"/>
      <c r="AN26" s="48"/>
      <c r="AO26" s="48"/>
      <c r="AP26" s="48"/>
      <c r="AQ26" s="48"/>
      <c r="AR26" s="48"/>
      <c r="AS26" s="48"/>
      <c r="AT26" s="48"/>
      <c r="AU26" s="48"/>
      <c r="AV26" s="48"/>
      <c r="AW26" s="48"/>
      <c r="AX26" s="48"/>
      <c r="AY26" s="48"/>
    </row>
    <row r="27" spans="2:51" x14ac:dyDescent="0.2">
      <c r="B27" s="152"/>
      <c r="C27" s="152"/>
      <c r="D27" s="87"/>
      <c r="E27" s="51" t="str">
        <f>Tabulacao!BR44</f>
        <v>Desenvolvedor Full Stack</v>
      </c>
      <c r="F27" s="52">
        <f>COUNTIF(Tabulacao!$BR:$BR,'1Emp'!$E27)</f>
        <v>1</v>
      </c>
      <c r="G27" s="53">
        <f t="shared" si="0"/>
        <v>6.1349693251533744E-3</v>
      </c>
      <c r="H27" s="48"/>
      <c r="I27" s="52">
        <v>19</v>
      </c>
      <c r="J27" s="51" t="str">
        <f t="array" ref="J27">INDEX($E$9:$E$96,SMALL(IF($F$9:$F$96=K27,ROW($F$9:$F$96)-8),COUNTIF($K$9:K27,K27)))</f>
        <v>Auxiliar de Controle da Qualidade</v>
      </c>
      <c r="K27" s="52">
        <f t="shared" si="3"/>
        <v>2</v>
      </c>
      <c r="L27" s="53">
        <f t="shared" si="1"/>
        <v>1.2269938650306749E-2</v>
      </c>
      <c r="M27" s="119"/>
      <c r="N27" s="52">
        <v>19</v>
      </c>
      <c r="O27" s="51" t="str">
        <f t="array" ref="O27">INDEX($E$103:$E$190,SMALL(IF($F$103:$F$190=P27,ROW($F$103:$F$190)-102),COUNTIF($P$9:P27,P27)))</f>
        <v>Recepcionista</v>
      </c>
      <c r="P27" s="52">
        <f t="shared" si="4"/>
        <v>0</v>
      </c>
      <c r="Q27" s="53">
        <f t="shared" si="2"/>
        <v>0</v>
      </c>
      <c r="R27" s="48"/>
      <c r="S27" s="48"/>
      <c r="T27" s="48"/>
      <c r="U27" s="48"/>
      <c r="V27" s="48"/>
      <c r="W27" s="48"/>
      <c r="X27" s="48"/>
      <c r="Y27" s="48"/>
      <c r="Z27" s="48"/>
      <c r="AA27" s="48"/>
      <c r="AB27" s="48"/>
      <c r="AC27" s="48"/>
      <c r="AD27" s="48"/>
      <c r="AE27" s="48"/>
      <c r="AF27" s="48"/>
      <c r="AG27" s="48"/>
      <c r="AH27" s="48"/>
      <c r="AI27" s="48"/>
      <c r="AJ27" s="48"/>
      <c r="AK27" s="48"/>
      <c r="AL27" s="48"/>
      <c r="AM27" s="48"/>
      <c r="AN27" s="48"/>
      <c r="AO27" s="48"/>
      <c r="AP27" s="48"/>
      <c r="AQ27" s="48"/>
      <c r="AR27" s="48"/>
      <c r="AS27" s="48"/>
      <c r="AT27" s="48"/>
      <c r="AU27" s="48"/>
      <c r="AV27" s="48"/>
      <c r="AW27" s="48"/>
      <c r="AX27" s="48"/>
      <c r="AY27" s="48"/>
    </row>
    <row r="28" spans="2:51" ht="38.25" x14ac:dyDescent="0.2">
      <c r="B28" s="152"/>
      <c r="C28" s="152"/>
      <c r="D28" s="87"/>
      <c r="E28" s="51" t="str">
        <f>Tabulacao!BR45</f>
        <v>Assistente de Gestão Operacional</v>
      </c>
      <c r="F28" s="52">
        <f>COUNTIF(Tabulacao!$BR:$BR,'1Emp'!$E28)</f>
        <v>1</v>
      </c>
      <c r="G28" s="53">
        <f t="shared" si="0"/>
        <v>6.1349693251533744E-3</v>
      </c>
      <c r="H28" s="48"/>
      <c r="I28" s="52">
        <v>20</v>
      </c>
      <c r="J28" s="51" t="str">
        <f t="array" ref="J28">INDEX($E$9:$E$96,SMALL(IF($F$9:$F$96=K28,ROW($F$9:$F$96)-8),COUNTIF($K$9:K28,K28)))</f>
        <v>Assistente de Engenharia</v>
      </c>
      <c r="K28" s="52">
        <f t="shared" si="3"/>
        <v>2</v>
      </c>
      <c r="L28" s="53">
        <f t="shared" si="1"/>
        <v>1.2269938650306749E-2</v>
      </c>
      <c r="M28" s="119"/>
      <c r="N28" s="52">
        <v>20</v>
      </c>
      <c r="O28" s="51" t="str">
        <f t="array" ref="O28">INDEX($E$103:$E$190,SMALL(IF($F$103:$F$190=P28,ROW($F$103:$F$190)-102),COUNTIF($P$9:P28,P28)))</f>
        <v>Coordenador Ambiental</v>
      </c>
      <c r="P28" s="52">
        <f t="shared" si="4"/>
        <v>0</v>
      </c>
      <c r="Q28" s="53">
        <f t="shared" si="2"/>
        <v>0</v>
      </c>
      <c r="R28" s="48"/>
      <c r="S28" s="156" t="s">
        <v>983</v>
      </c>
      <c r="T28" s="317" t="s">
        <v>1263</v>
      </c>
      <c r="U28" s="318"/>
      <c r="V28" s="48"/>
      <c r="W28" s="48"/>
      <c r="X28" s="48"/>
      <c r="Y28" s="48"/>
      <c r="Z28" s="156" t="s">
        <v>1180</v>
      </c>
      <c r="AA28" s="48"/>
      <c r="AB28" s="48"/>
      <c r="AC28" s="48"/>
      <c r="AD28" s="48"/>
      <c r="AE28" s="48"/>
      <c r="AF28" s="156" t="s">
        <v>984</v>
      </c>
      <c r="AG28" s="48"/>
      <c r="AH28" s="48"/>
      <c r="AI28" s="48"/>
      <c r="AJ28" s="48"/>
      <c r="AK28" s="48"/>
      <c r="AL28" s="48"/>
      <c r="AM28" s="48"/>
      <c r="AN28" s="48"/>
      <c r="AO28" s="156" t="s">
        <v>1181</v>
      </c>
      <c r="AP28" s="315" t="s">
        <v>1262</v>
      </c>
      <c r="AQ28" s="316"/>
      <c r="AR28" s="48"/>
      <c r="AS28" s="48"/>
      <c r="AT28" s="48"/>
      <c r="AU28" s="48"/>
      <c r="AV28" s="165" t="s">
        <v>1185</v>
      </c>
      <c r="AW28" s="48"/>
      <c r="AX28" s="48"/>
      <c r="AY28" s="48"/>
    </row>
    <row r="29" spans="2:51" x14ac:dyDescent="0.2">
      <c r="B29" s="152"/>
      <c r="C29" s="152"/>
      <c r="D29" s="87"/>
      <c r="E29" s="51" t="str">
        <f>Tabulacao!BR46</f>
        <v>Plataformista</v>
      </c>
      <c r="F29" s="52">
        <f>COUNTIF(Tabulacao!$BR:$BR,'1Emp'!$E29)</f>
        <v>2</v>
      </c>
      <c r="G29" s="53">
        <f t="shared" si="0"/>
        <v>1.2269938650306749E-2</v>
      </c>
      <c r="H29" s="48"/>
      <c r="I29" s="52">
        <v>21</v>
      </c>
      <c r="J29" s="51" t="str">
        <f t="array" ref="J29">INDEX($E$9:$E$96,SMALL(IF($F$9:$F$96=K29,ROW($F$9:$F$96)-8),COUNTIF($K$9:K29,K29)))</f>
        <v>Assistente</v>
      </c>
      <c r="K29" s="52">
        <f t="shared" si="3"/>
        <v>2</v>
      </c>
      <c r="L29" s="53">
        <f t="shared" si="1"/>
        <v>1.2269938650306749E-2</v>
      </c>
      <c r="M29" s="119"/>
      <c r="N29" s="52">
        <v>21</v>
      </c>
      <c r="O29" s="51" t="str">
        <f t="array" ref="O29">INDEX($E$103:$E$190,SMALL(IF($F$103:$F$190=P29,ROW($F$103:$F$190)-102),COUNTIF($P$9:P29,P29)))</f>
        <v>Atendente</v>
      </c>
      <c r="P29" s="52">
        <f t="shared" si="4"/>
        <v>0</v>
      </c>
      <c r="Q29" s="53">
        <f t="shared" si="2"/>
        <v>0</v>
      </c>
      <c r="R29" s="48"/>
      <c r="S29" s="48"/>
      <c r="T29" s="48"/>
      <c r="U29" s="48"/>
      <c r="V29" s="48"/>
      <c r="W29" s="48"/>
      <c r="X29" s="48"/>
      <c r="Y29" s="48"/>
      <c r="Z29" s="48"/>
      <c r="AA29" s="48"/>
      <c r="AB29" s="48"/>
      <c r="AC29" s="48"/>
      <c r="AD29" s="48"/>
      <c r="AE29" s="48"/>
      <c r="AF29" s="161" t="str">
        <f>Respostas_Formatadas!$C$2</f>
        <v>Qual o curso de graduação você concluiu no IFS?</v>
      </c>
      <c r="AG29" s="48"/>
      <c r="AH29" s="48"/>
      <c r="AI29" s="48"/>
      <c r="AJ29" s="48"/>
      <c r="AK29" s="48"/>
      <c r="AL29" s="48"/>
      <c r="AM29" s="48"/>
      <c r="AN29" s="48"/>
      <c r="AO29" s="48"/>
      <c r="AP29" s="48"/>
      <c r="AQ29" s="48"/>
      <c r="AR29" s="48"/>
      <c r="AS29" s="48"/>
      <c r="AT29" s="48"/>
      <c r="AU29" s="48"/>
      <c r="AV29" s="48"/>
      <c r="AW29" s="48"/>
      <c r="AX29" s="48"/>
      <c r="AY29" s="48"/>
    </row>
    <row r="30" spans="2:51" x14ac:dyDescent="0.2">
      <c r="B30" s="152"/>
      <c r="C30" s="152"/>
      <c r="D30" s="87"/>
      <c r="E30" s="51" t="str">
        <f>Tabulacao!BR54</f>
        <v>Administrador de Data Center</v>
      </c>
      <c r="F30" s="52">
        <f>COUNTIF(Tabulacao!$BR:$BR,'1Emp'!$E30)</f>
        <v>1</v>
      </c>
      <c r="G30" s="53">
        <f t="shared" si="0"/>
        <v>6.1349693251533744E-3</v>
      </c>
      <c r="H30" s="48"/>
      <c r="I30" s="52">
        <v>22</v>
      </c>
      <c r="J30" s="51" t="str">
        <f t="array" ref="J30">INDEX($E$9:$E$96,SMALL(IF($F$9:$F$96=K30,ROW($F$9:$F$96)-8),COUNTIF($K$9:K30,K30)))</f>
        <v>Assistente de Sistemas</v>
      </c>
      <c r="K30" s="52">
        <f t="shared" si="3"/>
        <v>1</v>
      </c>
      <c r="L30" s="53">
        <f t="shared" si="1"/>
        <v>6.1349693251533744E-3</v>
      </c>
      <c r="M30" s="119"/>
      <c r="N30" s="52">
        <v>22</v>
      </c>
      <c r="O30" s="51" t="str">
        <f t="array" ref="O30">INDEX($E$103:$E$190,SMALL(IF($F$103:$F$190=P30,ROW($F$103:$F$190)-102),COUNTIF($P$9:P30,P30)))</f>
        <v>Tecnólogo em Saneamento Ambiental</v>
      </c>
      <c r="P30" s="52">
        <f t="shared" si="4"/>
        <v>0</v>
      </c>
      <c r="Q30" s="53">
        <f t="shared" si="2"/>
        <v>0</v>
      </c>
      <c r="R30" s="341" t="s">
        <v>1159</v>
      </c>
      <c r="S30" s="261" t="s">
        <v>120</v>
      </c>
      <c r="T30" s="48"/>
      <c r="U30" s="48"/>
      <c r="V30" s="48"/>
      <c r="W30" s="48"/>
      <c r="X30" s="48"/>
      <c r="Y30" s="341" t="s">
        <v>1159</v>
      </c>
      <c r="Z30" s="261" t="s">
        <v>120</v>
      </c>
      <c r="AA30" s="48"/>
      <c r="AB30" s="48"/>
      <c r="AC30" s="48"/>
      <c r="AD30" s="48"/>
      <c r="AE30" s="341" t="s">
        <v>1159</v>
      </c>
      <c r="AF30" s="261" t="s">
        <v>120</v>
      </c>
      <c r="AG30" s="48"/>
      <c r="AH30" s="48"/>
      <c r="AI30" s="48"/>
      <c r="AJ30" s="48"/>
      <c r="AK30" s="48"/>
      <c r="AL30" s="48"/>
      <c r="AM30" s="48"/>
      <c r="AN30" s="341" t="s">
        <v>1159</v>
      </c>
      <c r="AO30" s="261" t="s">
        <v>120</v>
      </c>
      <c r="AP30" s="48"/>
      <c r="AQ30" s="48"/>
      <c r="AR30" s="48"/>
      <c r="AS30" s="48"/>
      <c r="AT30" s="48"/>
      <c r="AU30" s="341" t="s">
        <v>1159</v>
      </c>
      <c r="AV30" s="261" t="s">
        <v>126</v>
      </c>
      <c r="AW30" s="48"/>
      <c r="AX30" s="48"/>
      <c r="AY30" s="48"/>
    </row>
    <row r="31" spans="2:51" ht="38.25" x14ac:dyDescent="0.2">
      <c r="B31" s="152"/>
      <c r="C31" s="152"/>
      <c r="D31" s="87"/>
      <c r="E31" s="51" t="str">
        <f>Tabulacao!BR59</f>
        <v>Carteiro</v>
      </c>
      <c r="F31" s="52">
        <f>COUNTIF(Tabulacao!$BR:$BR,'1Emp'!$E31)</f>
        <v>1</v>
      </c>
      <c r="G31" s="53">
        <f t="shared" si="0"/>
        <v>6.1349693251533744E-3</v>
      </c>
      <c r="H31" s="48"/>
      <c r="I31" s="52">
        <v>23</v>
      </c>
      <c r="J31" s="51" t="str">
        <f t="array" ref="J31">INDEX($E$9:$E$96,SMALL(IF($F$9:$F$96=K31,ROW($F$9:$F$96)-8),COUNTIF($K$9:K31,K31)))</f>
        <v>Inspetor de Segurança</v>
      </c>
      <c r="K31" s="52">
        <f t="shared" si="3"/>
        <v>1</v>
      </c>
      <c r="L31" s="53">
        <f t="shared" si="1"/>
        <v>6.1349693251533744E-3</v>
      </c>
      <c r="M31" s="119"/>
      <c r="N31" s="52">
        <v>23</v>
      </c>
      <c r="O31" s="51" t="str">
        <f t="array" ref="O31">INDEX($E$103:$E$190,SMALL(IF($F$103:$F$190=P31,ROW($F$103:$F$190)-102),COUNTIF($P$9:P31,P31)))</f>
        <v>Técnico de Tecnologia da Informação</v>
      </c>
      <c r="P31" s="52">
        <f t="shared" si="4"/>
        <v>0</v>
      </c>
      <c r="Q31" s="53">
        <f t="shared" si="2"/>
        <v>0</v>
      </c>
      <c r="R31" s="48"/>
      <c r="S31" s="260" t="str">
        <f t="shared" ref="S31:S36" si="5">S8</f>
        <v>Nível de associação entre as atividades do primeiro emprego e a graduação</v>
      </c>
      <c r="T31" s="219" t="str">
        <f>S30</f>
        <v>Bacharelado em Sistemas de Informação</v>
      </c>
      <c r="U31" s="219" t="str">
        <f>S30</f>
        <v>Bacharelado em Sistemas de Informação</v>
      </c>
      <c r="V31" s="219" t="s">
        <v>156</v>
      </c>
      <c r="W31" s="219" t="s">
        <v>156</v>
      </c>
      <c r="X31" s="48"/>
      <c r="Y31" s="48"/>
      <c r="Z31" s="260" t="str">
        <f>Z8</f>
        <v>Profissional Autônomo?</v>
      </c>
      <c r="AA31" s="219" t="str">
        <f>Z30</f>
        <v>Bacharelado em Sistemas de Informação</v>
      </c>
      <c r="AB31" s="219" t="str">
        <f>Z30</f>
        <v>Bacharelado em Sistemas de Informação</v>
      </c>
      <c r="AC31" s="219" t="s">
        <v>156</v>
      </c>
      <c r="AD31" s="219" t="s">
        <v>156</v>
      </c>
      <c r="AE31" s="48"/>
      <c r="AF31" s="186" t="s">
        <v>974</v>
      </c>
      <c r="AG31" s="187" t="str">
        <f>$AF$30</f>
        <v>Bacharelado em Sistemas de Informação</v>
      </c>
      <c r="AH31" s="187" t="s">
        <v>156</v>
      </c>
      <c r="AI31" s="48"/>
      <c r="AJ31" s="48"/>
      <c r="AK31" s="48"/>
      <c r="AL31" s="48"/>
      <c r="AM31" s="48"/>
      <c r="AN31" s="48"/>
      <c r="AO31" s="258" t="s">
        <v>985</v>
      </c>
      <c r="AP31" s="257" t="str">
        <f>AO30</f>
        <v>Bacharelado em Sistemas de Informação</v>
      </c>
      <c r="AQ31" s="257" t="str">
        <f>AO30</f>
        <v>Bacharelado em Sistemas de Informação</v>
      </c>
      <c r="AR31" s="257" t="s">
        <v>156</v>
      </c>
      <c r="AS31" s="257" t="s">
        <v>156</v>
      </c>
      <c r="AT31" s="48"/>
      <c r="AU31" s="48"/>
      <c r="AV31" s="256" t="s">
        <v>991</v>
      </c>
      <c r="AW31" s="257" t="s">
        <v>131</v>
      </c>
      <c r="AX31" s="257" t="s">
        <v>132</v>
      </c>
      <c r="AY31" s="48"/>
    </row>
    <row r="32" spans="2:51" x14ac:dyDescent="0.2">
      <c r="B32" s="152"/>
      <c r="C32" s="152"/>
      <c r="D32" s="87"/>
      <c r="E32" s="51" t="str">
        <f>Tabulacao!BR62</f>
        <v>Assistente de Laboratório de Construção Civil</v>
      </c>
      <c r="F32" s="52">
        <f>COUNTIF(Tabulacao!$BR:$BR,'1Emp'!$E32)</f>
        <v>1</v>
      </c>
      <c r="G32" s="53">
        <f t="shared" si="0"/>
        <v>6.1349693251533744E-3</v>
      </c>
      <c r="H32" s="48"/>
      <c r="I32" s="52">
        <v>24</v>
      </c>
      <c r="J32" s="51" t="str">
        <f t="array" ref="J32">INDEX($E$9:$E$96,SMALL(IF($F$9:$F$96=K32,ROW($F$9:$F$96)-8),COUNTIF($K$9:K32,K32)))</f>
        <v>Gerente</v>
      </c>
      <c r="K32" s="52">
        <f t="shared" si="3"/>
        <v>1</v>
      </c>
      <c r="L32" s="53">
        <f t="shared" si="1"/>
        <v>6.1349693251533744E-3</v>
      </c>
      <c r="M32" s="119"/>
      <c r="N32" s="52">
        <v>24</v>
      </c>
      <c r="O32" s="51" t="str">
        <f t="array" ref="O32">INDEX($E$103:$E$190,SMALL(IF($F$103:$F$190=P32,ROW($F$103:$F$190)-102),COUNTIF($P$9:P32,P32)))</f>
        <v>Eletricista</v>
      </c>
      <c r="P32" s="52">
        <f t="shared" si="4"/>
        <v>0</v>
      </c>
      <c r="Q32" s="53">
        <f t="shared" si="2"/>
        <v>0</v>
      </c>
      <c r="R32" s="48"/>
      <c r="S32" s="60">
        <f t="shared" si="5"/>
        <v>1</v>
      </c>
      <c r="T32" s="52">
        <f>IFERROR(COUNTIFS(Respostas_Formatadas!$C:$C,'1Emp'!$S$30,Respostas_Formatadas!$AE:$AE,'1Emp'!$S32),"-")</f>
        <v>0</v>
      </c>
      <c r="U32" s="53">
        <f>T32/SUM($T$32:$T$36)</f>
        <v>0</v>
      </c>
      <c r="V32" s="52">
        <f t="shared" ref="V32:W36" si="6">T9</f>
        <v>34</v>
      </c>
      <c r="W32" s="53">
        <f t="shared" si="6"/>
        <v>0.19540229885057472</v>
      </c>
      <c r="X32" s="48"/>
      <c r="Y32" s="48"/>
      <c r="Z32" s="60" t="str">
        <f>Z9</f>
        <v>Não</v>
      </c>
      <c r="AA32" s="52">
        <f>IFERROR(COUNTIFS(Respostas_Formatadas!$C:$C,'1Emp'!$Z$30,Respostas_Formatadas!$AH:$AH,'1Emp'!$Z32),"-")</f>
        <v>17</v>
      </c>
      <c r="AB32" s="53">
        <f>AA32/SUM($AA$32:$AA$33)</f>
        <v>0.94444444444444442</v>
      </c>
      <c r="AC32" s="52">
        <f>AA9</f>
        <v>142</v>
      </c>
      <c r="AD32" s="53">
        <f>AB9</f>
        <v>0.81609195402298851</v>
      </c>
      <c r="AE32" s="48"/>
      <c r="AF32" s="60" t="str">
        <f>AF9</f>
        <v>Média</v>
      </c>
      <c r="AG32" s="68">
        <f>IFERROR(AVERAGEIF(Respostas_Formatadas!$C:$C,'1Emp'!$AF$30,Respostas_Formatadas!$AI:$AI),"-")</f>
        <v>2788.2352941176468</v>
      </c>
      <c r="AH32" s="68">
        <f>AVERAGE($AG$56:$AG$219)</f>
        <v>1982.6707317073171</v>
      </c>
      <c r="AI32" s="48"/>
      <c r="AJ32" s="48"/>
      <c r="AK32" s="48"/>
      <c r="AL32" s="48"/>
      <c r="AM32" s="48"/>
      <c r="AN32" s="48"/>
      <c r="AO32" s="60">
        <f t="shared" ref="AO32:AO36" si="7">AO9</f>
        <v>1</v>
      </c>
      <c r="AP32" s="52">
        <f>IFERROR(COUNTIFS(Respostas_Formatadas!$C:$C,$AO$30,Respostas_Formatadas!$AJ:$AJ,'1Emp'!$AO32),"-")</f>
        <v>0</v>
      </c>
      <c r="AQ32" s="53">
        <f>IFERROR(AP32/SUM($AP$32:$AP$36),"-")</f>
        <v>0</v>
      </c>
      <c r="AR32" s="52">
        <f t="shared" ref="AR32:AS36" si="8">AP9</f>
        <v>17</v>
      </c>
      <c r="AS32" s="53">
        <f t="shared" si="8"/>
        <v>9.7701149425287362E-2</v>
      </c>
      <c r="AT32" s="48"/>
      <c r="AU32" s="48"/>
      <c r="AV32" s="60">
        <v>1</v>
      </c>
      <c r="AW32" s="52">
        <f>COUNTIFS(Respostas_Formatadas!$C:$C,'1Emp'!$AV$30,Respostas_Formatadas!$AN:$AN,'1Emp'!$AV32)</f>
        <v>4</v>
      </c>
      <c r="AX32" s="53">
        <f>IFERROR(AW32/$AW$38,"-")</f>
        <v>0.5714285714285714</v>
      </c>
      <c r="AY32" s="48"/>
    </row>
    <row r="33" spans="2:51" x14ac:dyDescent="0.2">
      <c r="B33" s="152"/>
      <c r="C33" s="152"/>
      <c r="D33" s="87"/>
      <c r="E33" s="51" t="str">
        <f>Tabulacao!BR64</f>
        <v>Gerente de Fábrica</v>
      </c>
      <c r="F33" s="52">
        <f>COUNTIF(Tabulacao!$BR:$BR,'1Emp'!$E33)</f>
        <v>1</v>
      </c>
      <c r="G33" s="53">
        <f t="shared" si="0"/>
        <v>6.1349693251533744E-3</v>
      </c>
      <c r="H33" s="48"/>
      <c r="I33" s="52">
        <v>25</v>
      </c>
      <c r="J33" s="51" t="str">
        <f t="array" ref="J33">INDEX($E$9:$E$96,SMALL(IF($F$9:$F$96=K33,ROW($F$9:$F$96)-8),COUNTIF($K$9:K33,K33)))</f>
        <v>Diretor Administrativo</v>
      </c>
      <c r="K33" s="52">
        <f t="shared" si="3"/>
        <v>1</v>
      </c>
      <c r="L33" s="53">
        <f t="shared" si="1"/>
        <v>6.1349693251533744E-3</v>
      </c>
      <c r="M33" s="119"/>
      <c r="N33" s="52">
        <v>25</v>
      </c>
      <c r="O33" s="51" t="str">
        <f t="array" ref="O33">INDEX($E$103:$E$190,SMALL(IF($F$103:$F$190=P33,ROW($F$103:$F$190)-102),COUNTIF($P$9:P33,P33)))</f>
        <v>Plataformista</v>
      </c>
      <c r="P33" s="52">
        <f t="shared" si="4"/>
        <v>0</v>
      </c>
      <c r="Q33" s="53">
        <f t="shared" si="2"/>
        <v>0</v>
      </c>
      <c r="R33" s="48"/>
      <c r="S33" s="60">
        <f t="shared" si="5"/>
        <v>2</v>
      </c>
      <c r="T33" s="52">
        <f>IFERROR(COUNTIFS(Respostas_Formatadas!$C:$C,'1Emp'!$S$30,Respostas_Formatadas!$AE:$AE,'1Emp'!$S33),"-")</f>
        <v>0</v>
      </c>
      <c r="U33" s="53">
        <f>T33/SUM($T$32:$T$36)</f>
        <v>0</v>
      </c>
      <c r="V33" s="52">
        <f t="shared" si="6"/>
        <v>11</v>
      </c>
      <c r="W33" s="53">
        <f t="shared" si="6"/>
        <v>6.3218390804597707E-2</v>
      </c>
      <c r="X33" s="48"/>
      <c r="Y33" s="48"/>
      <c r="Z33" s="60" t="str">
        <f>Z10</f>
        <v>Sim</v>
      </c>
      <c r="AA33" s="52">
        <f>IFERROR(COUNTIFS(Respostas_Formatadas!$C:$C,'1Emp'!$Z$30,Respostas_Formatadas!$AH:$AH,'1Emp'!$Z33),"-")</f>
        <v>1</v>
      </c>
      <c r="AB33" s="53">
        <f>AA33/SUM($AA$32:$AA$33)</f>
        <v>5.5555555555555552E-2</v>
      </c>
      <c r="AC33" s="52">
        <f>AA10</f>
        <v>32</v>
      </c>
      <c r="AD33" s="53">
        <f>AB10</f>
        <v>0.18390804597701149</v>
      </c>
      <c r="AE33" s="48"/>
      <c r="AF33" s="60" t="s">
        <v>975</v>
      </c>
      <c r="AG33" s="68">
        <f t="array" ref="AG33">MAX(IF(Respostas_Formatadas!$C:$C='1Emp'!$AF$30,Respostas_Formatadas!$AI:$AI))</f>
        <v>8000</v>
      </c>
      <c r="AH33" s="68"/>
      <c r="AI33" s="48"/>
      <c r="AJ33" s="48"/>
      <c r="AK33" s="48"/>
      <c r="AL33" s="48"/>
      <c r="AM33" s="48"/>
      <c r="AN33" s="48"/>
      <c r="AO33" s="60">
        <f t="shared" si="7"/>
        <v>2</v>
      </c>
      <c r="AP33" s="52">
        <f>IFERROR(COUNTIFS(Respostas_Formatadas!$C:$C,$AO$30,Respostas_Formatadas!$AJ:$AJ,'1Emp'!$AO33),"-")</f>
        <v>0</v>
      </c>
      <c r="AQ33" s="53">
        <f>IFERROR(AP33/SUM($AP$32:$AP$36),"-")</f>
        <v>0</v>
      </c>
      <c r="AR33" s="52">
        <f t="shared" si="8"/>
        <v>17</v>
      </c>
      <c r="AS33" s="53">
        <f t="shared" si="8"/>
        <v>9.7701149425287362E-2</v>
      </c>
      <c r="AT33" s="48"/>
      <c r="AU33" s="48"/>
      <c r="AV33" s="60">
        <v>2</v>
      </c>
      <c r="AW33" s="52">
        <f>COUNTIFS(Respostas_Formatadas!$C:$C,'1Emp'!$AV$30,Respostas_Formatadas!$AN:$AN,'1Emp'!$AV33)</f>
        <v>1</v>
      </c>
      <c r="AX33" s="53">
        <f t="shared" ref="AX33:AX37" si="9">IFERROR(AW33/$AW$38,"-")</f>
        <v>0.14285714285714285</v>
      </c>
      <c r="AY33" s="48"/>
    </row>
    <row r="34" spans="2:51" x14ac:dyDescent="0.2">
      <c r="B34" s="152"/>
      <c r="C34" s="152"/>
      <c r="D34" s="87"/>
      <c r="E34" s="51" t="str">
        <f>Tabulacao!BR66</f>
        <v>Assistente de Turismo</v>
      </c>
      <c r="F34" s="52">
        <f>COUNTIF(Tabulacao!$BR:$BR,'1Emp'!$E34)</f>
        <v>1</v>
      </c>
      <c r="G34" s="53">
        <f t="shared" si="0"/>
        <v>6.1349693251533744E-3</v>
      </c>
      <c r="H34" s="48"/>
      <c r="I34" s="52">
        <v>26</v>
      </c>
      <c r="J34" s="51" t="str">
        <f t="array" ref="J34">INDEX($E$9:$E$96,SMALL(IF($F$9:$F$96=K34,ROW($F$9:$F$96)-8),COUNTIF($K$9:K34,K34)))</f>
        <v>Atendente de Hospedagem</v>
      </c>
      <c r="K34" s="52">
        <f t="shared" si="3"/>
        <v>1</v>
      </c>
      <c r="L34" s="53">
        <f t="shared" si="1"/>
        <v>6.1349693251533744E-3</v>
      </c>
      <c r="M34" s="119"/>
      <c r="N34" s="52">
        <v>26</v>
      </c>
      <c r="O34" s="51" t="str">
        <f t="array" ref="O34">INDEX($E$103:$E$190,SMALL(IF($F$103:$F$190=P34,ROW($F$103:$F$190)-102),COUNTIF($P$9:P34,P34)))</f>
        <v>Técnico em Química</v>
      </c>
      <c r="P34" s="52">
        <f t="shared" si="4"/>
        <v>0</v>
      </c>
      <c r="Q34" s="53">
        <f t="shared" si="2"/>
        <v>0</v>
      </c>
      <c r="R34" s="48"/>
      <c r="S34" s="60">
        <f t="shared" si="5"/>
        <v>3</v>
      </c>
      <c r="T34" s="52">
        <f>IFERROR(COUNTIFS(Respostas_Formatadas!$C:$C,'1Emp'!$S$30,Respostas_Formatadas!$AE:$AE,'1Emp'!$S34),"-")</f>
        <v>1</v>
      </c>
      <c r="U34" s="53">
        <f>T34/SUM($T$32:$T$36)</f>
        <v>5.5555555555555552E-2</v>
      </c>
      <c r="V34" s="52">
        <f t="shared" si="6"/>
        <v>23</v>
      </c>
      <c r="W34" s="53">
        <f t="shared" si="6"/>
        <v>0.13218390804597702</v>
      </c>
      <c r="X34" s="48"/>
      <c r="Y34" s="48"/>
      <c r="Z34" s="191" t="s">
        <v>621</v>
      </c>
      <c r="AA34" s="192">
        <f>SUM(AA32:AA33)</f>
        <v>18</v>
      </c>
      <c r="AB34" s="193">
        <f>SUM(AB32:AB33)</f>
        <v>1</v>
      </c>
      <c r="AC34" s="192">
        <f>SUM(AC32:AC33)</f>
        <v>174</v>
      </c>
      <c r="AD34" s="193">
        <f>SUM(AD32:AD33)</f>
        <v>1</v>
      </c>
      <c r="AE34" s="48"/>
      <c r="AF34" s="60" t="s">
        <v>976</v>
      </c>
      <c r="AG34" s="68">
        <f>IFERROR(DMIN(Respostas_Formatadas!$C$2:$AI$273,Respostas_Formatadas!$AI$2,'1Emp'!$AF$29:$AF$30),"-")</f>
        <v>1500</v>
      </c>
      <c r="AH34" s="68">
        <f>IFERROR(MIN(Respostas_Formatadas!$AI$3:$AI$273),"-")</f>
        <v>400</v>
      </c>
      <c r="AI34" s="48"/>
      <c r="AJ34" s="48"/>
      <c r="AK34" s="48"/>
      <c r="AL34" s="48"/>
      <c r="AM34" s="48"/>
      <c r="AN34" s="48"/>
      <c r="AO34" s="60">
        <f t="shared" si="7"/>
        <v>3</v>
      </c>
      <c r="AP34" s="52">
        <f>IFERROR(COUNTIFS(Respostas_Formatadas!$C:$C,$AO$30,Respostas_Formatadas!$AJ:$AJ,'1Emp'!$AO34),"-")</f>
        <v>2</v>
      </c>
      <c r="AQ34" s="53">
        <f>IFERROR(AP34/SUM($AP$32:$AP$36),"-")</f>
        <v>0.1111111111111111</v>
      </c>
      <c r="AR34" s="52">
        <f t="shared" si="8"/>
        <v>30</v>
      </c>
      <c r="AS34" s="53">
        <f t="shared" si="8"/>
        <v>0.17241379310344829</v>
      </c>
      <c r="AT34" s="48"/>
      <c r="AU34" s="48"/>
      <c r="AV34" s="60">
        <v>3</v>
      </c>
      <c r="AW34" s="52">
        <f>COUNTIFS(Respostas_Formatadas!$C:$C,'1Emp'!$AV$30,Respostas_Formatadas!$AN:$AN,'1Emp'!$AV34)</f>
        <v>2</v>
      </c>
      <c r="AX34" s="53">
        <f t="shared" si="9"/>
        <v>0.2857142857142857</v>
      </c>
      <c r="AY34" s="48"/>
    </row>
    <row r="35" spans="2:51" x14ac:dyDescent="0.2">
      <c r="B35" s="152"/>
      <c r="C35" s="152"/>
      <c r="D35" s="87"/>
      <c r="E35" s="51" t="str">
        <f>Tabulacao!BR67</f>
        <v>Auxiliar de Laboratório</v>
      </c>
      <c r="F35" s="52">
        <f>COUNTIF(Tabulacao!$BR:$BR,'1Emp'!$E35)</f>
        <v>1</v>
      </c>
      <c r="G35" s="53">
        <f t="shared" si="0"/>
        <v>6.1349693251533744E-3</v>
      </c>
      <c r="H35" s="48"/>
      <c r="I35" s="52">
        <v>27</v>
      </c>
      <c r="J35" s="51" t="str">
        <f t="array" ref="J35">INDEX($E$9:$E$96,SMALL(IF($F$9:$F$96=K35,ROW($F$9:$F$96)-8),COUNTIF($K$9:K35,K35)))</f>
        <v>Entrevistador</v>
      </c>
      <c r="K35" s="52">
        <f t="shared" si="3"/>
        <v>1</v>
      </c>
      <c r="L35" s="53">
        <f t="shared" si="1"/>
        <v>6.1349693251533744E-3</v>
      </c>
      <c r="M35" s="119"/>
      <c r="N35" s="52">
        <v>27</v>
      </c>
      <c r="O35" s="51" t="str">
        <f t="array" ref="O35">INDEX($E$103:$E$190,SMALL(IF($F$103:$F$190=P35,ROW($F$103:$F$190)-102),COUNTIF($P$9:P35,P35)))</f>
        <v>Coordenador</v>
      </c>
      <c r="P35" s="52">
        <f t="shared" si="4"/>
        <v>0</v>
      </c>
      <c r="Q35" s="53">
        <f t="shared" si="2"/>
        <v>0</v>
      </c>
      <c r="R35" s="48"/>
      <c r="S35" s="60">
        <f t="shared" si="5"/>
        <v>4</v>
      </c>
      <c r="T35" s="52">
        <f>IFERROR(COUNTIFS(Respostas_Formatadas!$C:$C,'1Emp'!$S$30,Respostas_Formatadas!$AE:$AE,'1Emp'!$S35),"-")</f>
        <v>3</v>
      </c>
      <c r="U35" s="53">
        <f>T35/SUM($T$32:$T$36)</f>
        <v>0.16666666666666666</v>
      </c>
      <c r="V35" s="52">
        <f t="shared" si="6"/>
        <v>31</v>
      </c>
      <c r="W35" s="53">
        <f t="shared" si="6"/>
        <v>0.17816091954022989</v>
      </c>
      <c r="X35" s="48"/>
      <c r="Y35" s="48"/>
      <c r="Z35" s="48"/>
      <c r="AA35" s="48"/>
      <c r="AB35" s="48"/>
      <c r="AC35" s="48"/>
      <c r="AD35" s="48"/>
      <c r="AE35" s="48"/>
      <c r="AF35" s="60" t="s">
        <v>161</v>
      </c>
      <c r="AG35" s="68">
        <f>VLOOKUP($AF$30,$AF$41:$AL$53,3,0)</f>
        <v>2500</v>
      </c>
      <c r="AH35" s="68">
        <f>_xlfn.MODE.SNGL($AG$56:$AG$219)</f>
        <v>1500</v>
      </c>
      <c r="AI35" s="48"/>
      <c r="AJ35" s="48"/>
      <c r="AK35" s="48"/>
      <c r="AL35" s="48"/>
      <c r="AM35" s="48"/>
      <c r="AN35" s="48"/>
      <c r="AO35" s="60">
        <f t="shared" si="7"/>
        <v>4</v>
      </c>
      <c r="AP35" s="52">
        <f>IFERROR(COUNTIFS(Respostas_Formatadas!$C:$C,$AO$30,Respostas_Formatadas!$AJ:$AJ,'1Emp'!$AO35),"-")</f>
        <v>7</v>
      </c>
      <c r="AQ35" s="53">
        <f>IFERROR(AP35/SUM($AP$32:$AP$36),"-")</f>
        <v>0.3888888888888889</v>
      </c>
      <c r="AR35" s="52">
        <f t="shared" si="8"/>
        <v>42</v>
      </c>
      <c r="AS35" s="53">
        <f t="shared" si="8"/>
        <v>0.2413793103448276</v>
      </c>
      <c r="AT35" s="48"/>
      <c r="AU35" s="48"/>
      <c r="AV35" s="60">
        <v>4</v>
      </c>
      <c r="AW35" s="52">
        <f>COUNTIFS(Respostas_Formatadas!$C:$C,'1Emp'!$AV$30,Respostas_Formatadas!$AN:$AN,'1Emp'!$AV35)</f>
        <v>0</v>
      </c>
      <c r="AX35" s="53">
        <f t="shared" si="9"/>
        <v>0</v>
      </c>
      <c r="AY35" s="48"/>
    </row>
    <row r="36" spans="2:51" x14ac:dyDescent="0.2">
      <c r="B36" s="152"/>
      <c r="C36" s="152"/>
      <c r="D36" s="87"/>
      <c r="E36" s="51" t="str">
        <f>Tabulacao!BR73</f>
        <v>Diretor</v>
      </c>
      <c r="F36" s="52">
        <f>COUNTIF(Tabulacao!$BR:$BR,'1Emp'!$E36)</f>
        <v>2</v>
      </c>
      <c r="G36" s="53">
        <f t="shared" si="0"/>
        <v>1.2269938650306749E-2</v>
      </c>
      <c r="H36" s="48"/>
      <c r="I36" s="52">
        <v>28</v>
      </c>
      <c r="J36" s="51" t="str">
        <f t="array" ref="J36">INDEX($E$9:$E$96,SMALL(IF($F$9:$F$96=K36,ROW($F$9:$F$96)-8),COUNTIF($K$9:K36,K36)))</f>
        <v>Porteiro</v>
      </c>
      <c r="K36" s="52">
        <f t="shared" si="3"/>
        <v>1</v>
      </c>
      <c r="L36" s="53">
        <f t="shared" si="1"/>
        <v>6.1349693251533744E-3</v>
      </c>
      <c r="M36" s="119"/>
      <c r="N36" s="52">
        <v>28</v>
      </c>
      <c r="O36" s="51" t="str">
        <f t="array" ref="O36">INDEX($E$103:$E$190,SMALL(IF($F$103:$F$190=P36,ROW($F$103:$F$190)-102),COUNTIF($P$9:P36,P36)))</f>
        <v>Técnico Ambiental</v>
      </c>
      <c r="P36" s="52">
        <f t="shared" si="4"/>
        <v>0</v>
      </c>
      <c r="Q36" s="53">
        <f t="shared" si="2"/>
        <v>0</v>
      </c>
      <c r="R36" s="48"/>
      <c r="S36" s="60">
        <f t="shared" si="5"/>
        <v>5</v>
      </c>
      <c r="T36" s="52">
        <f>IFERROR(COUNTIFS(Respostas_Formatadas!$C:$C,'1Emp'!$S$30,Respostas_Formatadas!$AE:$AE,'1Emp'!$S36),"-")</f>
        <v>14</v>
      </c>
      <c r="U36" s="53">
        <f>T36/SUM($T$32:$T$36)</f>
        <v>0.77777777777777779</v>
      </c>
      <c r="V36" s="52">
        <f t="shared" si="6"/>
        <v>75</v>
      </c>
      <c r="W36" s="53">
        <f t="shared" si="6"/>
        <v>0.43103448275862066</v>
      </c>
      <c r="X36" s="48"/>
      <c r="Y36" s="48"/>
      <c r="Z36" s="48"/>
      <c r="AA36" s="48"/>
      <c r="AB36" s="48"/>
      <c r="AC36" s="48"/>
      <c r="AD36" s="48"/>
      <c r="AE36" s="48"/>
      <c r="AF36" s="60" t="s">
        <v>162</v>
      </c>
      <c r="AG36" s="68">
        <f>VLOOKUP($AF$30,$AF$41:$AL$53,4,0)</f>
        <v>2500</v>
      </c>
      <c r="AH36" s="68">
        <f>MEDIAN($AG$56:$AG$219)</f>
        <v>1500</v>
      </c>
      <c r="AI36" s="48"/>
      <c r="AJ36" s="48"/>
      <c r="AK36" s="48"/>
      <c r="AL36" s="48"/>
      <c r="AM36" s="48"/>
      <c r="AN36" s="48"/>
      <c r="AO36" s="60">
        <f t="shared" si="7"/>
        <v>5</v>
      </c>
      <c r="AP36" s="52">
        <f>IFERROR(COUNTIFS(Respostas_Formatadas!$C:$C,$AO$30,Respostas_Formatadas!$AJ:$AJ,'1Emp'!$AO36),"-")</f>
        <v>9</v>
      </c>
      <c r="AQ36" s="53">
        <f>IFERROR(AP36/SUM($AP$32:$AP$36),"-")</f>
        <v>0.5</v>
      </c>
      <c r="AR36" s="52">
        <f t="shared" si="8"/>
        <v>68</v>
      </c>
      <c r="AS36" s="53">
        <f t="shared" si="8"/>
        <v>0.39080459770114945</v>
      </c>
      <c r="AT36" s="48"/>
      <c r="AU36" s="48"/>
      <c r="AV36" s="60">
        <v>5</v>
      </c>
      <c r="AW36" s="52">
        <f>COUNTIFS(Respostas_Formatadas!$C:$C,'1Emp'!$AV$30,Respostas_Formatadas!$AN:$AN,'1Emp'!$AV36)</f>
        <v>0</v>
      </c>
      <c r="AX36" s="53">
        <f t="shared" si="9"/>
        <v>0</v>
      </c>
      <c r="AY36" s="48"/>
    </row>
    <row r="37" spans="2:51" x14ac:dyDescent="0.2">
      <c r="B37" s="152"/>
      <c r="C37" s="152"/>
      <c r="D37" s="87"/>
      <c r="E37" s="51" t="str">
        <f>Tabulacao!BR79</f>
        <v>Chefe de Patrimônio</v>
      </c>
      <c r="F37" s="52">
        <f>COUNTIF(Tabulacao!$BR:$BR,'1Emp'!$E37)</f>
        <v>1</v>
      </c>
      <c r="G37" s="53">
        <f t="shared" si="0"/>
        <v>6.1349693251533744E-3</v>
      </c>
      <c r="H37" s="48"/>
      <c r="I37" s="52">
        <v>29</v>
      </c>
      <c r="J37" s="51" t="str">
        <f t="array" ref="J37">INDEX($E$9:$E$96,SMALL(IF($F$9:$F$96=K37,ROW($F$9:$F$96)-8),COUNTIF($K$9:K37,K37)))</f>
        <v>Motorista</v>
      </c>
      <c r="K37" s="52">
        <f t="shared" si="3"/>
        <v>1</v>
      </c>
      <c r="L37" s="53">
        <f t="shared" si="1"/>
        <v>6.1349693251533744E-3</v>
      </c>
      <c r="M37" s="119"/>
      <c r="N37" s="52">
        <v>29</v>
      </c>
      <c r="O37" s="51" t="str">
        <f t="array" ref="O37">INDEX($E$103:$E$190,SMALL(IF($F$103:$F$190=P37,ROW($F$103:$F$190)-102),COUNTIF($P$9:P37,P37)))</f>
        <v>Funcionário Público</v>
      </c>
      <c r="P37" s="52">
        <f t="shared" si="4"/>
        <v>0</v>
      </c>
      <c r="Q37" s="53">
        <f t="shared" si="2"/>
        <v>0</v>
      </c>
      <c r="R37" s="48"/>
      <c r="S37" s="191" t="s">
        <v>621</v>
      </c>
      <c r="T37" s="192">
        <f>SUM(T32:T36)</f>
        <v>18</v>
      </c>
      <c r="U37" s="193">
        <f>SUM(U32:U36)</f>
        <v>1</v>
      </c>
      <c r="V37" s="192">
        <f>SUM(V32:V36)</f>
        <v>174</v>
      </c>
      <c r="W37" s="193">
        <f>SUM(W32:W36)</f>
        <v>1</v>
      </c>
      <c r="X37" s="48"/>
      <c r="Y37" s="48"/>
      <c r="Z37" s="48"/>
      <c r="AA37" s="48"/>
      <c r="AB37" s="48"/>
      <c r="AC37" s="48"/>
      <c r="AD37" s="48"/>
      <c r="AE37" s="48"/>
      <c r="AF37" s="60" t="str">
        <f>AF14</f>
        <v>Desvio Padrão</v>
      </c>
      <c r="AG37" s="68">
        <f>VLOOKUP($AF$30,$AF$41:$AL$53,5,0)</f>
        <v>1601.1255232418446</v>
      </c>
      <c r="AH37" s="68">
        <f>_xlfn.STDEV.S($AG$56:$AG$219)</f>
        <v>1895.7417931068505</v>
      </c>
      <c r="AI37" s="48"/>
      <c r="AJ37" s="48"/>
      <c r="AK37" s="48"/>
      <c r="AL37" s="48"/>
      <c r="AM37" s="48"/>
      <c r="AN37" s="48"/>
      <c r="AO37" s="148" t="s">
        <v>621</v>
      </c>
      <c r="AP37" s="192">
        <f>SUM(AP32:AP36)</f>
        <v>18</v>
      </c>
      <c r="AQ37" s="193">
        <f>SUM(AQ32:AQ36)</f>
        <v>1</v>
      </c>
      <c r="AR37" s="192">
        <f>SUM(AR32:AR36)</f>
        <v>174</v>
      </c>
      <c r="AS37" s="193">
        <f>SUM(AS32:AS36)</f>
        <v>1</v>
      </c>
      <c r="AT37" s="48"/>
      <c r="AU37" s="48"/>
      <c r="AV37" s="60">
        <v>6</v>
      </c>
      <c r="AW37" s="52">
        <f>COUNTIFS(Respostas_Formatadas!$C:$C,'1Emp'!$AV$30,Respostas_Formatadas!$AN:$AN,'1Emp'!$AV37)</f>
        <v>0</v>
      </c>
      <c r="AX37" s="53">
        <f t="shared" si="9"/>
        <v>0</v>
      </c>
      <c r="AY37" s="48"/>
    </row>
    <row r="38" spans="2:51" x14ac:dyDescent="0.2">
      <c r="B38" s="152"/>
      <c r="C38" s="152"/>
      <c r="D38" s="87"/>
      <c r="E38" s="51" t="str">
        <f>Tabulacao!BR80</f>
        <v>Técnico em Química</v>
      </c>
      <c r="F38" s="52">
        <f>COUNTIF(Tabulacao!$BR:$BR,'1Emp'!$E38)</f>
        <v>2</v>
      </c>
      <c r="G38" s="53">
        <f t="shared" si="0"/>
        <v>1.2269938650306749E-2</v>
      </c>
      <c r="H38" s="48"/>
      <c r="I38" s="52">
        <v>30</v>
      </c>
      <c r="J38" s="51" t="str">
        <f t="array" ref="J38">INDEX($E$9:$E$96,SMALL(IF($F$9:$F$96=K38,ROW($F$9:$F$96)-8),COUNTIF($K$9:K38,K38)))</f>
        <v>Condutor de Ambulância</v>
      </c>
      <c r="K38" s="52">
        <f t="shared" si="3"/>
        <v>1</v>
      </c>
      <c r="L38" s="53">
        <f t="shared" si="1"/>
        <v>6.1349693251533744E-3</v>
      </c>
      <c r="M38" s="119"/>
      <c r="N38" s="52">
        <v>30</v>
      </c>
      <c r="O38" s="51" t="str">
        <f t="array" ref="O38">INDEX($E$103:$E$190,SMALL(IF($F$103:$F$190=P38,ROW($F$103:$F$190)-102),COUNTIF($P$9:P38,P38)))</f>
        <v>Auxiliar de Controle da Qualidade</v>
      </c>
      <c r="P38" s="52">
        <f t="shared" si="4"/>
        <v>0</v>
      </c>
      <c r="Q38" s="53">
        <f t="shared" si="2"/>
        <v>0</v>
      </c>
      <c r="R38" s="48"/>
      <c r="S38" s="199" t="str">
        <f>S15</f>
        <v>Média</v>
      </c>
      <c r="T38" s="207">
        <f>SUMPRODUCT(S32:S36,T32:T36)/SUM(T32:T36)</f>
        <v>4.7222222222222223</v>
      </c>
      <c r="U38" s="204" t="s">
        <v>933</v>
      </c>
      <c r="V38" s="207">
        <f t="shared" ref="V38:W42" si="10">T15</f>
        <v>3.5862068965517242</v>
      </c>
      <c r="W38" s="204" t="str">
        <f t="shared" si="10"/>
        <v>-</v>
      </c>
      <c r="X38" s="48"/>
      <c r="Y38" s="48"/>
      <c r="Z38" s="48"/>
      <c r="AA38" s="48"/>
      <c r="AB38" s="48"/>
      <c r="AC38" s="48"/>
      <c r="AD38" s="48"/>
      <c r="AE38" s="48"/>
      <c r="AF38" s="60" t="str">
        <f>AF15</f>
        <v>Variância</v>
      </c>
      <c r="AG38" s="68">
        <f>VLOOKUP($AF$30,$AF$41:$AL$53,6,0)</f>
        <v>2563602.9411764704</v>
      </c>
      <c r="AH38" s="68">
        <f>AH37^2</f>
        <v>3593836.9461319768</v>
      </c>
      <c r="AI38" s="48"/>
      <c r="AJ38" s="48"/>
      <c r="AK38" s="48"/>
      <c r="AL38" s="48"/>
      <c r="AM38" s="48"/>
      <c r="AN38" s="48"/>
      <c r="AO38" s="199" t="str">
        <f>AO15</f>
        <v>Média</v>
      </c>
      <c r="AP38" s="207">
        <f>SUMPRODUCT($AO$32:$AO$36,$AP$32:$AP$36)/SUM($AP$32:$AP$36)</f>
        <v>4.3888888888888893</v>
      </c>
      <c r="AQ38" s="204" t="s">
        <v>933</v>
      </c>
      <c r="AR38" s="207">
        <f>AP15</f>
        <v>3.7298850574712645</v>
      </c>
      <c r="AS38" s="204" t="s">
        <v>933</v>
      </c>
      <c r="AT38" s="48"/>
      <c r="AU38" s="48"/>
      <c r="AV38" s="191" t="s">
        <v>621</v>
      </c>
      <c r="AW38" s="192">
        <f>SUM(AW32:AW37)</f>
        <v>7</v>
      </c>
      <c r="AX38" s="193">
        <f>SUM(AX32:AX37)</f>
        <v>0.99999999999999989</v>
      </c>
      <c r="AY38" s="48"/>
    </row>
    <row r="39" spans="2:51" x14ac:dyDescent="0.2">
      <c r="B39" s="152"/>
      <c r="C39" s="152"/>
      <c r="D39" s="87"/>
      <c r="E39" s="51" t="str">
        <f>Tabulacao!BR84</f>
        <v>Auxiliar de Loja</v>
      </c>
      <c r="F39" s="52">
        <f>COUNTIF(Tabulacao!$BR:$BR,'1Emp'!$E39)</f>
        <v>1</v>
      </c>
      <c r="G39" s="53">
        <f t="shared" si="0"/>
        <v>6.1349693251533744E-3</v>
      </c>
      <c r="H39" s="48"/>
      <c r="I39" s="52">
        <v>31</v>
      </c>
      <c r="J39" s="51" t="str">
        <f t="array" ref="J39">INDEX($E$9:$E$96,SMALL(IF($F$9:$F$96=K39,ROW($F$9:$F$96)-8),COUNTIF($K$9:K39,K39)))</f>
        <v>Consultor de Vendas</v>
      </c>
      <c r="K39" s="52">
        <f t="shared" si="3"/>
        <v>1</v>
      </c>
      <c r="L39" s="53">
        <f t="shared" si="1"/>
        <v>6.1349693251533744E-3</v>
      </c>
      <c r="M39" s="119"/>
      <c r="N39" s="52">
        <v>31</v>
      </c>
      <c r="O39" s="51" t="str">
        <f t="array" ref="O39">INDEX($E$103:$E$190,SMALL(IF($F$103:$F$190=P39,ROW($F$103:$F$190)-102),COUNTIF($P$9:P39,P39)))</f>
        <v>Assistente de Sistemas</v>
      </c>
      <c r="P39" s="52">
        <f t="shared" si="4"/>
        <v>0</v>
      </c>
      <c r="Q39" s="53">
        <f t="shared" si="2"/>
        <v>0</v>
      </c>
      <c r="R39" s="48"/>
      <c r="S39" s="199" t="str">
        <f>S16</f>
        <v>Moda</v>
      </c>
      <c r="T39" s="208">
        <f>IFERROR(INDEX($S$32:$T$36,MATCH(LARGE($T$32:$T$36,1),$T$32:$T$36,0),1),"-")</f>
        <v>5</v>
      </c>
      <c r="U39" s="204" t="s">
        <v>933</v>
      </c>
      <c r="V39" s="208">
        <f t="shared" si="10"/>
        <v>5</v>
      </c>
      <c r="W39" s="204" t="str">
        <f t="shared" si="10"/>
        <v>-</v>
      </c>
      <c r="X39" s="48"/>
      <c r="Y39" s="48"/>
      <c r="Z39" s="48"/>
      <c r="AA39" s="48"/>
      <c r="AB39" s="48"/>
      <c r="AC39" s="48"/>
      <c r="AD39" s="48"/>
      <c r="AE39" s="48"/>
      <c r="AF39" s="60" t="s">
        <v>979</v>
      </c>
      <c r="AG39" s="71">
        <f>VLOOKUP($AF$30,$AF$41:$AL$53,7,0)</f>
        <v>17</v>
      </c>
      <c r="AH39" s="71">
        <f>COUNT($AG$56:$AG$219)</f>
        <v>164</v>
      </c>
      <c r="AI39" s="48"/>
      <c r="AJ39" s="48"/>
      <c r="AK39" s="48"/>
      <c r="AL39" s="48"/>
      <c r="AM39" s="48"/>
      <c r="AN39" s="48"/>
      <c r="AO39" s="199" t="str">
        <f>AO16</f>
        <v>Moda</v>
      </c>
      <c r="AP39" s="208">
        <f>IFERROR(INDEX($AO$32:$AP$36,MATCH(LARGE($AP$32:$AP$36,1),$AP$32:$AP$36,0),1),"-")</f>
        <v>5</v>
      </c>
      <c r="AQ39" s="204" t="s">
        <v>933</v>
      </c>
      <c r="AR39" s="208">
        <f>AP16</f>
        <v>5</v>
      </c>
      <c r="AS39" s="204" t="s">
        <v>933</v>
      </c>
      <c r="AT39" s="48"/>
      <c r="AU39" s="48"/>
      <c r="AV39" s="206" t="str">
        <f>AV9</f>
        <v>Média</v>
      </c>
      <c r="AW39" s="208">
        <f>IFERROR(AVERAGEIF(Respostas_Formatadas!$C:$C,'1Emp'!$AV$30,Respostas_Formatadas!$AN:$AN),"-")</f>
        <v>1.7142857142857142</v>
      </c>
      <c r="AX39" s="207" t="s">
        <v>933</v>
      </c>
      <c r="AY39" s="48"/>
    </row>
    <row r="40" spans="2:51" x14ac:dyDescent="0.2">
      <c r="B40" s="152"/>
      <c r="C40" s="152"/>
      <c r="D40" s="87"/>
      <c r="E40" s="51" t="str">
        <f>Tabulacao!BR89</f>
        <v>Agente de Reservas</v>
      </c>
      <c r="F40" s="52">
        <f>COUNTIF(Tabulacao!$BR:$BR,'1Emp'!$E40)</f>
        <v>1</v>
      </c>
      <c r="G40" s="53">
        <f t="shared" si="0"/>
        <v>6.1349693251533744E-3</v>
      </c>
      <c r="H40" s="48"/>
      <c r="I40" s="52">
        <v>32</v>
      </c>
      <c r="J40" s="51" t="str">
        <f t="array" ref="J40">INDEX($E$9:$E$96,SMALL(IF($F$9:$F$96=K40,ROW($F$9:$F$96)-8),COUNTIF($K$9:K40,K40)))</f>
        <v>Policial Militar</v>
      </c>
      <c r="K40" s="52">
        <f t="shared" si="3"/>
        <v>1</v>
      </c>
      <c r="L40" s="53">
        <f t="shared" si="1"/>
        <v>6.1349693251533744E-3</v>
      </c>
      <c r="M40" s="119"/>
      <c r="N40" s="52">
        <v>32</v>
      </c>
      <c r="O40" s="51" t="str">
        <f t="array" ref="O40">INDEX($E$103:$E$190,SMALL(IF($F$103:$F$190=P40,ROW($F$103:$F$190)-102),COUNTIF($P$9:P40,P40)))</f>
        <v>Inspetor de Segurança</v>
      </c>
      <c r="P40" s="52">
        <f t="shared" si="4"/>
        <v>0</v>
      </c>
      <c r="Q40" s="53">
        <f t="shared" si="2"/>
        <v>0</v>
      </c>
      <c r="R40" s="48"/>
      <c r="S40" s="199" t="str">
        <f>S17</f>
        <v>Mediana</v>
      </c>
      <c r="T40" s="208">
        <f t="array" ref="T40">MEDIAN(IF(Respostas_Formatadas!$C:$C='1Emp'!$S$30,Respostas_Formatadas!$AE:$AE))</f>
        <v>5</v>
      </c>
      <c r="U40" s="204" t="s">
        <v>933</v>
      </c>
      <c r="V40" s="208">
        <f t="shared" si="10"/>
        <v>4</v>
      </c>
      <c r="W40" s="204" t="str">
        <f t="shared" si="10"/>
        <v>-</v>
      </c>
      <c r="X40" s="48"/>
      <c r="Y40" s="48"/>
      <c r="Z40" s="48"/>
      <c r="AA40" s="48"/>
      <c r="AB40" s="48"/>
      <c r="AC40" s="48"/>
      <c r="AD40" s="48"/>
      <c r="AE40" s="48"/>
      <c r="AF40" s="48"/>
      <c r="AG40" s="48"/>
      <c r="AH40" s="48"/>
      <c r="AI40" s="48"/>
      <c r="AJ40" s="48"/>
      <c r="AK40" s="48"/>
      <c r="AL40" s="48"/>
      <c r="AM40" s="48"/>
      <c r="AN40" s="48"/>
      <c r="AO40" s="199" t="str">
        <f>AO17</f>
        <v>Mediana</v>
      </c>
      <c r="AP40" s="208">
        <f t="array" ref="AP40">MEDIAN(IF(Respostas_Formatadas!$C:$C=$AO$30,Respostas_Formatadas!$AJ:$AJ))</f>
        <v>4</v>
      </c>
      <c r="AQ40" s="204" t="s">
        <v>933</v>
      </c>
      <c r="AR40" s="208">
        <f>AP17</f>
        <v>4</v>
      </c>
      <c r="AS40" s="204" t="s">
        <v>933</v>
      </c>
      <c r="AT40" s="48"/>
      <c r="AU40" s="48"/>
      <c r="AV40" s="206" t="str">
        <f>AV10</f>
        <v>Moda</v>
      </c>
      <c r="AW40" s="208">
        <f>IFERROR(INDEX($AV$32:$AW$37,MATCH(LARGE($AW$32:$AW$37,1),$AW$32:$AW$37,0),1),"-")</f>
        <v>1</v>
      </c>
      <c r="AX40" s="208" t="s">
        <v>933</v>
      </c>
      <c r="AY40" s="48"/>
    </row>
    <row r="41" spans="2:51" x14ac:dyDescent="0.2">
      <c r="B41" s="152"/>
      <c r="C41" s="152"/>
      <c r="D41" s="87"/>
      <c r="E41" s="51" t="str">
        <f>Tabulacao!BR90</f>
        <v>Contínuo</v>
      </c>
      <c r="F41" s="52">
        <f>COUNTIF(Tabulacao!$BR:$BR,'1Emp'!$E41)</f>
        <v>1</v>
      </c>
      <c r="G41" s="53">
        <f t="shared" ref="G41:G72" si="11">F41/$F$97</f>
        <v>6.1349693251533744E-3</v>
      </c>
      <c r="H41" s="48"/>
      <c r="I41" s="52">
        <v>33</v>
      </c>
      <c r="J41" s="51" t="str">
        <f t="array" ref="J41">INDEX($E$9:$E$96,SMALL(IF($F$9:$F$96=K41,ROW($F$9:$F$96)-8),COUNTIF($K$9:K41,K41)))</f>
        <v>Desenvolvedor Full Stack</v>
      </c>
      <c r="K41" s="52">
        <f t="shared" si="3"/>
        <v>1</v>
      </c>
      <c r="L41" s="53">
        <f t="shared" ref="L41:L72" si="12">K41/$K$97</f>
        <v>6.1349693251533744E-3</v>
      </c>
      <c r="M41" s="119"/>
      <c r="N41" s="52">
        <v>33</v>
      </c>
      <c r="O41" s="51" t="str">
        <f t="array" ref="O41">INDEX($E$103:$E$190,SMALL(IF($F$103:$F$190=P41,ROW($F$103:$F$190)-102),COUNTIF($P$9:P41,P41)))</f>
        <v>Gerente</v>
      </c>
      <c r="P41" s="52">
        <f t="shared" si="4"/>
        <v>0</v>
      </c>
      <c r="Q41" s="53">
        <f t="shared" ref="Q41:Q72" si="13">P41/$P$97</f>
        <v>0</v>
      </c>
      <c r="R41" s="48"/>
      <c r="S41" s="199" t="str">
        <f>S18</f>
        <v>Desvio Padrão</v>
      </c>
      <c r="T41" s="207">
        <f>IFERROR(SQRT(T42),"-")</f>
        <v>2.2028567970397765</v>
      </c>
      <c r="U41" s="204" t="s">
        <v>933</v>
      </c>
      <c r="V41" s="207">
        <f t="shared" si="10"/>
        <v>1.5547928816801488</v>
      </c>
      <c r="W41" s="204" t="str">
        <f t="shared" si="10"/>
        <v>-</v>
      </c>
      <c r="X41" s="48"/>
      <c r="Y41" s="48"/>
      <c r="Z41" s="48"/>
      <c r="AA41" s="48"/>
      <c r="AB41" s="48"/>
      <c r="AC41" s="48"/>
      <c r="AD41" s="48"/>
      <c r="AE41" s="48"/>
      <c r="AF41" s="186" t="s">
        <v>620</v>
      </c>
      <c r="AG41" s="187" t="s">
        <v>160</v>
      </c>
      <c r="AH41" s="187" t="s">
        <v>161</v>
      </c>
      <c r="AI41" s="187" t="s">
        <v>162</v>
      </c>
      <c r="AJ41" s="187" t="s">
        <v>977</v>
      </c>
      <c r="AK41" s="187" t="s">
        <v>978</v>
      </c>
      <c r="AL41" s="187" t="s">
        <v>131</v>
      </c>
      <c r="AM41" s="48"/>
      <c r="AN41" s="48"/>
      <c r="AO41" s="199" t="str">
        <f>AO18</f>
        <v>Desvio Padrão</v>
      </c>
      <c r="AP41" s="207">
        <f>SQRT(AP42)</f>
        <v>1.9788276570108509</v>
      </c>
      <c r="AQ41" s="204" t="s">
        <v>933</v>
      </c>
      <c r="AR41" s="207">
        <f>AP18</f>
        <v>1.3306189565465742</v>
      </c>
      <c r="AS41" s="204" t="s">
        <v>933</v>
      </c>
      <c r="AT41" s="48"/>
      <c r="AU41" s="48"/>
      <c r="AV41" s="48"/>
      <c r="AW41" s="48"/>
      <c r="AX41" s="48"/>
      <c r="AY41" s="48"/>
    </row>
    <row r="42" spans="2:51" x14ac:dyDescent="0.2">
      <c r="B42" s="152"/>
      <c r="C42" s="152"/>
      <c r="D42" s="87"/>
      <c r="E42" s="51" t="str">
        <f>Tabulacao!BR91</f>
        <v>Coordenador</v>
      </c>
      <c r="F42" s="52">
        <f>COUNTIF(Tabulacao!$BR:$BR,'1Emp'!$E42)</f>
        <v>2</v>
      </c>
      <c r="G42" s="53">
        <f t="shared" si="11"/>
        <v>1.2269938650306749E-2</v>
      </c>
      <c r="H42" s="48"/>
      <c r="I42" s="52">
        <v>34</v>
      </c>
      <c r="J42" s="51" t="str">
        <f t="array" ref="J42">INDEX($E$9:$E$96,SMALL(IF($F$9:$F$96=K42,ROW($F$9:$F$96)-8),COUNTIF($K$9:K42,K42)))</f>
        <v>Assistente de Gestão Operacional</v>
      </c>
      <c r="K42" s="52">
        <f t="shared" si="3"/>
        <v>1</v>
      </c>
      <c r="L42" s="53">
        <f t="shared" si="12"/>
        <v>6.1349693251533744E-3</v>
      </c>
      <c r="M42" s="119"/>
      <c r="N42" s="52">
        <v>34</v>
      </c>
      <c r="O42" s="51" t="str">
        <f t="array" ref="O42">INDEX($E$103:$E$190,SMALL(IF($F$103:$F$190=P42,ROW($F$103:$F$190)-102),COUNTIF($P$9:P42,P42)))</f>
        <v>Diretor Administrativo</v>
      </c>
      <c r="P42" s="52">
        <f t="shared" si="4"/>
        <v>0</v>
      </c>
      <c r="Q42" s="53">
        <f t="shared" si="13"/>
        <v>0</v>
      </c>
      <c r="R42" s="48"/>
      <c r="S42" s="199" t="str">
        <f>S19</f>
        <v>Variância</v>
      </c>
      <c r="T42" s="207">
        <f>IFERROR((((U32*S32)-T38)^2+((U33*S33)-T38)^2+((U34*S34)-T38)^2+((U35*S35)-T38)^2+((U36*S36)-T38)^2)/(SUM(T32:T36)-1),"-")</f>
        <v>4.8525780682643429</v>
      </c>
      <c r="U42" s="204" t="s">
        <v>933</v>
      </c>
      <c r="V42" s="207">
        <f t="shared" si="10"/>
        <v>2.4173809049232613</v>
      </c>
      <c r="W42" s="204" t="str">
        <f t="shared" si="10"/>
        <v>-</v>
      </c>
      <c r="X42" s="48"/>
      <c r="Y42" s="48"/>
      <c r="Z42" s="48"/>
      <c r="AA42" s="48"/>
      <c r="AB42" s="48"/>
      <c r="AC42" s="48"/>
      <c r="AD42" s="48"/>
      <c r="AE42" s="48"/>
      <c r="AF42" s="51" t="s">
        <v>119</v>
      </c>
      <c r="AG42" s="69">
        <f t="shared" ref="AG42:AG53" ca="1" si="14">AVERAGEIF($AF$56:$AG$219,$AF42,$AG$56:$AG$219)</f>
        <v>3471.64</v>
      </c>
      <c r="AH42" s="69">
        <f>IFERROR(_xlfn.MODE.SNGL($AG$56:$AG$80),"-")</f>
        <v>1500</v>
      </c>
      <c r="AI42" s="69">
        <f>IFERROR(MEDIAN($AG$56:$AG$80),"-")</f>
        <v>2800</v>
      </c>
      <c r="AJ42" s="69">
        <f>IFERROR(_xlfn.STDEV.S($AG$56:$AG$80),"-")</f>
        <v>3863.7466583615442</v>
      </c>
      <c r="AK42" s="69">
        <f t="shared" ref="AK42:AK53" si="15">IFERROR(AJ42^2,"-")</f>
        <v>14928538.239999998</v>
      </c>
      <c r="AL42" s="70">
        <f t="shared" ref="AL42:AL53" si="16">COUNTIF($AF$56:$AG$219,$AF42)</f>
        <v>25</v>
      </c>
      <c r="AM42" s="48"/>
      <c r="AN42" s="48"/>
      <c r="AO42" s="199" t="str">
        <f>AO19</f>
        <v>Variância</v>
      </c>
      <c r="AP42" s="207">
        <f>(((AQ32*AO32)-AP38)^2+((AQ33*AO33)-AP38)^2+((AQ34*AO34)-AP38)^2+((AQ35*AO35)-AP38)^2+((AQ36*AO36)-AP38)^2)/(SUM(AP32:AP36)-1)</f>
        <v>3.9157588961510537</v>
      </c>
      <c r="AQ42" s="204" t="s">
        <v>933</v>
      </c>
      <c r="AR42" s="207">
        <f>AP19</f>
        <v>1.7705468075210939</v>
      </c>
      <c r="AS42" s="204" t="s">
        <v>933</v>
      </c>
      <c r="AT42" s="48"/>
      <c r="AU42" s="48"/>
      <c r="AV42" s="48"/>
      <c r="AW42" s="48"/>
      <c r="AX42" s="48"/>
      <c r="AY42" s="48"/>
    </row>
    <row r="43" spans="2:51" x14ac:dyDescent="0.2">
      <c r="B43" s="152"/>
      <c r="C43" s="152"/>
      <c r="D43" s="87"/>
      <c r="E43" s="51" t="str">
        <f>Tabulacao!BR92</f>
        <v>Analista Ambiental</v>
      </c>
      <c r="F43" s="52">
        <f>COUNTIF(Tabulacao!$BR:$BR,'1Emp'!$E43)</f>
        <v>4</v>
      </c>
      <c r="G43" s="53">
        <f t="shared" si="11"/>
        <v>2.4539877300613498E-2</v>
      </c>
      <c r="H43" s="48"/>
      <c r="I43" s="52">
        <v>35</v>
      </c>
      <c r="J43" s="51" t="str">
        <f t="array" ref="J43">INDEX($E$9:$E$96,SMALL(IF($F$9:$F$96=K43,ROW($F$9:$F$96)-8),COUNTIF($K$9:K43,K43)))</f>
        <v>Administrador de Data Center</v>
      </c>
      <c r="K43" s="52">
        <f t="shared" si="3"/>
        <v>1</v>
      </c>
      <c r="L43" s="53">
        <f t="shared" si="12"/>
        <v>6.1349693251533744E-3</v>
      </c>
      <c r="M43" s="119"/>
      <c r="N43" s="52">
        <v>35</v>
      </c>
      <c r="O43" s="51" t="str">
        <f t="array" ref="O43">INDEX($E$103:$E$190,SMALL(IF($F$103:$F$190=P43,ROW($F$103:$F$190)-102),COUNTIF($P$9:P43,P43)))</f>
        <v>Atendente de Hospedagem</v>
      </c>
      <c r="P43" s="52">
        <f t="shared" si="4"/>
        <v>0</v>
      </c>
      <c r="Q43" s="53">
        <f t="shared" si="13"/>
        <v>0</v>
      </c>
      <c r="R43" s="48"/>
      <c r="S43" s="48"/>
      <c r="T43" s="48"/>
      <c r="U43" s="48"/>
      <c r="V43" s="48"/>
      <c r="W43" s="48"/>
      <c r="X43" s="48"/>
      <c r="Y43" s="48"/>
      <c r="Z43" s="48"/>
      <c r="AA43" s="48"/>
      <c r="AB43" s="48"/>
      <c r="AC43" s="48"/>
      <c r="AD43" s="48"/>
      <c r="AE43" s="48"/>
      <c r="AF43" s="51" t="s">
        <v>120</v>
      </c>
      <c r="AG43" s="69">
        <f t="shared" ca="1" si="14"/>
        <v>2788.2352941176468</v>
      </c>
      <c r="AH43" s="69">
        <f>IFERROR(_xlfn.MODE.SNGL($AG$81:$AG$97),"-")</f>
        <v>2500</v>
      </c>
      <c r="AI43" s="69">
        <f>IFERROR(MEDIAN($AG$81:$AG$97),"-")</f>
        <v>2500</v>
      </c>
      <c r="AJ43" s="69">
        <f>IFERROR(_xlfn.STDEV.S($AG$81:$AG$97),"-")</f>
        <v>1601.1255232418446</v>
      </c>
      <c r="AK43" s="69">
        <f t="shared" si="15"/>
        <v>2563602.9411764704</v>
      </c>
      <c r="AL43" s="70">
        <f t="shared" si="16"/>
        <v>17</v>
      </c>
      <c r="AM43" s="48"/>
      <c r="AN43" s="48"/>
      <c r="AO43" s="48"/>
      <c r="AP43" s="48"/>
      <c r="AQ43" s="48"/>
      <c r="AR43" s="48"/>
      <c r="AS43" s="48"/>
      <c r="AT43" s="48"/>
      <c r="AU43" s="48"/>
      <c r="AV43" s="48"/>
      <c r="AW43" s="48"/>
      <c r="AX43" s="48"/>
      <c r="AY43" s="48"/>
    </row>
    <row r="44" spans="2:51" x14ac:dyDescent="0.2">
      <c r="B44" s="152"/>
      <c r="C44" s="152"/>
      <c r="D44" s="87"/>
      <c r="E44" s="51" t="str">
        <f>Tabulacao!BR98</f>
        <v>Agente de Segurança Socioeducativo</v>
      </c>
      <c r="F44" s="52">
        <f>COUNTIF(Tabulacao!$BR:$BR,'1Emp'!$E44)</f>
        <v>1</v>
      </c>
      <c r="G44" s="53">
        <f t="shared" si="11"/>
        <v>6.1349693251533744E-3</v>
      </c>
      <c r="H44" s="48"/>
      <c r="I44" s="52">
        <v>36</v>
      </c>
      <c r="J44" s="51" t="str">
        <f t="array" ref="J44">INDEX($E$9:$E$96,SMALL(IF($F$9:$F$96=K44,ROW($F$9:$F$96)-8),COUNTIF($K$9:K44,K44)))</f>
        <v>Carteiro</v>
      </c>
      <c r="K44" s="52">
        <f t="shared" si="3"/>
        <v>1</v>
      </c>
      <c r="L44" s="53">
        <f t="shared" si="12"/>
        <v>6.1349693251533744E-3</v>
      </c>
      <c r="M44" s="119"/>
      <c r="N44" s="52">
        <v>36</v>
      </c>
      <c r="O44" s="51" t="str">
        <f t="array" ref="O44">INDEX($E$103:$E$190,SMALL(IF($F$103:$F$190=P44,ROW($F$103:$F$190)-102),COUNTIF($P$9:P44,P44)))</f>
        <v>Porteiro</v>
      </c>
      <c r="P44" s="52">
        <f t="shared" si="4"/>
        <v>0</v>
      </c>
      <c r="Q44" s="53">
        <f t="shared" si="13"/>
        <v>0</v>
      </c>
      <c r="R44" s="48"/>
      <c r="S44" s="48"/>
      <c r="T44" s="48"/>
      <c r="U44" s="48"/>
      <c r="V44" s="48"/>
      <c r="W44" s="48"/>
      <c r="X44" s="48"/>
      <c r="Y44" s="48"/>
      <c r="Z44" s="48"/>
      <c r="AA44" s="48"/>
      <c r="AB44" s="48"/>
      <c r="AC44" s="48"/>
      <c r="AD44" s="48"/>
      <c r="AE44" s="48"/>
      <c r="AF44" s="51" t="s">
        <v>123</v>
      </c>
      <c r="AG44" s="69">
        <f t="shared" ca="1" si="14"/>
        <v>1700</v>
      </c>
      <c r="AH44" s="69" t="str">
        <f>IFERROR(_xlfn.MODE.SNGL($AG$98),"-")</f>
        <v>-</v>
      </c>
      <c r="AI44" s="69">
        <f>IFERROR(MEDIAN($AG$98),"-")</f>
        <v>1700</v>
      </c>
      <c r="AJ44" s="69" t="str">
        <f>IFERROR(_xlfn.STDEV.S($AG$98),"-")</f>
        <v>-</v>
      </c>
      <c r="AK44" s="69" t="str">
        <f t="shared" si="15"/>
        <v>-</v>
      </c>
      <c r="AL44" s="70">
        <f t="shared" si="16"/>
        <v>1</v>
      </c>
      <c r="AM44" s="48"/>
      <c r="AN44" s="48"/>
      <c r="AO44" s="48"/>
      <c r="AP44" s="48"/>
      <c r="AQ44" s="48"/>
      <c r="AR44" s="48"/>
      <c r="AS44" s="48"/>
      <c r="AT44" s="48"/>
      <c r="AU44" s="48"/>
      <c r="AV44" s="48"/>
      <c r="AW44" s="48"/>
      <c r="AX44" s="48"/>
      <c r="AY44" s="48"/>
    </row>
    <row r="45" spans="2:51" x14ac:dyDescent="0.2">
      <c r="B45" s="152"/>
      <c r="C45" s="152"/>
      <c r="D45" s="87"/>
      <c r="E45" s="51" t="str">
        <f>Tabulacao!BR101</f>
        <v>Auxiliar de Engenharia</v>
      </c>
      <c r="F45" s="52">
        <f>COUNTIF(Tabulacao!$BR:$BR,'1Emp'!$E45)</f>
        <v>1</v>
      </c>
      <c r="G45" s="53">
        <f t="shared" si="11"/>
        <v>6.1349693251533744E-3</v>
      </c>
      <c r="H45" s="48"/>
      <c r="I45" s="52">
        <v>37</v>
      </c>
      <c r="J45" s="51" t="str">
        <f t="array" ref="J45">INDEX($E$9:$E$96,SMALL(IF($F$9:$F$96=K45,ROW($F$9:$F$96)-8),COUNTIF($K$9:K45,K45)))</f>
        <v>Assistente de Laboratório de Construção Civil</v>
      </c>
      <c r="K45" s="52">
        <f t="shared" si="3"/>
        <v>1</v>
      </c>
      <c r="L45" s="53">
        <f t="shared" si="12"/>
        <v>6.1349693251533744E-3</v>
      </c>
      <c r="M45" s="119"/>
      <c r="N45" s="52">
        <v>37</v>
      </c>
      <c r="O45" s="51" t="str">
        <f t="array" ref="O45">INDEX($E$103:$E$190,SMALL(IF($F$103:$F$190=P45,ROW($F$103:$F$190)-102),COUNTIF($P$9:P45,P45)))</f>
        <v>Motorista</v>
      </c>
      <c r="P45" s="52">
        <f t="shared" si="4"/>
        <v>0</v>
      </c>
      <c r="Q45" s="53">
        <f t="shared" si="13"/>
        <v>0</v>
      </c>
      <c r="R45" s="48"/>
      <c r="S45" s="48"/>
      <c r="T45" s="48"/>
      <c r="U45" s="48"/>
      <c r="V45" s="48"/>
      <c r="W45" s="48"/>
      <c r="X45" s="48"/>
      <c r="Y45" s="48"/>
      <c r="Z45" s="48"/>
      <c r="AA45" s="48"/>
      <c r="AB45" s="48"/>
      <c r="AC45" s="48"/>
      <c r="AD45" s="48"/>
      <c r="AE45" s="48"/>
      <c r="AF45" s="51" t="s">
        <v>122</v>
      </c>
      <c r="AG45" s="69">
        <f t="shared" ca="1" si="14"/>
        <v>1815.5882352941176</v>
      </c>
      <c r="AH45" s="69">
        <f>IFERROR(_xlfn.MODE.SNGL($AG$99:$AG$115),"-")</f>
        <v>2000</v>
      </c>
      <c r="AI45" s="69">
        <f>IFERROR(MEDIAN($AG$99:$AG$115),"-")</f>
        <v>1600</v>
      </c>
      <c r="AJ45" s="69">
        <f>IFERROR(_xlfn.STDEV.S($AG$99:$AG$115),"-")</f>
        <v>960.40688374924787</v>
      </c>
      <c r="AK45" s="69">
        <f t="shared" si="15"/>
        <v>922381.38235294132</v>
      </c>
      <c r="AL45" s="70">
        <f t="shared" si="16"/>
        <v>17</v>
      </c>
      <c r="AM45" s="48"/>
      <c r="AN45" s="48"/>
      <c r="AO45" s="48"/>
      <c r="AP45" s="48"/>
      <c r="AQ45" s="48"/>
      <c r="AR45" s="48"/>
      <c r="AS45" s="48"/>
      <c r="AT45" s="48"/>
      <c r="AU45" s="48"/>
      <c r="AV45" s="48"/>
      <c r="AW45" s="48"/>
      <c r="AX45" s="48"/>
      <c r="AY45" s="48"/>
    </row>
    <row r="46" spans="2:51" x14ac:dyDescent="0.2">
      <c r="B46" s="152"/>
      <c r="C46" s="152"/>
      <c r="D46" s="87"/>
      <c r="E46" s="51" t="str">
        <f>Tabulacao!BR103</f>
        <v>Coordenador Ambiental</v>
      </c>
      <c r="F46" s="52">
        <f>COUNTIF(Tabulacao!$BR:$BR,'1Emp'!$E46)</f>
        <v>3</v>
      </c>
      <c r="G46" s="53">
        <f t="shared" si="11"/>
        <v>1.8404907975460124E-2</v>
      </c>
      <c r="H46" s="48"/>
      <c r="I46" s="52">
        <v>38</v>
      </c>
      <c r="J46" s="51" t="str">
        <f t="array" ref="J46">INDEX($E$9:$E$96,SMALL(IF($F$9:$F$96=K46,ROW($F$9:$F$96)-8),COUNTIF($K$9:K46,K46)))</f>
        <v>Gerente de Fábrica</v>
      </c>
      <c r="K46" s="52">
        <f t="shared" si="3"/>
        <v>1</v>
      </c>
      <c r="L46" s="53">
        <f t="shared" si="12"/>
        <v>6.1349693251533744E-3</v>
      </c>
      <c r="M46" s="119"/>
      <c r="N46" s="52">
        <v>38</v>
      </c>
      <c r="O46" s="51" t="str">
        <f t="array" ref="O46">INDEX($E$103:$E$190,SMALL(IF($F$103:$F$190=P46,ROW($F$103:$F$190)-102),COUNTIF($P$9:P46,P46)))</f>
        <v>Condutor de Ambulância</v>
      </c>
      <c r="P46" s="52">
        <f t="shared" si="4"/>
        <v>0</v>
      </c>
      <c r="Q46" s="53">
        <f t="shared" si="13"/>
        <v>0</v>
      </c>
      <c r="R46" s="48"/>
      <c r="S46" s="48"/>
      <c r="T46" s="48"/>
      <c r="U46" s="48"/>
      <c r="V46" s="48"/>
      <c r="W46" s="48"/>
      <c r="X46" s="48"/>
      <c r="Y46" s="48"/>
      <c r="Z46" s="48"/>
      <c r="AA46" s="48"/>
      <c r="AB46" s="48"/>
      <c r="AC46" s="48"/>
      <c r="AD46" s="48"/>
      <c r="AE46" s="48"/>
      <c r="AF46" s="51" t="s">
        <v>121</v>
      </c>
      <c r="AG46" s="69">
        <f t="shared" ca="1" si="14"/>
        <v>1194.75</v>
      </c>
      <c r="AH46" s="69">
        <f>IFERROR(_xlfn.MODE.SNGL($AG$116:$AG$131),"-")</f>
        <v>1300</v>
      </c>
      <c r="AI46" s="69">
        <f>IFERROR(MEDIAN($AG$116:$AG$131),"-")</f>
        <v>1127</v>
      </c>
      <c r="AJ46" s="69">
        <f>IFERROR(_xlfn.STDEV.S($AG$116:$AG$131),"-")</f>
        <v>791.40208912200046</v>
      </c>
      <c r="AK46" s="69">
        <f t="shared" si="15"/>
        <v>626317.26666666672</v>
      </c>
      <c r="AL46" s="70">
        <f t="shared" si="16"/>
        <v>16</v>
      </c>
      <c r="AM46" s="48"/>
      <c r="AN46" s="48"/>
      <c r="AO46" s="48"/>
      <c r="AP46" s="48"/>
      <c r="AQ46" s="48"/>
      <c r="AR46" s="48"/>
      <c r="AS46" s="48"/>
      <c r="AT46" s="48"/>
      <c r="AU46" s="48"/>
      <c r="AV46" s="48"/>
      <c r="AW46" s="48"/>
      <c r="AX46" s="48"/>
      <c r="AY46" s="48"/>
    </row>
    <row r="47" spans="2:51" x14ac:dyDescent="0.2">
      <c r="B47" s="152"/>
      <c r="C47" s="152"/>
      <c r="D47" s="87"/>
      <c r="E47" s="51" t="str">
        <f>Tabulacao!BR106</f>
        <v>Telefonista</v>
      </c>
      <c r="F47" s="52">
        <f>COUNTIF(Tabulacao!$BR:$BR,'1Emp'!$E47)</f>
        <v>1</v>
      </c>
      <c r="G47" s="53">
        <f t="shared" si="11"/>
        <v>6.1349693251533744E-3</v>
      </c>
      <c r="H47" s="48"/>
      <c r="I47" s="52">
        <v>39</v>
      </c>
      <c r="J47" s="51" t="str">
        <f t="array" ref="J47">INDEX($E$9:$E$96,SMALL(IF($F$9:$F$96=K47,ROW($F$9:$F$96)-8),COUNTIF($K$9:K47,K47)))</f>
        <v>Assistente de Turismo</v>
      </c>
      <c r="K47" s="52">
        <f t="shared" si="3"/>
        <v>1</v>
      </c>
      <c r="L47" s="53">
        <f t="shared" si="12"/>
        <v>6.1349693251533744E-3</v>
      </c>
      <c r="M47" s="119"/>
      <c r="N47" s="52">
        <v>39</v>
      </c>
      <c r="O47" s="51" t="str">
        <f t="array" ref="O47">INDEX($E$103:$E$190,SMALL(IF($F$103:$F$190=P47,ROW($F$103:$F$190)-102),COUNTIF($P$9:P47,P47)))</f>
        <v>Consultor de Vendas</v>
      </c>
      <c r="P47" s="52">
        <f t="shared" si="4"/>
        <v>0</v>
      </c>
      <c r="Q47" s="53">
        <f t="shared" si="13"/>
        <v>0</v>
      </c>
      <c r="R47" s="48"/>
      <c r="S47" s="48"/>
      <c r="T47" s="48"/>
      <c r="U47" s="48"/>
      <c r="V47" s="48"/>
      <c r="W47" s="48"/>
      <c r="X47" s="48"/>
      <c r="Y47" s="48"/>
      <c r="Z47" s="48"/>
      <c r="AA47" s="48"/>
      <c r="AB47" s="48"/>
      <c r="AC47" s="48"/>
      <c r="AD47" s="48"/>
      <c r="AE47" s="48"/>
      <c r="AF47" s="51" t="s">
        <v>130</v>
      </c>
      <c r="AG47" s="69">
        <f t="shared" ca="1" si="14"/>
        <v>1958.6</v>
      </c>
      <c r="AH47" s="69" t="str">
        <f>IFERROR(_xlfn.MODE.SNGL($AG$132:$AG$136),"-")</f>
        <v>-</v>
      </c>
      <c r="AI47" s="69">
        <f>IFERROR(MEDIAN($AG$132:$AG$136),"-")</f>
        <v>1700</v>
      </c>
      <c r="AJ47" s="69">
        <f>IFERROR(_xlfn.STDEV.S($AG$132:$AG$136),"-")</f>
        <v>719.14518701024474</v>
      </c>
      <c r="AK47" s="69">
        <f t="shared" si="15"/>
        <v>517169.79999999987</v>
      </c>
      <c r="AL47" s="70">
        <f t="shared" si="16"/>
        <v>5</v>
      </c>
      <c r="AM47" s="48"/>
      <c r="AN47" s="48"/>
      <c r="AO47" s="48"/>
      <c r="AP47" s="48"/>
      <c r="AQ47" s="48"/>
      <c r="AR47" s="48"/>
      <c r="AS47" s="48"/>
      <c r="AT47" s="48"/>
      <c r="AU47" s="48"/>
      <c r="AV47" s="48"/>
      <c r="AW47" s="48"/>
      <c r="AX47" s="48"/>
      <c r="AY47" s="48"/>
    </row>
    <row r="48" spans="2:51" x14ac:dyDescent="0.2">
      <c r="B48" s="152"/>
      <c r="C48" s="152"/>
      <c r="D48" s="87"/>
      <c r="E48" s="51" t="str">
        <f>Tabulacao!BR107</f>
        <v>Consultor de Viagens</v>
      </c>
      <c r="F48" s="52">
        <f>COUNTIF(Tabulacao!$BR:$BR,'1Emp'!$E48)</f>
        <v>1</v>
      </c>
      <c r="G48" s="53">
        <f t="shared" si="11"/>
        <v>6.1349693251533744E-3</v>
      </c>
      <c r="H48" s="48"/>
      <c r="I48" s="52">
        <v>40</v>
      </c>
      <c r="J48" s="51" t="str">
        <f t="array" ref="J48">INDEX($E$9:$E$96,SMALL(IF($F$9:$F$96=K48,ROW($F$9:$F$96)-8),COUNTIF($K$9:K48,K48)))</f>
        <v>Auxiliar de Laboratório</v>
      </c>
      <c r="K48" s="52">
        <f t="shared" si="3"/>
        <v>1</v>
      </c>
      <c r="L48" s="53">
        <f t="shared" si="12"/>
        <v>6.1349693251533744E-3</v>
      </c>
      <c r="M48" s="119"/>
      <c r="N48" s="52">
        <v>40</v>
      </c>
      <c r="O48" s="51" t="str">
        <f t="array" ref="O48">INDEX($E$103:$E$190,SMALL(IF($F$103:$F$190=P48,ROW($F$103:$F$190)-102),COUNTIF($P$9:P48,P48)))</f>
        <v>Policial Militar</v>
      </c>
      <c r="P48" s="52">
        <f t="shared" si="4"/>
        <v>0</v>
      </c>
      <c r="Q48" s="53">
        <f t="shared" si="13"/>
        <v>0</v>
      </c>
      <c r="R48" s="48"/>
      <c r="S48" s="48"/>
      <c r="T48" s="48"/>
      <c r="U48" s="48"/>
      <c r="V48" s="48"/>
      <c r="W48" s="48"/>
      <c r="X48" s="48"/>
      <c r="Y48" s="48"/>
      <c r="Z48" s="48"/>
      <c r="AA48" s="48"/>
      <c r="AB48" s="48"/>
      <c r="AC48" s="48"/>
      <c r="AD48" s="48"/>
      <c r="AE48" s="48"/>
      <c r="AF48" s="51" t="s">
        <v>129</v>
      </c>
      <c r="AG48" s="69">
        <f t="shared" ca="1" si="14"/>
        <v>977</v>
      </c>
      <c r="AH48" s="69" t="str">
        <f>IFERROR(_xlfn.MODE.SNGL($AG$137:$AG$138),"-")</f>
        <v>-</v>
      </c>
      <c r="AI48" s="69">
        <f>IFERROR(MEDIAN($AG$137:$AG$138),"-")</f>
        <v>977</v>
      </c>
      <c r="AJ48" s="69">
        <f>IFERROR(_xlfn.STDEV.S($AG$137:$AG$138),"-")</f>
        <v>32.526911934581186</v>
      </c>
      <c r="AK48" s="69">
        <f t="shared" si="15"/>
        <v>1058</v>
      </c>
      <c r="AL48" s="70">
        <f t="shared" si="16"/>
        <v>2</v>
      </c>
      <c r="AM48" s="48"/>
      <c r="AN48" s="48"/>
      <c r="AO48" s="48"/>
      <c r="AP48" s="48"/>
      <c r="AQ48" s="48"/>
      <c r="AR48" s="48"/>
      <c r="AS48" s="48"/>
      <c r="AT48" s="48"/>
      <c r="AU48" s="48"/>
      <c r="AV48" s="48"/>
      <c r="AW48" s="48"/>
      <c r="AX48" s="48"/>
      <c r="AY48" s="48"/>
    </row>
    <row r="49" spans="2:51" x14ac:dyDescent="0.2">
      <c r="B49" s="152"/>
      <c r="C49" s="152"/>
      <c r="D49" s="87"/>
      <c r="E49" s="51" t="str">
        <f>Tabulacao!BR108</f>
        <v>Atendente</v>
      </c>
      <c r="F49" s="52">
        <f>COUNTIF(Tabulacao!$BR:$BR,'1Emp'!$E49)</f>
        <v>3</v>
      </c>
      <c r="G49" s="53">
        <f t="shared" si="11"/>
        <v>1.8404907975460124E-2</v>
      </c>
      <c r="H49" s="48"/>
      <c r="I49" s="52">
        <v>41</v>
      </c>
      <c r="J49" s="51" t="str">
        <f t="array" ref="J49">INDEX($E$9:$E$96,SMALL(IF($F$9:$F$96=K49,ROW($F$9:$F$96)-8),COUNTIF($K$9:K49,K49)))</f>
        <v>Chefe de Patrimônio</v>
      </c>
      <c r="K49" s="52">
        <f t="shared" si="3"/>
        <v>1</v>
      </c>
      <c r="L49" s="53">
        <f t="shared" si="12"/>
        <v>6.1349693251533744E-3</v>
      </c>
      <c r="M49" s="119"/>
      <c r="N49" s="52">
        <v>41</v>
      </c>
      <c r="O49" s="51" t="str">
        <f t="array" ref="O49">INDEX($E$103:$E$190,SMALL(IF($F$103:$F$190=P49,ROW($F$103:$F$190)-102),COUNTIF($P$9:P49,P49)))</f>
        <v>Desenvolvedor Full Stack</v>
      </c>
      <c r="P49" s="52">
        <f t="shared" si="4"/>
        <v>0</v>
      </c>
      <c r="Q49" s="53">
        <f t="shared" si="13"/>
        <v>0</v>
      </c>
      <c r="R49" s="48"/>
      <c r="S49" s="48"/>
      <c r="T49" s="48"/>
      <c r="U49" s="48"/>
      <c r="V49" s="48"/>
      <c r="W49" s="48"/>
      <c r="X49" s="48"/>
      <c r="Y49" s="48"/>
      <c r="Z49" s="48"/>
      <c r="AA49" s="48"/>
      <c r="AB49" s="48"/>
      <c r="AC49" s="48"/>
      <c r="AD49" s="48"/>
      <c r="AE49" s="48"/>
      <c r="AF49" s="51" t="s">
        <v>126</v>
      </c>
      <c r="AG49" s="69">
        <f t="shared" ca="1" si="14"/>
        <v>2023.090909090909</v>
      </c>
      <c r="AH49" s="69">
        <f>IFERROR(_xlfn.MODE.SNGL($AG$139:$AG$149),"-")</f>
        <v>2500</v>
      </c>
      <c r="AI49" s="69">
        <f>IFERROR(MEDIAN($AG$139:$AG$149),"-")</f>
        <v>2000</v>
      </c>
      <c r="AJ49" s="69">
        <f>IFERROR(_xlfn.STDEV.S($AG$139:$AG$149),"-")</f>
        <v>1022.6559005399082</v>
      </c>
      <c r="AK49" s="69">
        <f t="shared" si="15"/>
        <v>1045825.0909090906</v>
      </c>
      <c r="AL49" s="70">
        <f t="shared" si="16"/>
        <v>11</v>
      </c>
      <c r="AM49" s="48"/>
      <c r="AN49" s="48"/>
      <c r="AO49" s="48"/>
      <c r="AP49" s="48"/>
      <c r="AQ49" s="48"/>
      <c r="AR49" s="48"/>
      <c r="AS49" s="48"/>
      <c r="AT49" s="48"/>
      <c r="AU49" s="48"/>
      <c r="AV49" s="48"/>
      <c r="AW49" s="48"/>
      <c r="AX49" s="48"/>
      <c r="AY49" s="48"/>
    </row>
    <row r="50" spans="2:51" x14ac:dyDescent="0.2">
      <c r="B50" s="152"/>
      <c r="C50" s="152"/>
      <c r="D50" s="87"/>
      <c r="E50" s="51" t="str">
        <f>Tabulacao!BR109</f>
        <v>Função Comissionada</v>
      </c>
      <c r="F50" s="52">
        <f>COUNTIF(Tabulacao!$BR:$BR,'1Emp'!$E50)</f>
        <v>1</v>
      </c>
      <c r="G50" s="53">
        <f t="shared" si="11"/>
        <v>6.1349693251533744E-3</v>
      </c>
      <c r="H50" s="48"/>
      <c r="I50" s="52">
        <v>42</v>
      </c>
      <c r="J50" s="51" t="str">
        <f t="array" ref="J50">INDEX($E$9:$E$96,SMALL(IF($F$9:$F$96=K50,ROW($F$9:$F$96)-8),COUNTIF($K$9:K50,K50)))</f>
        <v>Auxiliar de Loja</v>
      </c>
      <c r="K50" s="52">
        <f t="shared" si="3"/>
        <v>1</v>
      </c>
      <c r="L50" s="53">
        <f t="shared" si="12"/>
        <v>6.1349693251533744E-3</v>
      </c>
      <c r="M50" s="119"/>
      <c r="N50" s="52">
        <v>42</v>
      </c>
      <c r="O50" s="51" t="str">
        <f t="array" ref="O50">INDEX($E$103:$E$190,SMALL(IF($F$103:$F$190=P50,ROW($F$103:$F$190)-102),COUNTIF($P$9:P50,P50)))</f>
        <v>Administrador de Data Center</v>
      </c>
      <c r="P50" s="52">
        <f t="shared" si="4"/>
        <v>0</v>
      </c>
      <c r="Q50" s="53">
        <f t="shared" si="13"/>
        <v>0</v>
      </c>
      <c r="R50" s="48"/>
      <c r="S50" s="48"/>
      <c r="T50" s="48"/>
      <c r="U50" s="48"/>
      <c r="V50" s="48"/>
      <c r="W50" s="48"/>
      <c r="X50" s="48"/>
      <c r="Y50" s="48"/>
      <c r="Z50" s="48"/>
      <c r="AA50" s="48"/>
      <c r="AB50" s="48"/>
      <c r="AC50" s="48"/>
      <c r="AD50" s="48"/>
      <c r="AE50" s="48"/>
      <c r="AF50" s="51" t="s">
        <v>125</v>
      </c>
      <c r="AG50" s="69">
        <f t="shared" ca="1" si="14"/>
        <v>1249.8</v>
      </c>
      <c r="AH50" s="69">
        <f>IFERROR(_xlfn.MODE.SNGL($AG$150:$AG$169),"-")</f>
        <v>1000</v>
      </c>
      <c r="AI50" s="69">
        <f>IFERROR(MEDIAN($AG$150:$AG$169),"-")</f>
        <v>1000</v>
      </c>
      <c r="AJ50" s="69">
        <f>IFERROR(_xlfn.STDEV.S($AG$150:$AG$169),"-")</f>
        <v>870.42606626990744</v>
      </c>
      <c r="AK50" s="69">
        <f t="shared" si="15"/>
        <v>757641.53684210533</v>
      </c>
      <c r="AL50" s="70">
        <f t="shared" si="16"/>
        <v>20</v>
      </c>
      <c r="AM50" s="48"/>
      <c r="AN50" s="48"/>
      <c r="AO50" s="48"/>
      <c r="AP50" s="48"/>
      <c r="AQ50" s="48"/>
      <c r="AR50" s="48"/>
      <c r="AS50" s="48"/>
      <c r="AT50" s="48"/>
      <c r="AU50" s="48"/>
      <c r="AV50" s="48"/>
      <c r="AW50" s="48"/>
      <c r="AX50" s="48"/>
      <c r="AY50" s="48"/>
    </row>
    <row r="51" spans="2:51" x14ac:dyDescent="0.2">
      <c r="B51" s="152"/>
      <c r="C51" s="152"/>
      <c r="D51" s="87"/>
      <c r="E51" s="51" t="str">
        <f>Tabulacao!BR110</f>
        <v>Assistente Técnico de Engenharia Civil</v>
      </c>
      <c r="F51" s="52">
        <f>COUNTIF(Tabulacao!$BR:$BR,'1Emp'!$E51)</f>
        <v>1</v>
      </c>
      <c r="G51" s="53">
        <f t="shared" si="11"/>
        <v>6.1349693251533744E-3</v>
      </c>
      <c r="H51" s="48"/>
      <c r="I51" s="52">
        <v>43</v>
      </c>
      <c r="J51" s="51" t="str">
        <f t="array" ref="J51">INDEX($E$9:$E$96,SMALL(IF($F$9:$F$96=K51,ROW($F$9:$F$96)-8),COUNTIF($K$9:K51,K51)))</f>
        <v>Agente de Reservas</v>
      </c>
      <c r="K51" s="52">
        <f t="shared" si="3"/>
        <v>1</v>
      </c>
      <c r="L51" s="53">
        <f t="shared" si="12"/>
        <v>6.1349693251533744E-3</v>
      </c>
      <c r="M51" s="119"/>
      <c r="N51" s="52">
        <v>43</v>
      </c>
      <c r="O51" s="51" t="str">
        <f t="array" ref="O51">INDEX($E$103:$E$190,SMALL(IF($F$103:$F$190=P51,ROW($F$103:$F$190)-102),COUNTIF($P$9:P51,P51)))</f>
        <v>Carteiro</v>
      </c>
      <c r="P51" s="52">
        <f t="shared" si="4"/>
        <v>0</v>
      </c>
      <c r="Q51" s="53">
        <f t="shared" si="13"/>
        <v>0</v>
      </c>
      <c r="R51" s="48"/>
      <c r="S51" s="48"/>
      <c r="T51" s="48"/>
      <c r="U51" s="48"/>
      <c r="V51" s="48"/>
      <c r="W51" s="48"/>
      <c r="X51" s="48"/>
      <c r="Y51" s="48"/>
      <c r="Z51" s="48"/>
      <c r="AA51" s="48"/>
      <c r="AB51" s="48"/>
      <c r="AC51" s="48"/>
      <c r="AD51" s="48"/>
      <c r="AE51" s="48"/>
      <c r="AF51" s="51" t="s">
        <v>128</v>
      </c>
      <c r="AG51" s="69">
        <f t="shared" ca="1" si="14"/>
        <v>1125.7777777777778</v>
      </c>
      <c r="AH51" s="69">
        <f>IFERROR(_xlfn.MODE.SNGL($AG$170:$AG$178),"-")</f>
        <v>1200</v>
      </c>
      <c r="AI51" s="69">
        <f>IFERROR(MEDIAN($AG$170:$AG$178),"-")</f>
        <v>1000</v>
      </c>
      <c r="AJ51" s="69">
        <f>IFERROR(_xlfn.STDEV.S($AG$170:$AG$178),"-")</f>
        <v>516.87081988098771</v>
      </c>
      <c r="AK51" s="69">
        <f t="shared" si="15"/>
        <v>267155.44444444444</v>
      </c>
      <c r="AL51" s="70">
        <f t="shared" si="16"/>
        <v>9</v>
      </c>
      <c r="AM51" s="48"/>
      <c r="AN51" s="48"/>
      <c r="AO51" s="48"/>
      <c r="AP51" s="48"/>
      <c r="AQ51" s="48"/>
      <c r="AR51" s="48"/>
      <c r="AS51" s="48"/>
      <c r="AT51" s="48"/>
      <c r="AU51" s="48"/>
      <c r="AV51" s="48"/>
      <c r="AW51" s="48"/>
      <c r="AX51" s="48"/>
      <c r="AY51" s="48"/>
    </row>
    <row r="52" spans="2:51" x14ac:dyDescent="0.2">
      <c r="B52" s="152"/>
      <c r="C52" s="152"/>
      <c r="D52" s="87"/>
      <c r="E52" s="51" t="str">
        <f>Tabulacao!BR112</f>
        <v>Técnico Ambiental</v>
      </c>
      <c r="F52" s="52">
        <f>COUNTIF(Tabulacao!$BR:$BR,'1Emp'!$E52)</f>
        <v>2</v>
      </c>
      <c r="G52" s="53">
        <f t="shared" si="11"/>
        <v>1.2269938650306749E-2</v>
      </c>
      <c r="H52" s="48"/>
      <c r="I52" s="52">
        <v>44</v>
      </c>
      <c r="J52" s="51" t="str">
        <f t="array" ref="J52">INDEX($E$9:$E$96,SMALL(IF($F$9:$F$96=K52,ROW($F$9:$F$96)-8),COUNTIF($K$9:K52,K52)))</f>
        <v>Contínuo</v>
      </c>
      <c r="K52" s="52">
        <f t="shared" si="3"/>
        <v>1</v>
      </c>
      <c r="L52" s="53">
        <f t="shared" si="12"/>
        <v>6.1349693251533744E-3</v>
      </c>
      <c r="M52" s="119"/>
      <c r="N52" s="52">
        <v>44</v>
      </c>
      <c r="O52" s="51" t="str">
        <f t="array" ref="O52">INDEX($E$103:$E$190,SMALL(IF($F$103:$F$190=P52,ROW($F$103:$F$190)-102),COUNTIF($P$9:P52,P52)))</f>
        <v>Assistente de Laboratório de Construção Civil</v>
      </c>
      <c r="P52" s="52">
        <f t="shared" si="4"/>
        <v>0</v>
      </c>
      <c r="Q52" s="53">
        <f t="shared" si="13"/>
        <v>0</v>
      </c>
      <c r="R52" s="48"/>
      <c r="S52" s="48"/>
      <c r="T52" s="48"/>
      <c r="U52" s="48"/>
      <c r="V52" s="48"/>
      <c r="W52" s="48"/>
      <c r="X52" s="48"/>
      <c r="Y52" s="48"/>
      <c r="Z52" s="48"/>
      <c r="AA52" s="48"/>
      <c r="AB52" s="48"/>
      <c r="AC52" s="48"/>
      <c r="AD52" s="48"/>
      <c r="AE52" s="48"/>
      <c r="AF52" s="51" t="s">
        <v>127</v>
      </c>
      <c r="AG52" s="69">
        <f t="shared" ca="1" si="14"/>
        <v>1509.4444444444443</v>
      </c>
      <c r="AH52" s="69">
        <f>IFERROR(_xlfn.MODE.SNGL($AG$179:$AG$187),"-")</f>
        <v>1500</v>
      </c>
      <c r="AI52" s="69">
        <f>IFERROR(MEDIAN($AG$179:$AG$187),"-")</f>
        <v>1200</v>
      </c>
      <c r="AJ52" s="69">
        <f>IFERROR(_xlfn.STDEV.S($AG$179:$AG$187),"-")</f>
        <v>800.67332775469549</v>
      </c>
      <c r="AK52" s="69">
        <f t="shared" si="15"/>
        <v>641077.77777777798</v>
      </c>
      <c r="AL52" s="70">
        <f t="shared" si="16"/>
        <v>9</v>
      </c>
      <c r="AM52" s="48"/>
      <c r="AN52" s="48"/>
      <c r="AO52" s="133">
        <v>27</v>
      </c>
      <c r="AP52" s="48"/>
      <c r="AQ52" s="48"/>
      <c r="AR52" s="48"/>
      <c r="AS52" s="48"/>
      <c r="AT52" s="48"/>
      <c r="AU52" s="48"/>
      <c r="AV52" s="48"/>
      <c r="AW52" s="48"/>
      <c r="AX52" s="48"/>
      <c r="AY52" s="48"/>
    </row>
    <row r="53" spans="2:51" x14ac:dyDescent="0.2">
      <c r="B53" s="152"/>
      <c r="C53" s="152"/>
      <c r="D53" s="87"/>
      <c r="E53" s="51" t="str">
        <f>Tabulacao!BR114</f>
        <v>Programador</v>
      </c>
      <c r="F53" s="52">
        <f>COUNTIF(Tabulacao!$BR:$BR,'1Emp'!$E53)</f>
        <v>1</v>
      </c>
      <c r="G53" s="53">
        <f t="shared" si="11"/>
        <v>6.1349693251533744E-3</v>
      </c>
      <c r="H53" s="48"/>
      <c r="I53" s="52">
        <v>45</v>
      </c>
      <c r="J53" s="51" t="str">
        <f t="array" ref="J53">INDEX($E$9:$E$96,SMALL(IF($F$9:$F$96=K53,ROW($F$9:$F$96)-8),COUNTIF($K$9:K53,K53)))</f>
        <v>Agente de Segurança Socioeducativo</v>
      </c>
      <c r="K53" s="52">
        <f t="shared" si="3"/>
        <v>1</v>
      </c>
      <c r="L53" s="53">
        <f t="shared" si="12"/>
        <v>6.1349693251533744E-3</v>
      </c>
      <c r="M53" s="119"/>
      <c r="N53" s="52">
        <v>45</v>
      </c>
      <c r="O53" s="51" t="str">
        <f t="array" ref="O53">INDEX($E$103:$E$190,SMALL(IF($F$103:$F$190=P53,ROW($F$103:$F$190)-102),COUNTIF($P$9:P53,P53)))</f>
        <v>Assistente de Turismo</v>
      </c>
      <c r="P53" s="52">
        <f t="shared" si="4"/>
        <v>0</v>
      </c>
      <c r="Q53" s="53">
        <f t="shared" si="13"/>
        <v>0</v>
      </c>
      <c r="R53" s="48"/>
      <c r="S53" s="48"/>
      <c r="T53" s="48"/>
      <c r="U53" s="48"/>
      <c r="V53" s="48"/>
      <c r="W53" s="48"/>
      <c r="X53" s="48"/>
      <c r="Y53" s="48"/>
      <c r="Z53" s="48"/>
      <c r="AA53" s="48"/>
      <c r="AB53" s="48"/>
      <c r="AC53" s="48"/>
      <c r="AD53" s="48"/>
      <c r="AE53" s="48"/>
      <c r="AF53" s="51" t="s">
        <v>124</v>
      </c>
      <c r="AG53" s="69">
        <f t="shared" ca="1" si="14"/>
        <v>1767.875</v>
      </c>
      <c r="AH53" s="69">
        <f>IFERROR(_xlfn.MODE.SNGL($AG$188:$AG$219),"-")</f>
        <v>1500</v>
      </c>
      <c r="AI53" s="69">
        <f>IFERROR(MEDIAN($AG$188:$AG$219),"-")</f>
        <v>1500</v>
      </c>
      <c r="AJ53" s="69">
        <f>IFERROR(_xlfn.STDEV.S($AG$188:$AG$219),"-")</f>
        <v>955.79504990314467</v>
      </c>
      <c r="AK53" s="69">
        <f t="shared" si="15"/>
        <v>913544.17741935479</v>
      </c>
      <c r="AL53" s="70">
        <f t="shared" si="16"/>
        <v>32</v>
      </c>
      <c r="AM53" s="48"/>
      <c r="AN53" s="48"/>
      <c r="AO53" s="48"/>
      <c r="AP53" s="48"/>
      <c r="AQ53" s="48"/>
      <c r="AR53" s="48"/>
      <c r="AS53" s="48"/>
      <c r="AT53" s="48"/>
      <c r="AU53" s="48"/>
      <c r="AV53" s="48"/>
      <c r="AW53" s="48"/>
      <c r="AX53" s="48"/>
      <c r="AY53" s="48"/>
    </row>
    <row r="54" spans="2:51" ht="25.5" x14ac:dyDescent="0.2">
      <c r="B54" s="152"/>
      <c r="C54" s="152"/>
      <c r="D54" s="87"/>
      <c r="E54" s="51" t="str">
        <f>Tabulacao!BR117</f>
        <v>Técnico de Suporte</v>
      </c>
      <c r="F54" s="52">
        <f>COUNTIF(Tabulacao!$BR:$BR,'1Emp'!$E54)</f>
        <v>1</v>
      </c>
      <c r="G54" s="53">
        <f t="shared" si="11"/>
        <v>6.1349693251533744E-3</v>
      </c>
      <c r="H54" s="48"/>
      <c r="I54" s="52">
        <v>46</v>
      </c>
      <c r="J54" s="51" t="str">
        <f t="array" ref="J54">INDEX($E$9:$E$96,SMALL(IF($F$9:$F$96=K54,ROW($F$9:$F$96)-8),COUNTIF($K$9:K54,K54)))</f>
        <v>Auxiliar de Engenharia</v>
      </c>
      <c r="K54" s="52">
        <f t="shared" si="3"/>
        <v>1</v>
      </c>
      <c r="L54" s="53">
        <f t="shared" si="12"/>
        <v>6.1349693251533744E-3</v>
      </c>
      <c r="M54" s="119"/>
      <c r="N54" s="52">
        <v>46</v>
      </c>
      <c r="O54" s="51" t="str">
        <f t="array" ref="O54">INDEX($E$103:$E$190,SMALL(IF($F$103:$F$190=P54,ROW($F$103:$F$190)-102),COUNTIF($P$9:P54,P54)))</f>
        <v>Auxiliar de Laboratório</v>
      </c>
      <c r="P54" s="52">
        <f t="shared" si="4"/>
        <v>0</v>
      </c>
      <c r="Q54" s="53">
        <f t="shared" si="13"/>
        <v>0</v>
      </c>
      <c r="R54" s="48"/>
      <c r="S54" s="48"/>
      <c r="T54" s="48"/>
      <c r="U54" s="48"/>
      <c r="V54" s="48"/>
      <c r="W54" s="48"/>
      <c r="X54" s="48"/>
      <c r="Y54" s="48"/>
      <c r="Z54" s="48"/>
      <c r="AA54" s="48"/>
      <c r="AB54" s="48"/>
      <c r="AC54" s="48"/>
      <c r="AD54" s="48"/>
      <c r="AE54" s="48"/>
      <c r="AF54" s="48"/>
      <c r="AG54" s="48"/>
      <c r="AH54" s="48"/>
      <c r="AI54" s="48"/>
      <c r="AJ54" s="48"/>
      <c r="AK54" s="48"/>
      <c r="AL54" s="48"/>
      <c r="AM54" s="48"/>
      <c r="AN54" s="48"/>
      <c r="AO54" s="137" t="str">
        <f>Tabulacao!CJ2</f>
        <v>Em que medida esse emprego demandou mais conhecimentos e habilidades do que você poderia realmente oferecer?</v>
      </c>
      <c r="AP54" s="313" t="s">
        <v>1262</v>
      </c>
      <c r="AQ54" s="314"/>
      <c r="AR54" s="48"/>
      <c r="AS54" s="48"/>
      <c r="AT54" s="48"/>
      <c r="AU54" s="48"/>
      <c r="AV54" s="48"/>
      <c r="AW54" s="48"/>
      <c r="AX54" s="48"/>
      <c r="AY54" s="48"/>
    </row>
    <row r="55" spans="2:51" x14ac:dyDescent="0.2">
      <c r="B55" s="152"/>
      <c r="C55" s="152"/>
      <c r="D55" s="87"/>
      <c r="E55" s="51" t="str">
        <f>Tabulacao!BR120</f>
        <v>Tecnólogo em Saneamento Ambiental</v>
      </c>
      <c r="F55" s="52">
        <f>COUNTIF(Tabulacao!$BR:$BR,'1Emp'!$E55)</f>
        <v>3</v>
      </c>
      <c r="G55" s="53">
        <f t="shared" si="11"/>
        <v>1.8404907975460124E-2</v>
      </c>
      <c r="H55" s="48"/>
      <c r="I55" s="52">
        <v>47</v>
      </c>
      <c r="J55" s="51" t="str">
        <f t="array" ref="J55">INDEX($E$9:$E$96,SMALL(IF($F$9:$F$96=K55,ROW($F$9:$F$96)-8),COUNTIF($K$9:K55,K55)))</f>
        <v>Telefonista</v>
      </c>
      <c r="K55" s="52">
        <f t="shared" si="3"/>
        <v>1</v>
      </c>
      <c r="L55" s="53">
        <f t="shared" si="12"/>
        <v>6.1349693251533744E-3</v>
      </c>
      <c r="M55" s="119"/>
      <c r="N55" s="52">
        <v>47</v>
      </c>
      <c r="O55" s="51" t="str">
        <f t="array" ref="O55">INDEX($E$103:$E$190,SMALL(IF($F$103:$F$190=P55,ROW($F$103:$F$190)-102),COUNTIF($P$9:P55,P55)))</f>
        <v>Chefe de Patrimônio</v>
      </c>
      <c r="P55" s="52">
        <f t="shared" si="4"/>
        <v>0</v>
      </c>
      <c r="Q55" s="53">
        <f t="shared" si="13"/>
        <v>0</v>
      </c>
      <c r="R55" s="48"/>
      <c r="S55" s="48"/>
      <c r="T55" s="48"/>
      <c r="U55" s="48"/>
      <c r="V55" s="48"/>
      <c r="W55" s="48"/>
      <c r="X55" s="48"/>
      <c r="Y55" s="48"/>
      <c r="Z55" s="48"/>
      <c r="AA55" s="48"/>
      <c r="AB55" s="48"/>
      <c r="AC55" s="48"/>
      <c r="AD55" s="48"/>
      <c r="AE55" s="48"/>
      <c r="AF55" s="163" t="s">
        <v>2</v>
      </c>
      <c r="AG55" s="163" t="s">
        <v>26</v>
      </c>
      <c r="AH55" s="162"/>
      <c r="AI55" s="162"/>
      <c r="AJ55" s="162"/>
      <c r="AK55" s="162"/>
      <c r="AL55" s="162"/>
      <c r="AM55" s="48"/>
      <c r="AN55" s="48"/>
      <c r="AO55" s="48"/>
      <c r="AP55" s="48"/>
      <c r="AQ55" s="48"/>
      <c r="AR55" s="48"/>
      <c r="AS55" s="48"/>
      <c r="AT55" s="48"/>
      <c r="AU55" s="48"/>
      <c r="AV55" s="48"/>
      <c r="AW55" s="48"/>
      <c r="AX55" s="48"/>
      <c r="AY55" s="48"/>
    </row>
    <row r="56" spans="2:51" ht="25.5" x14ac:dyDescent="0.2">
      <c r="B56" s="152"/>
      <c r="C56" s="152"/>
      <c r="D56" s="87"/>
      <c r="E56" s="51" t="str">
        <f>Tabulacao!BR125</f>
        <v>Assistente Administrativo</v>
      </c>
      <c r="F56" s="52">
        <f>COUNTIF(Tabulacao!$BR:$BR,'1Emp'!$E56)</f>
        <v>7</v>
      </c>
      <c r="G56" s="53">
        <f t="shared" si="11"/>
        <v>4.2944785276073622E-2</v>
      </c>
      <c r="H56" s="48"/>
      <c r="I56" s="52">
        <v>48</v>
      </c>
      <c r="J56" s="51" t="str">
        <f t="array" ref="J56">INDEX($E$9:$E$96,SMALL(IF($F$9:$F$96=K56,ROW($F$9:$F$96)-8),COUNTIF($K$9:K56,K56)))</f>
        <v>Consultor de Viagens</v>
      </c>
      <c r="K56" s="52">
        <f t="shared" si="3"/>
        <v>1</v>
      </c>
      <c r="L56" s="53">
        <f t="shared" si="12"/>
        <v>6.1349693251533744E-3</v>
      </c>
      <c r="M56" s="119"/>
      <c r="N56" s="52">
        <v>48</v>
      </c>
      <c r="O56" s="51" t="str">
        <f t="array" ref="O56">INDEX($E$103:$E$190,SMALL(IF($F$103:$F$190=P56,ROW($F$103:$F$190)-102),COUNTIF($P$9:P56,P56)))</f>
        <v>Auxiliar de Loja</v>
      </c>
      <c r="P56" s="52">
        <f t="shared" si="4"/>
        <v>0</v>
      </c>
      <c r="Q56" s="53">
        <f t="shared" si="13"/>
        <v>0</v>
      </c>
      <c r="R56" s="48"/>
      <c r="S56" s="48"/>
      <c r="T56" s="48"/>
      <c r="U56" s="48"/>
      <c r="V56" s="48"/>
      <c r="W56" s="48"/>
      <c r="X56" s="48"/>
      <c r="Y56" s="48"/>
      <c r="Z56" s="48"/>
      <c r="AA56" s="48"/>
      <c r="AB56" s="48"/>
      <c r="AC56" s="48"/>
      <c r="AD56" s="48"/>
      <c r="AE56" s="48"/>
      <c r="AF56" s="163" t="s">
        <v>119</v>
      </c>
      <c r="AG56" s="164">
        <v>1800</v>
      </c>
      <c r="AH56" s="162"/>
      <c r="AI56" s="162"/>
      <c r="AJ56" s="162"/>
      <c r="AK56" s="162"/>
      <c r="AL56" s="162"/>
      <c r="AM56" s="48"/>
      <c r="AN56" s="48"/>
      <c r="AO56" s="160" t="s">
        <v>986</v>
      </c>
      <c r="AP56" s="138" t="s">
        <v>131</v>
      </c>
      <c r="AQ56" s="138" t="s">
        <v>132</v>
      </c>
      <c r="AR56" s="48"/>
      <c r="AS56" s="48"/>
      <c r="AT56" s="48"/>
      <c r="AU56" s="48"/>
      <c r="AV56" s="48"/>
      <c r="AW56" s="48"/>
      <c r="AX56" s="48"/>
      <c r="AY56" s="48"/>
    </row>
    <row r="57" spans="2:51" x14ac:dyDescent="0.2">
      <c r="B57" s="152"/>
      <c r="C57" s="152"/>
      <c r="D57" s="87"/>
      <c r="E57" s="51" t="str">
        <f>Tabulacao!BR128</f>
        <v>Assistente em Administração</v>
      </c>
      <c r="F57" s="52">
        <f>COUNTIF(Tabulacao!$BR:$BR,'1Emp'!$E57)</f>
        <v>1</v>
      </c>
      <c r="G57" s="53">
        <f t="shared" si="11"/>
        <v>6.1349693251533744E-3</v>
      </c>
      <c r="H57" s="48"/>
      <c r="I57" s="52">
        <v>49</v>
      </c>
      <c r="J57" s="51" t="str">
        <f t="array" ref="J57">INDEX($E$9:$E$96,SMALL(IF($F$9:$F$96=K57,ROW($F$9:$F$96)-8),COUNTIF($K$9:K57,K57)))</f>
        <v>Função Comissionada</v>
      </c>
      <c r="K57" s="52">
        <f t="shared" si="3"/>
        <v>1</v>
      </c>
      <c r="L57" s="53">
        <f t="shared" si="12"/>
        <v>6.1349693251533744E-3</v>
      </c>
      <c r="M57" s="119"/>
      <c r="N57" s="52">
        <v>49</v>
      </c>
      <c r="O57" s="51" t="str">
        <f t="array" ref="O57">INDEX($E$103:$E$190,SMALL(IF($F$103:$F$190=P57,ROW($F$103:$F$190)-102),COUNTIF($P$9:P57,P57)))</f>
        <v>Agente de Reservas</v>
      </c>
      <c r="P57" s="52">
        <f t="shared" si="4"/>
        <v>0</v>
      </c>
      <c r="Q57" s="53">
        <f t="shared" si="13"/>
        <v>0</v>
      </c>
      <c r="R57" s="48"/>
      <c r="S57" s="48"/>
      <c r="T57" s="48"/>
      <c r="U57" s="48"/>
      <c r="V57" s="48"/>
      <c r="W57" s="48"/>
      <c r="X57" s="48"/>
      <c r="Y57" s="48"/>
      <c r="Z57" s="48"/>
      <c r="AA57" s="48"/>
      <c r="AB57" s="48"/>
      <c r="AC57" s="48"/>
      <c r="AD57" s="48"/>
      <c r="AE57" s="48"/>
      <c r="AF57" s="163" t="s">
        <v>119</v>
      </c>
      <c r="AG57" s="164">
        <v>2800</v>
      </c>
      <c r="AH57" s="162"/>
      <c r="AI57" s="162"/>
      <c r="AJ57" s="162"/>
      <c r="AK57" s="162"/>
      <c r="AL57" s="162"/>
      <c r="AM57" s="48"/>
      <c r="AN57" s="48"/>
      <c r="AO57" s="60">
        <f>Tabulacao!CJ4</f>
        <v>1</v>
      </c>
      <c r="AP57" s="52">
        <f>Tabulacao!CK4</f>
        <v>27</v>
      </c>
      <c r="AQ57" s="53">
        <f>AP57/SUM($AP$57:$AP$61)</f>
        <v>0.15517241379310345</v>
      </c>
      <c r="AR57" s="48"/>
      <c r="AS57" s="48"/>
      <c r="AT57" s="48"/>
      <c r="AU57" s="48"/>
      <c r="AV57" s="48"/>
      <c r="AW57" s="48"/>
      <c r="AX57" s="48"/>
      <c r="AY57" s="48"/>
    </row>
    <row r="58" spans="2:51" x14ac:dyDescent="0.2">
      <c r="B58" s="152"/>
      <c r="C58" s="152"/>
      <c r="D58" s="87"/>
      <c r="E58" s="51" t="str">
        <f>Tabulacao!BR130</f>
        <v>Consultor de Negócios</v>
      </c>
      <c r="F58" s="52">
        <f>COUNTIF(Tabulacao!$BR:$BR,'1Emp'!$E58)</f>
        <v>1</v>
      </c>
      <c r="G58" s="53">
        <f t="shared" si="11"/>
        <v>6.1349693251533744E-3</v>
      </c>
      <c r="H58" s="48"/>
      <c r="I58" s="52">
        <v>50</v>
      </c>
      <c r="J58" s="51" t="str">
        <f t="array" ref="J58">INDEX($E$9:$E$96,SMALL(IF($F$9:$F$96=K58,ROW($F$9:$F$96)-8),COUNTIF($K$9:K58,K58)))</f>
        <v>Assistente Técnico de Engenharia Civil</v>
      </c>
      <c r="K58" s="52">
        <f t="shared" si="3"/>
        <v>1</v>
      </c>
      <c r="L58" s="53">
        <f t="shared" si="12"/>
        <v>6.1349693251533744E-3</v>
      </c>
      <c r="M58" s="119"/>
      <c r="N58" s="52">
        <v>50</v>
      </c>
      <c r="O58" s="51" t="str">
        <f t="array" ref="O58">INDEX($E$103:$E$190,SMALL(IF($F$103:$F$190=P58,ROW($F$103:$F$190)-102),COUNTIF($P$9:P58,P58)))</f>
        <v>Contínuo</v>
      </c>
      <c r="P58" s="52">
        <f t="shared" si="4"/>
        <v>0</v>
      </c>
      <c r="Q58" s="53">
        <f t="shared" si="13"/>
        <v>0</v>
      </c>
      <c r="R58" s="48"/>
      <c r="S58" s="48"/>
      <c r="T58" s="48"/>
      <c r="U58" s="48"/>
      <c r="V58" s="48"/>
      <c r="W58" s="48"/>
      <c r="X58" s="48"/>
      <c r="Y58" s="48"/>
      <c r="Z58" s="48"/>
      <c r="AA58" s="48"/>
      <c r="AB58" s="48"/>
      <c r="AC58" s="48"/>
      <c r="AD58" s="48"/>
      <c r="AE58" s="48"/>
      <c r="AF58" s="163" t="s">
        <v>119</v>
      </c>
      <c r="AG58" s="164">
        <v>3127</v>
      </c>
      <c r="AH58" s="162"/>
      <c r="AI58" s="162"/>
      <c r="AJ58" s="162"/>
      <c r="AK58" s="162"/>
      <c r="AL58" s="162"/>
      <c r="AM58" s="48"/>
      <c r="AN58" s="48"/>
      <c r="AO58" s="60">
        <f>Tabulacao!CJ5</f>
        <v>2</v>
      </c>
      <c r="AP58" s="52">
        <f>Tabulacao!CK5</f>
        <v>27</v>
      </c>
      <c r="AQ58" s="53">
        <f>AP58/SUM($AP$57:$AP$61)</f>
        <v>0.15517241379310345</v>
      </c>
      <c r="AR58" s="48"/>
      <c r="AS58" s="48"/>
      <c r="AT58" s="48"/>
      <c r="AU58" s="48"/>
      <c r="AV58" s="48"/>
      <c r="AW58" s="48"/>
      <c r="AX58" s="48"/>
      <c r="AY58" s="48"/>
    </row>
    <row r="59" spans="2:51" x14ac:dyDescent="0.2">
      <c r="B59" s="152"/>
      <c r="C59" s="152"/>
      <c r="D59" s="87"/>
      <c r="E59" s="51" t="str">
        <f>Tabulacao!BR139</f>
        <v>Funcionário Público</v>
      </c>
      <c r="F59" s="52">
        <f>COUNTIF(Tabulacao!$BR:$BR,'1Emp'!$E59)</f>
        <v>2</v>
      </c>
      <c r="G59" s="53">
        <f t="shared" si="11"/>
        <v>1.2269938650306749E-2</v>
      </c>
      <c r="H59" s="48"/>
      <c r="I59" s="52">
        <v>51</v>
      </c>
      <c r="J59" s="51" t="str">
        <f t="array" ref="J59">INDEX($E$9:$E$96,SMALL(IF($F$9:$F$96=K59,ROW($F$9:$F$96)-8),COUNTIF($K$9:K59,K59)))</f>
        <v>Programador</v>
      </c>
      <c r="K59" s="52">
        <f t="shared" si="3"/>
        <v>1</v>
      </c>
      <c r="L59" s="53">
        <f t="shared" si="12"/>
        <v>6.1349693251533744E-3</v>
      </c>
      <c r="M59" s="119"/>
      <c r="N59" s="52">
        <v>51</v>
      </c>
      <c r="O59" s="51" t="str">
        <f t="array" ref="O59">INDEX($E$103:$E$190,SMALL(IF($F$103:$F$190=P59,ROW($F$103:$F$190)-102),COUNTIF($P$9:P59,P59)))</f>
        <v>Agente de Segurança Socioeducativo</v>
      </c>
      <c r="P59" s="52">
        <f t="shared" si="4"/>
        <v>0</v>
      </c>
      <c r="Q59" s="53">
        <f t="shared" si="13"/>
        <v>0</v>
      </c>
      <c r="R59" s="48"/>
      <c r="S59" s="48"/>
      <c r="T59" s="48"/>
      <c r="U59" s="48"/>
      <c r="V59" s="48"/>
      <c r="W59" s="48"/>
      <c r="X59" s="48"/>
      <c r="Y59" s="48"/>
      <c r="Z59" s="48"/>
      <c r="AA59" s="48"/>
      <c r="AB59" s="48"/>
      <c r="AC59" s="48"/>
      <c r="AD59" s="48"/>
      <c r="AE59" s="48"/>
      <c r="AF59" s="163" t="s">
        <v>119</v>
      </c>
      <c r="AG59" s="164">
        <v>5000</v>
      </c>
      <c r="AH59" s="162"/>
      <c r="AI59" s="162"/>
      <c r="AJ59" s="162"/>
      <c r="AK59" s="162"/>
      <c r="AL59" s="162"/>
      <c r="AM59" s="48"/>
      <c r="AN59" s="48"/>
      <c r="AO59" s="60">
        <f>Tabulacao!CJ6</f>
        <v>3</v>
      </c>
      <c r="AP59" s="52">
        <f>Tabulacao!CK6</f>
        <v>39</v>
      </c>
      <c r="AQ59" s="53">
        <f>AP59/SUM($AP$57:$AP$61)</f>
        <v>0.22413793103448276</v>
      </c>
      <c r="AR59" s="48"/>
      <c r="AS59" s="48"/>
      <c r="AT59" s="48"/>
      <c r="AU59" s="48"/>
      <c r="AV59" s="48"/>
      <c r="AW59" s="48"/>
      <c r="AX59" s="48"/>
      <c r="AY59" s="48"/>
    </row>
    <row r="60" spans="2:51" x14ac:dyDescent="0.2">
      <c r="B60" s="152"/>
      <c r="C60" s="152"/>
      <c r="D60" s="87"/>
      <c r="E60" s="51" t="str">
        <f>Tabulacao!BR140</f>
        <v>Recenseador</v>
      </c>
      <c r="F60" s="52">
        <f>COUNTIF(Tabulacao!$BR:$BR,'1Emp'!$E60)</f>
        <v>1</v>
      </c>
      <c r="G60" s="53">
        <f t="shared" si="11"/>
        <v>6.1349693251533744E-3</v>
      </c>
      <c r="H60" s="48"/>
      <c r="I60" s="52">
        <v>52</v>
      </c>
      <c r="J60" s="51" t="str">
        <f t="array" ref="J60">INDEX($E$9:$E$96,SMALL(IF($F$9:$F$96=K60,ROW($F$9:$F$96)-8),COUNTIF($K$9:K60,K60)))</f>
        <v>Técnico de Suporte</v>
      </c>
      <c r="K60" s="52">
        <f t="shared" si="3"/>
        <v>1</v>
      </c>
      <c r="L60" s="53">
        <f t="shared" si="12"/>
        <v>6.1349693251533744E-3</v>
      </c>
      <c r="M60" s="119"/>
      <c r="N60" s="52">
        <v>52</v>
      </c>
      <c r="O60" s="51" t="str">
        <f t="array" ref="O60">INDEX($E$103:$E$190,SMALL(IF($F$103:$F$190=P60,ROW($F$103:$F$190)-102),COUNTIF($P$9:P60,P60)))</f>
        <v>Telefonista</v>
      </c>
      <c r="P60" s="52">
        <f t="shared" si="4"/>
        <v>0</v>
      </c>
      <c r="Q60" s="53">
        <f t="shared" si="13"/>
        <v>0</v>
      </c>
      <c r="R60" s="48"/>
      <c r="S60" s="48"/>
      <c r="T60" s="48"/>
      <c r="U60" s="48"/>
      <c r="V60" s="48"/>
      <c r="W60" s="48"/>
      <c r="X60" s="48"/>
      <c r="Y60" s="48"/>
      <c r="Z60" s="48"/>
      <c r="AA60" s="48"/>
      <c r="AB60" s="48"/>
      <c r="AC60" s="48"/>
      <c r="AD60" s="48"/>
      <c r="AE60" s="48"/>
      <c r="AF60" s="163" t="s">
        <v>119</v>
      </c>
      <c r="AG60" s="164">
        <v>1500</v>
      </c>
      <c r="AH60" s="162"/>
      <c r="AI60" s="162"/>
      <c r="AJ60" s="162"/>
      <c r="AK60" s="162"/>
      <c r="AL60" s="162"/>
      <c r="AM60" s="48"/>
      <c r="AN60" s="48"/>
      <c r="AO60" s="60">
        <f>Tabulacao!CJ7</f>
        <v>4</v>
      </c>
      <c r="AP60" s="52">
        <f>Tabulacao!CK7</f>
        <v>42</v>
      </c>
      <c r="AQ60" s="53">
        <f>AP60/SUM($AP$57:$AP$61)</f>
        <v>0.2413793103448276</v>
      </c>
      <c r="AR60" s="48"/>
      <c r="AS60" s="48"/>
      <c r="AT60" s="48"/>
      <c r="AU60" s="48"/>
      <c r="AV60" s="48"/>
      <c r="AW60" s="48"/>
      <c r="AX60" s="48"/>
      <c r="AY60" s="48"/>
    </row>
    <row r="61" spans="2:51" x14ac:dyDescent="0.2">
      <c r="B61" s="152"/>
      <c r="C61" s="152"/>
      <c r="D61" s="87"/>
      <c r="E61" s="51" t="str">
        <f>Tabulacao!BR142</f>
        <v>Auxiliar de Controle da Qualidade</v>
      </c>
      <c r="F61" s="52">
        <f>COUNTIF(Tabulacao!$BR:$BR,'1Emp'!$E61)</f>
        <v>2</v>
      </c>
      <c r="G61" s="53">
        <f t="shared" si="11"/>
        <v>1.2269938650306749E-2</v>
      </c>
      <c r="H61" s="48"/>
      <c r="I61" s="52">
        <v>53</v>
      </c>
      <c r="J61" s="51" t="str">
        <f t="array" ref="J61">INDEX($E$9:$E$96,SMALL(IF($F$9:$F$96=K61,ROW($F$9:$F$96)-8),COUNTIF($K$9:K61,K61)))</f>
        <v>Assistente em Administração</v>
      </c>
      <c r="K61" s="52">
        <f t="shared" si="3"/>
        <v>1</v>
      </c>
      <c r="L61" s="53">
        <f t="shared" si="12"/>
        <v>6.1349693251533744E-3</v>
      </c>
      <c r="M61" s="119"/>
      <c r="N61" s="52">
        <v>53</v>
      </c>
      <c r="O61" s="51" t="str">
        <f t="array" ref="O61">INDEX($E$103:$E$190,SMALL(IF($F$103:$F$190=P61,ROW($F$103:$F$190)-102),COUNTIF($P$9:P61,P61)))</f>
        <v>Consultor de Viagens</v>
      </c>
      <c r="P61" s="52">
        <f t="shared" si="4"/>
        <v>0</v>
      </c>
      <c r="Q61" s="53">
        <f t="shared" si="13"/>
        <v>0</v>
      </c>
      <c r="R61" s="48"/>
      <c r="S61" s="48"/>
      <c r="T61" s="48"/>
      <c r="U61" s="48"/>
      <c r="V61" s="48"/>
      <c r="W61" s="48"/>
      <c r="X61" s="48"/>
      <c r="Y61" s="48"/>
      <c r="Z61" s="48"/>
      <c r="AA61" s="48"/>
      <c r="AB61" s="48"/>
      <c r="AC61" s="48"/>
      <c r="AD61" s="48"/>
      <c r="AE61" s="48"/>
      <c r="AF61" s="163" t="s">
        <v>119</v>
      </c>
      <c r="AG61" s="164">
        <v>4500</v>
      </c>
      <c r="AH61" s="162"/>
      <c r="AI61" s="162"/>
      <c r="AJ61" s="162"/>
      <c r="AK61" s="162"/>
      <c r="AL61" s="162"/>
      <c r="AM61" s="48"/>
      <c r="AN61" s="48"/>
      <c r="AO61" s="60">
        <f>Tabulacao!CJ8</f>
        <v>5</v>
      </c>
      <c r="AP61" s="52">
        <f>Tabulacao!CK8</f>
        <v>39</v>
      </c>
      <c r="AQ61" s="53">
        <f>AP61/SUM($AP$57:$AP$61)</f>
        <v>0.22413793103448276</v>
      </c>
      <c r="AR61" s="48"/>
      <c r="AS61" s="48"/>
      <c r="AT61" s="48"/>
      <c r="AU61" s="48"/>
      <c r="AV61" s="48"/>
      <c r="AW61" s="48"/>
      <c r="AX61" s="48"/>
      <c r="AY61" s="48"/>
    </row>
    <row r="62" spans="2:51" x14ac:dyDescent="0.2">
      <c r="B62" s="152"/>
      <c r="C62" s="152"/>
      <c r="D62" s="87"/>
      <c r="E62" s="51" t="str">
        <f>Tabulacao!BR145</f>
        <v>Assistente de Engenharia</v>
      </c>
      <c r="F62" s="52">
        <f>COUNTIF(Tabulacao!$BR:$BR,'1Emp'!$E62)</f>
        <v>2</v>
      </c>
      <c r="G62" s="53">
        <f t="shared" si="11"/>
        <v>1.2269938650306749E-2</v>
      </c>
      <c r="H62" s="48"/>
      <c r="I62" s="52">
        <v>54</v>
      </c>
      <c r="J62" s="51" t="str">
        <f t="array" ref="J62">INDEX($E$9:$E$96,SMALL(IF($F$9:$F$96=K62,ROW($F$9:$F$96)-8),COUNTIF($K$9:K62,K62)))</f>
        <v>Consultor de Negócios</v>
      </c>
      <c r="K62" s="52">
        <f t="shared" si="3"/>
        <v>1</v>
      </c>
      <c r="L62" s="53">
        <f t="shared" si="12"/>
        <v>6.1349693251533744E-3</v>
      </c>
      <c r="M62" s="119"/>
      <c r="N62" s="52">
        <v>54</v>
      </c>
      <c r="O62" s="51" t="str">
        <f t="array" ref="O62">INDEX($E$103:$E$190,SMALL(IF($F$103:$F$190=P62,ROW($F$103:$F$190)-102),COUNTIF($P$9:P62,P62)))</f>
        <v>Função Comissionada</v>
      </c>
      <c r="P62" s="52">
        <f t="shared" si="4"/>
        <v>0</v>
      </c>
      <c r="Q62" s="53">
        <f t="shared" si="13"/>
        <v>0</v>
      </c>
      <c r="R62" s="48"/>
      <c r="S62" s="48"/>
      <c r="T62" s="48"/>
      <c r="U62" s="48"/>
      <c r="V62" s="48"/>
      <c r="W62" s="48"/>
      <c r="X62" s="48"/>
      <c r="Y62" s="48"/>
      <c r="Z62" s="48"/>
      <c r="AA62" s="48"/>
      <c r="AB62" s="48"/>
      <c r="AC62" s="48"/>
      <c r="AD62" s="48"/>
      <c r="AE62" s="48"/>
      <c r="AF62" s="163" t="s">
        <v>119</v>
      </c>
      <c r="AG62" s="164">
        <v>1500</v>
      </c>
      <c r="AH62" s="162"/>
      <c r="AI62" s="162"/>
      <c r="AJ62" s="162"/>
      <c r="AK62" s="162"/>
      <c r="AL62" s="162"/>
      <c r="AM62" s="48"/>
      <c r="AN62" s="48"/>
      <c r="AO62" s="93" t="s">
        <v>621</v>
      </c>
      <c r="AP62" s="94">
        <f>SUM(AP57:AP61)</f>
        <v>174</v>
      </c>
      <c r="AQ62" s="95">
        <f>SUM(AQ57:AQ61)</f>
        <v>1</v>
      </c>
      <c r="AR62" s="48"/>
      <c r="AS62" s="48"/>
      <c r="AT62" s="48"/>
      <c r="AU62" s="48"/>
      <c r="AV62" s="48"/>
      <c r="AW62" s="48"/>
      <c r="AX62" s="48"/>
      <c r="AY62" s="48"/>
    </row>
    <row r="63" spans="2:51" x14ac:dyDescent="0.2">
      <c r="B63" s="152"/>
      <c r="C63" s="152"/>
      <c r="D63" s="87"/>
      <c r="E63" s="51" t="str">
        <f>Tabulacao!BR149</f>
        <v>Analista de Qualidade</v>
      </c>
      <c r="F63" s="52">
        <f>COUNTIF(Tabulacao!$BR:$BR,'1Emp'!$E63)</f>
        <v>1</v>
      </c>
      <c r="G63" s="53">
        <f t="shared" si="11"/>
        <v>6.1349693251533744E-3</v>
      </c>
      <c r="H63" s="48"/>
      <c r="I63" s="52">
        <v>55</v>
      </c>
      <c r="J63" s="51" t="str">
        <f t="array" ref="J63">INDEX($E$9:$E$96,SMALL(IF($F$9:$F$96=K63,ROW($F$9:$F$96)-8),COUNTIF($K$9:K63,K63)))</f>
        <v>Recenseador</v>
      </c>
      <c r="K63" s="52">
        <f t="shared" si="3"/>
        <v>1</v>
      </c>
      <c r="L63" s="53">
        <f t="shared" si="12"/>
        <v>6.1349693251533744E-3</v>
      </c>
      <c r="M63" s="119"/>
      <c r="N63" s="52">
        <v>55</v>
      </c>
      <c r="O63" s="51" t="str">
        <f t="array" ref="O63">INDEX($E$103:$E$190,SMALL(IF($F$103:$F$190=P63,ROW($F$103:$F$190)-102),COUNTIF($P$9:P63,P63)))</f>
        <v>Programador</v>
      </c>
      <c r="P63" s="52">
        <f t="shared" si="4"/>
        <v>0</v>
      </c>
      <c r="Q63" s="53">
        <f t="shared" si="13"/>
        <v>0</v>
      </c>
      <c r="R63" s="48"/>
      <c r="S63" s="48"/>
      <c r="T63" s="48"/>
      <c r="U63" s="48"/>
      <c r="V63" s="48"/>
      <c r="W63" s="48"/>
      <c r="X63" s="48"/>
      <c r="Y63" s="48"/>
      <c r="Z63" s="48"/>
      <c r="AA63" s="48"/>
      <c r="AB63" s="48"/>
      <c r="AC63" s="48"/>
      <c r="AD63" s="48"/>
      <c r="AE63" s="48"/>
      <c r="AF63" s="163" t="s">
        <v>119</v>
      </c>
      <c r="AG63" s="164">
        <v>2900</v>
      </c>
      <c r="AH63" s="162"/>
      <c r="AI63" s="162"/>
      <c r="AJ63" s="162"/>
      <c r="AK63" s="162"/>
      <c r="AL63" s="162"/>
      <c r="AM63" s="48"/>
      <c r="AN63" s="48"/>
      <c r="AO63" s="61" t="str">
        <f>Tabulacao!CJ10</f>
        <v>Média</v>
      </c>
      <c r="AP63" s="62">
        <f>Tabulacao!CK10</f>
        <v>3.2241379310344827</v>
      </c>
      <c r="AQ63" s="63" t="s">
        <v>933</v>
      </c>
      <c r="AR63" s="48"/>
      <c r="AS63" s="48"/>
      <c r="AT63" s="48"/>
      <c r="AU63" s="48"/>
      <c r="AV63" s="48"/>
      <c r="AW63" s="48"/>
      <c r="AX63" s="48"/>
      <c r="AY63" s="48"/>
    </row>
    <row r="64" spans="2:51" x14ac:dyDescent="0.2">
      <c r="B64" s="152"/>
      <c r="C64" s="152"/>
      <c r="D64" s="87"/>
      <c r="E64" s="51" t="str">
        <f>Tabulacao!BR150</f>
        <v>Assistente de Agricultura</v>
      </c>
      <c r="F64" s="52">
        <f>COUNTIF(Tabulacao!$BR:$BR,'1Emp'!$E64)</f>
        <v>1</v>
      </c>
      <c r="G64" s="53">
        <f t="shared" si="11"/>
        <v>6.1349693251533744E-3</v>
      </c>
      <c r="H64" s="48"/>
      <c r="I64" s="52">
        <v>56</v>
      </c>
      <c r="J64" s="51" t="str">
        <f t="array" ref="J64">INDEX($E$9:$E$96,SMALL(IF($F$9:$F$96=K64,ROW($F$9:$F$96)-8),COUNTIF($K$9:K64,K64)))</f>
        <v>Analista de Qualidade</v>
      </c>
      <c r="K64" s="52">
        <f t="shared" si="3"/>
        <v>1</v>
      </c>
      <c r="L64" s="53">
        <f t="shared" si="12"/>
        <v>6.1349693251533744E-3</v>
      </c>
      <c r="M64" s="119"/>
      <c r="N64" s="52">
        <v>56</v>
      </c>
      <c r="O64" s="51" t="str">
        <f t="array" ref="O64">INDEX($E$103:$E$190,SMALL(IF($F$103:$F$190=P64,ROW($F$103:$F$190)-102),COUNTIF($P$9:P64,P64)))</f>
        <v>Técnico de Suporte</v>
      </c>
      <c r="P64" s="52">
        <f t="shared" si="4"/>
        <v>0</v>
      </c>
      <c r="Q64" s="53">
        <f t="shared" si="13"/>
        <v>0</v>
      </c>
      <c r="R64" s="48"/>
      <c r="S64" s="48"/>
      <c r="T64" s="48"/>
      <c r="U64" s="48"/>
      <c r="V64" s="48"/>
      <c r="W64" s="48"/>
      <c r="X64" s="48"/>
      <c r="Y64" s="48"/>
      <c r="Z64" s="48"/>
      <c r="AA64" s="48"/>
      <c r="AB64" s="48"/>
      <c r="AC64" s="48"/>
      <c r="AD64" s="48"/>
      <c r="AE64" s="48"/>
      <c r="AF64" s="163" t="s">
        <v>119</v>
      </c>
      <c r="AG64" s="164">
        <v>21350</v>
      </c>
      <c r="AH64" s="162"/>
      <c r="AI64" s="162"/>
      <c r="AJ64" s="162"/>
      <c r="AK64" s="162"/>
      <c r="AL64" s="162"/>
      <c r="AM64" s="48"/>
      <c r="AN64" s="48"/>
      <c r="AO64" s="61" t="str">
        <f>Tabulacao!CJ11</f>
        <v>Moda</v>
      </c>
      <c r="AP64" s="64">
        <f>Tabulacao!CK11</f>
        <v>4</v>
      </c>
      <c r="AQ64" s="63" t="s">
        <v>933</v>
      </c>
      <c r="AR64" s="48"/>
      <c r="AS64" s="48"/>
      <c r="AT64" s="48"/>
      <c r="AU64" s="48"/>
      <c r="AV64" s="48"/>
      <c r="AW64" s="48"/>
      <c r="AX64" s="48"/>
      <c r="AY64" s="48"/>
    </row>
    <row r="65" spans="2:51" x14ac:dyDescent="0.2">
      <c r="B65" s="152"/>
      <c r="C65" s="152"/>
      <c r="D65" s="87"/>
      <c r="E65" s="51" t="str">
        <f>Tabulacao!BR152</f>
        <v>Educador Profissional</v>
      </c>
      <c r="F65" s="52">
        <f>COUNTIF(Tabulacao!$BR:$BR,'1Emp'!$E65)</f>
        <v>1</v>
      </c>
      <c r="G65" s="53">
        <f t="shared" si="11"/>
        <v>6.1349693251533744E-3</v>
      </c>
      <c r="H65" s="48"/>
      <c r="I65" s="52">
        <v>57</v>
      </c>
      <c r="J65" s="51" t="str">
        <f t="array" ref="J65">INDEX($E$9:$E$96,SMALL(IF($F$9:$F$96=K65,ROW($F$9:$F$96)-8),COUNTIF($K$9:K65,K65)))</f>
        <v>Assistente de Agricultura</v>
      </c>
      <c r="K65" s="52">
        <f t="shared" si="3"/>
        <v>1</v>
      </c>
      <c r="L65" s="53">
        <f t="shared" si="12"/>
        <v>6.1349693251533744E-3</v>
      </c>
      <c r="M65" s="119"/>
      <c r="N65" s="52">
        <v>57</v>
      </c>
      <c r="O65" s="51" t="str">
        <f t="array" ref="O65">INDEX($E$103:$E$190,SMALL(IF($F$103:$F$190=P65,ROW($F$103:$F$190)-102),COUNTIF($P$9:P65,P65)))</f>
        <v>Assistente em Administração</v>
      </c>
      <c r="P65" s="52">
        <f t="shared" si="4"/>
        <v>0</v>
      </c>
      <c r="Q65" s="53">
        <f t="shared" si="13"/>
        <v>0</v>
      </c>
      <c r="R65" s="48"/>
      <c r="S65" s="48"/>
      <c r="T65" s="48"/>
      <c r="U65" s="48"/>
      <c r="V65" s="48"/>
      <c r="W65" s="48"/>
      <c r="X65" s="48"/>
      <c r="Y65" s="48"/>
      <c r="Z65" s="48"/>
      <c r="AA65" s="48"/>
      <c r="AB65" s="48"/>
      <c r="AC65" s="48"/>
      <c r="AD65" s="48"/>
      <c r="AE65" s="48"/>
      <c r="AF65" s="163" t="s">
        <v>119</v>
      </c>
      <c r="AG65" s="164">
        <v>2500</v>
      </c>
      <c r="AH65" s="162"/>
      <c r="AI65" s="162"/>
      <c r="AJ65" s="162"/>
      <c r="AK65" s="162"/>
      <c r="AL65" s="162"/>
      <c r="AM65" s="48"/>
      <c r="AN65" s="48"/>
      <c r="AO65" s="61" t="str">
        <f>Tabulacao!CJ12</f>
        <v>Mediana</v>
      </c>
      <c r="AP65" s="64">
        <f>Tabulacao!CK12</f>
        <v>3</v>
      </c>
      <c r="AQ65" s="63" t="s">
        <v>933</v>
      </c>
      <c r="AR65" s="48"/>
      <c r="AS65" s="48"/>
      <c r="AT65" s="48"/>
      <c r="AU65" s="48"/>
      <c r="AV65" s="48"/>
      <c r="AW65" s="48"/>
      <c r="AX65" s="48"/>
      <c r="AY65" s="48"/>
    </row>
    <row r="66" spans="2:51" x14ac:dyDescent="0.2">
      <c r="B66" s="152"/>
      <c r="C66" s="152"/>
      <c r="D66" s="87"/>
      <c r="E66" s="51" t="str">
        <f>Tabulacao!BR153</f>
        <v>Instrutor</v>
      </c>
      <c r="F66" s="52">
        <f>COUNTIF(Tabulacao!$BR:$BR,'1Emp'!$E66)</f>
        <v>1</v>
      </c>
      <c r="G66" s="53">
        <f t="shared" si="11"/>
        <v>6.1349693251533744E-3</v>
      </c>
      <c r="H66" s="48"/>
      <c r="I66" s="52">
        <v>58</v>
      </c>
      <c r="J66" s="51" t="str">
        <f t="array" ref="J66">INDEX($E$9:$E$96,SMALL(IF($F$9:$F$96=K66,ROW($F$9:$F$96)-8),COUNTIF($K$9:K66,K66)))</f>
        <v>Educador Profissional</v>
      </c>
      <c r="K66" s="52">
        <f t="shared" si="3"/>
        <v>1</v>
      </c>
      <c r="L66" s="53">
        <f t="shared" si="12"/>
        <v>6.1349693251533744E-3</v>
      </c>
      <c r="M66" s="119"/>
      <c r="N66" s="52">
        <v>58</v>
      </c>
      <c r="O66" s="51" t="str">
        <f t="array" ref="O66">INDEX($E$103:$E$190,SMALL(IF($F$103:$F$190=P66,ROW($F$103:$F$190)-102),COUNTIF($P$9:P66,P66)))</f>
        <v>Recenseador</v>
      </c>
      <c r="P66" s="52">
        <f t="shared" si="4"/>
        <v>0</v>
      </c>
      <c r="Q66" s="53">
        <f t="shared" si="13"/>
        <v>0</v>
      </c>
      <c r="R66" s="48"/>
      <c r="S66" s="48"/>
      <c r="T66" s="48"/>
      <c r="U66" s="48"/>
      <c r="V66" s="48"/>
      <c r="W66" s="48"/>
      <c r="X66" s="48"/>
      <c r="Y66" s="48"/>
      <c r="Z66" s="48"/>
      <c r="AA66" s="48"/>
      <c r="AB66" s="48"/>
      <c r="AC66" s="48"/>
      <c r="AD66" s="48"/>
      <c r="AE66" s="48"/>
      <c r="AF66" s="163" t="s">
        <v>119</v>
      </c>
      <c r="AG66" s="164">
        <v>1800</v>
      </c>
      <c r="AH66" s="162"/>
      <c r="AI66" s="162"/>
      <c r="AJ66" s="162"/>
      <c r="AK66" s="162"/>
      <c r="AL66" s="162"/>
      <c r="AM66" s="48"/>
      <c r="AN66" s="48"/>
      <c r="AO66" s="61" t="str">
        <f>Tabulacao!CJ13</f>
        <v>Desvio Padrão</v>
      </c>
      <c r="AP66" s="62">
        <f>Tabulacao!CK13</f>
        <v>1.3690607317513128</v>
      </c>
      <c r="AQ66" s="63" t="s">
        <v>933</v>
      </c>
      <c r="AR66" s="48"/>
      <c r="AS66" s="48"/>
      <c r="AT66" s="48"/>
      <c r="AU66" s="48"/>
      <c r="AV66" s="48"/>
      <c r="AW66" s="48"/>
      <c r="AX66" s="48"/>
      <c r="AY66" s="48"/>
    </row>
    <row r="67" spans="2:51" x14ac:dyDescent="0.2">
      <c r="B67" s="152"/>
      <c r="C67" s="152"/>
      <c r="D67" s="87"/>
      <c r="E67" s="51" t="str">
        <f>Tabulacao!BR157</f>
        <v>Analista de Desenvolvimento de TI</v>
      </c>
      <c r="F67" s="52">
        <f>COUNTIF(Tabulacao!$BR:$BR,'1Emp'!$E67)</f>
        <v>1</v>
      </c>
      <c r="G67" s="53">
        <f t="shared" si="11"/>
        <v>6.1349693251533744E-3</v>
      </c>
      <c r="H67" s="48"/>
      <c r="I67" s="52">
        <v>59</v>
      </c>
      <c r="J67" s="51" t="str">
        <f t="array" ref="J67">INDEX($E$9:$E$96,SMALL(IF($F$9:$F$96=K67,ROW($F$9:$F$96)-8),COUNTIF($K$9:K67,K67)))</f>
        <v>Instrutor</v>
      </c>
      <c r="K67" s="52">
        <f t="shared" si="3"/>
        <v>1</v>
      </c>
      <c r="L67" s="53">
        <f t="shared" si="12"/>
        <v>6.1349693251533744E-3</v>
      </c>
      <c r="M67" s="119"/>
      <c r="N67" s="52">
        <v>59</v>
      </c>
      <c r="O67" s="51" t="str">
        <f t="array" ref="O67">INDEX($E$103:$E$190,SMALL(IF($F$103:$F$190=P67,ROW($F$103:$F$190)-102),COUNTIF($P$9:P67,P67)))</f>
        <v>Analista de Qualidade</v>
      </c>
      <c r="P67" s="52">
        <f t="shared" si="4"/>
        <v>0</v>
      </c>
      <c r="Q67" s="53">
        <f t="shared" si="13"/>
        <v>0</v>
      </c>
      <c r="R67" s="48"/>
      <c r="S67" s="48"/>
      <c r="T67" s="48"/>
      <c r="U67" s="48"/>
      <c r="V67" s="48"/>
      <c r="W67" s="48"/>
      <c r="X67" s="48"/>
      <c r="Y67" s="48"/>
      <c r="Z67" s="48"/>
      <c r="AA67" s="48"/>
      <c r="AB67" s="48"/>
      <c r="AC67" s="48"/>
      <c r="AD67" s="48"/>
      <c r="AE67" s="48"/>
      <c r="AF67" s="163" t="s">
        <v>119</v>
      </c>
      <c r="AG67" s="164">
        <v>3000</v>
      </c>
      <c r="AH67" s="162"/>
      <c r="AI67" s="162"/>
      <c r="AJ67" s="162"/>
      <c r="AK67" s="162"/>
      <c r="AL67" s="162"/>
      <c r="AM67" s="48"/>
      <c r="AN67" s="48"/>
      <c r="AO67" s="61" t="str">
        <f>Tabulacao!CJ14</f>
        <v>Variância</v>
      </c>
      <c r="AP67" s="62">
        <f>Tabulacao!CK14</f>
        <v>1.8743272872234402</v>
      </c>
      <c r="AQ67" s="63" t="s">
        <v>933</v>
      </c>
      <c r="AR67" s="48"/>
      <c r="AS67" s="48"/>
      <c r="AT67" s="48"/>
      <c r="AU67" s="48"/>
      <c r="AV67" s="48"/>
      <c r="AW67" s="48"/>
      <c r="AX67" s="48"/>
      <c r="AY67" s="48"/>
    </row>
    <row r="68" spans="2:51" x14ac:dyDescent="0.2">
      <c r="B68" s="152"/>
      <c r="C68" s="152"/>
      <c r="D68" s="87"/>
      <c r="E68" s="51" t="str">
        <f>Tabulacao!BR162</f>
        <v>Técnico em Eletrônica</v>
      </c>
      <c r="F68" s="52">
        <f>COUNTIF(Tabulacao!$BR:$BR,'1Emp'!$E68)</f>
        <v>1</v>
      </c>
      <c r="G68" s="53">
        <f t="shared" si="11"/>
        <v>6.1349693251533744E-3</v>
      </c>
      <c r="H68" s="48"/>
      <c r="I68" s="52">
        <v>60</v>
      </c>
      <c r="J68" s="51" t="str">
        <f t="array" ref="J68">INDEX($E$9:$E$96,SMALL(IF($F$9:$F$96=K68,ROW($F$9:$F$96)-8),COUNTIF($K$9:K68,K68)))</f>
        <v>Analista de Desenvolvimento de TI</v>
      </c>
      <c r="K68" s="52">
        <f t="shared" si="3"/>
        <v>1</v>
      </c>
      <c r="L68" s="53">
        <f t="shared" si="12"/>
        <v>6.1349693251533744E-3</v>
      </c>
      <c r="M68" s="119"/>
      <c r="N68" s="52">
        <v>60</v>
      </c>
      <c r="O68" s="51" t="str">
        <f t="array" ref="O68">INDEX($E$103:$E$190,SMALL(IF($F$103:$F$190=P68,ROW($F$103:$F$190)-102),COUNTIF($P$9:P68,P68)))</f>
        <v>Assistente de Agricultura</v>
      </c>
      <c r="P68" s="52">
        <f t="shared" si="4"/>
        <v>0</v>
      </c>
      <c r="Q68" s="53">
        <f t="shared" si="13"/>
        <v>0</v>
      </c>
      <c r="R68" s="48"/>
      <c r="S68" s="48"/>
      <c r="T68" s="48"/>
      <c r="U68" s="48"/>
      <c r="V68" s="48"/>
      <c r="W68" s="48"/>
      <c r="X68" s="48"/>
      <c r="Y68" s="48"/>
      <c r="Z68" s="48"/>
      <c r="AA68" s="48"/>
      <c r="AB68" s="48"/>
      <c r="AC68" s="48"/>
      <c r="AD68" s="48"/>
      <c r="AE68" s="48"/>
      <c r="AF68" s="163" t="s">
        <v>119</v>
      </c>
      <c r="AG68" s="164">
        <v>1000</v>
      </c>
      <c r="AH68" s="162"/>
      <c r="AI68" s="162"/>
      <c r="AJ68" s="162"/>
      <c r="AK68" s="162"/>
      <c r="AL68" s="162"/>
      <c r="AM68" s="48"/>
      <c r="AN68" s="48"/>
      <c r="AO68" s="48"/>
      <c r="AP68" s="48"/>
      <c r="AQ68" s="48"/>
      <c r="AR68" s="48"/>
      <c r="AS68" s="48"/>
      <c r="AT68" s="48"/>
      <c r="AU68" s="48"/>
      <c r="AV68" s="48"/>
      <c r="AW68" s="48"/>
      <c r="AX68" s="48"/>
      <c r="AY68" s="48"/>
    </row>
    <row r="69" spans="2:51" x14ac:dyDescent="0.2">
      <c r="B69" s="152"/>
      <c r="C69" s="152"/>
      <c r="D69" s="87"/>
      <c r="E69" s="51" t="str">
        <f>Tabulacao!BR168</f>
        <v>Gerente de Insfraestrutura Tecnológica</v>
      </c>
      <c r="F69" s="52">
        <f>COUNTIF(Tabulacao!$BR:$BR,'1Emp'!$E69)</f>
        <v>1</v>
      </c>
      <c r="G69" s="53">
        <f t="shared" si="11"/>
        <v>6.1349693251533744E-3</v>
      </c>
      <c r="H69" s="48"/>
      <c r="I69" s="52">
        <v>61</v>
      </c>
      <c r="J69" s="51" t="str">
        <f t="array" ref="J69">INDEX($E$9:$E$96,SMALL(IF($F$9:$F$96=K69,ROW($F$9:$F$96)-8),COUNTIF($K$9:K69,K69)))</f>
        <v>Técnico em Eletrônica</v>
      </c>
      <c r="K69" s="52">
        <f t="shared" si="3"/>
        <v>1</v>
      </c>
      <c r="L69" s="53">
        <f t="shared" si="12"/>
        <v>6.1349693251533744E-3</v>
      </c>
      <c r="M69" s="119"/>
      <c r="N69" s="52">
        <v>61</v>
      </c>
      <c r="O69" s="51" t="str">
        <f t="array" ref="O69">INDEX($E$103:$E$190,SMALL(IF($F$103:$F$190=P69,ROW($F$103:$F$190)-102),COUNTIF($P$9:P69,P69)))</f>
        <v>Educador Profissional</v>
      </c>
      <c r="P69" s="52">
        <f t="shared" si="4"/>
        <v>0</v>
      </c>
      <c r="Q69" s="53">
        <f t="shared" si="13"/>
        <v>0</v>
      </c>
      <c r="R69" s="48"/>
      <c r="S69" s="48"/>
      <c r="T69" s="48"/>
      <c r="U69" s="48"/>
      <c r="V69" s="48"/>
      <c r="W69" s="48"/>
      <c r="X69" s="48"/>
      <c r="Y69" s="48"/>
      <c r="Z69" s="48"/>
      <c r="AA69" s="48"/>
      <c r="AB69" s="48"/>
      <c r="AC69" s="48"/>
      <c r="AD69" s="48"/>
      <c r="AE69" s="48"/>
      <c r="AF69" s="163" t="s">
        <v>119</v>
      </c>
      <c r="AG69" s="164">
        <v>2914</v>
      </c>
      <c r="AH69" s="162"/>
      <c r="AI69" s="162"/>
      <c r="AJ69" s="162"/>
      <c r="AK69" s="162"/>
      <c r="AL69" s="162"/>
      <c r="AM69" s="48"/>
      <c r="AN69" s="48"/>
      <c r="AO69" s="48"/>
      <c r="AP69" s="48"/>
      <c r="AQ69" s="48"/>
      <c r="AR69" s="48"/>
      <c r="AS69" s="48"/>
      <c r="AT69" s="48"/>
      <c r="AU69" s="48"/>
      <c r="AV69" s="48"/>
      <c r="AW69" s="48"/>
      <c r="AX69" s="48"/>
      <c r="AY69" s="48"/>
    </row>
    <row r="70" spans="2:51" x14ac:dyDescent="0.2">
      <c r="B70" s="152"/>
      <c r="C70" s="152"/>
      <c r="D70" s="87"/>
      <c r="E70" s="51" t="str">
        <f>Tabulacao!BR169</f>
        <v>Berçarista</v>
      </c>
      <c r="F70" s="52">
        <f>COUNTIF(Tabulacao!$BR:$BR,'1Emp'!$E70)</f>
        <v>1</v>
      </c>
      <c r="G70" s="53">
        <f t="shared" si="11"/>
        <v>6.1349693251533744E-3</v>
      </c>
      <c r="H70" s="48"/>
      <c r="I70" s="52">
        <v>62</v>
      </c>
      <c r="J70" s="51" t="str">
        <f t="array" ref="J70">INDEX($E$9:$E$96,SMALL(IF($F$9:$F$96=K70,ROW($F$9:$F$96)-8),COUNTIF($K$9:K70,K70)))</f>
        <v>Gerente de Insfraestrutura Tecnológica</v>
      </c>
      <c r="K70" s="52">
        <f t="shared" si="3"/>
        <v>1</v>
      </c>
      <c r="L70" s="53">
        <f t="shared" si="12"/>
        <v>6.1349693251533744E-3</v>
      </c>
      <c r="M70" s="119"/>
      <c r="N70" s="52">
        <v>62</v>
      </c>
      <c r="O70" s="51" t="str">
        <f t="array" ref="O70">INDEX($E$103:$E$190,SMALL(IF($F$103:$F$190=P70,ROW($F$103:$F$190)-102),COUNTIF($P$9:P70,P70)))</f>
        <v>Instrutor</v>
      </c>
      <c r="P70" s="52">
        <f t="shared" si="4"/>
        <v>0</v>
      </c>
      <c r="Q70" s="53">
        <f t="shared" si="13"/>
        <v>0</v>
      </c>
      <c r="R70" s="48"/>
      <c r="S70" s="48"/>
      <c r="T70" s="48"/>
      <c r="U70" s="48"/>
      <c r="V70" s="48"/>
      <c r="W70" s="48"/>
      <c r="X70" s="48"/>
      <c r="Y70" s="48"/>
      <c r="Z70" s="48"/>
      <c r="AA70" s="48"/>
      <c r="AB70" s="48"/>
      <c r="AC70" s="48"/>
      <c r="AD70" s="48"/>
      <c r="AE70" s="48"/>
      <c r="AF70" s="163" t="s">
        <v>119</v>
      </c>
      <c r="AG70" s="164">
        <v>2500</v>
      </c>
      <c r="AH70" s="162"/>
      <c r="AI70" s="162"/>
      <c r="AJ70" s="162"/>
      <c r="AK70" s="162"/>
      <c r="AL70" s="162"/>
      <c r="AM70" s="48"/>
      <c r="AN70" s="48"/>
      <c r="AO70" s="48"/>
      <c r="AP70" s="48"/>
      <c r="AQ70" s="48"/>
      <c r="AR70" s="48"/>
      <c r="AS70" s="48"/>
      <c r="AT70" s="48"/>
      <c r="AU70" s="48"/>
      <c r="AV70" s="48"/>
      <c r="AW70" s="48"/>
      <c r="AX70" s="48"/>
      <c r="AY70" s="48"/>
    </row>
    <row r="71" spans="2:51" x14ac:dyDescent="0.2">
      <c r="B71" s="152"/>
      <c r="C71" s="152"/>
      <c r="D71" s="87"/>
      <c r="E71" s="51" t="str">
        <f>Tabulacao!BR177</f>
        <v>Representante de Atendimento</v>
      </c>
      <c r="F71" s="52">
        <f>COUNTIF(Tabulacao!$BR:$BR,'1Emp'!$E71)</f>
        <v>1</v>
      </c>
      <c r="G71" s="53">
        <f t="shared" si="11"/>
        <v>6.1349693251533744E-3</v>
      </c>
      <c r="H71" s="48"/>
      <c r="I71" s="52">
        <v>63</v>
      </c>
      <c r="J71" s="51" t="str">
        <f t="array" ref="J71">INDEX($E$9:$E$96,SMALL(IF($F$9:$F$96=K71,ROW($F$9:$F$96)-8),COUNTIF($K$9:K71,K71)))</f>
        <v>Berçarista</v>
      </c>
      <c r="K71" s="52">
        <f t="shared" si="3"/>
        <v>1</v>
      </c>
      <c r="L71" s="53">
        <f t="shared" si="12"/>
        <v>6.1349693251533744E-3</v>
      </c>
      <c r="M71" s="119"/>
      <c r="N71" s="52">
        <v>63</v>
      </c>
      <c r="O71" s="51" t="str">
        <f t="array" ref="O71">INDEX($E$103:$E$190,SMALL(IF($F$103:$F$190=P71,ROW($F$103:$F$190)-102),COUNTIF($P$9:P71,P71)))</f>
        <v>Analista de Desenvolvimento de TI</v>
      </c>
      <c r="P71" s="52">
        <f t="shared" si="4"/>
        <v>0</v>
      </c>
      <c r="Q71" s="53">
        <f t="shared" si="13"/>
        <v>0</v>
      </c>
      <c r="R71" s="48"/>
      <c r="S71" s="48"/>
      <c r="T71" s="48"/>
      <c r="U71" s="48"/>
      <c r="V71" s="48"/>
      <c r="W71" s="48"/>
      <c r="X71" s="48"/>
      <c r="Y71" s="48"/>
      <c r="Z71" s="48"/>
      <c r="AA71" s="48"/>
      <c r="AB71" s="48"/>
      <c r="AC71" s="48"/>
      <c r="AD71" s="48"/>
      <c r="AE71" s="48"/>
      <c r="AF71" s="163" t="s">
        <v>119</v>
      </c>
      <c r="AG71" s="164">
        <v>2500</v>
      </c>
      <c r="AH71" s="162"/>
      <c r="AI71" s="162"/>
      <c r="AJ71" s="162"/>
      <c r="AK71" s="162"/>
      <c r="AL71" s="162"/>
      <c r="AM71" s="48"/>
      <c r="AN71" s="48"/>
      <c r="AO71" s="48"/>
      <c r="AP71" s="48"/>
      <c r="AQ71" s="48"/>
      <c r="AR71" s="48"/>
      <c r="AS71" s="48"/>
      <c r="AT71" s="48"/>
      <c r="AU71" s="48"/>
      <c r="AV71" s="48"/>
      <c r="AW71" s="48"/>
      <c r="AX71" s="48"/>
      <c r="AY71" s="48"/>
    </row>
    <row r="72" spans="2:51" x14ac:dyDescent="0.2">
      <c r="B72" s="152"/>
      <c r="C72" s="152"/>
      <c r="D72" s="87"/>
      <c r="E72" s="51" t="str">
        <f>Tabulacao!BR185</f>
        <v>Projetista</v>
      </c>
      <c r="F72" s="52">
        <f>COUNTIF(Tabulacao!$BR:$BR,'1Emp'!$E72)</f>
        <v>1</v>
      </c>
      <c r="G72" s="53">
        <f t="shared" si="11"/>
        <v>6.1349693251533744E-3</v>
      </c>
      <c r="H72" s="48"/>
      <c r="I72" s="52">
        <v>64</v>
      </c>
      <c r="J72" s="51" t="str">
        <f t="array" ref="J72">INDEX($E$9:$E$96,SMALL(IF($F$9:$F$96=K72,ROW($F$9:$F$96)-8),COUNTIF($K$9:K72,K72)))</f>
        <v>Representante de Atendimento</v>
      </c>
      <c r="K72" s="52">
        <f t="shared" si="3"/>
        <v>1</v>
      </c>
      <c r="L72" s="53">
        <f t="shared" si="12"/>
        <v>6.1349693251533744E-3</v>
      </c>
      <c r="M72" s="119"/>
      <c r="N72" s="52">
        <v>64</v>
      </c>
      <c r="O72" s="51" t="str">
        <f t="array" ref="O72">INDEX($E$103:$E$190,SMALL(IF($F$103:$F$190=P72,ROW($F$103:$F$190)-102),COUNTIF($P$9:P72,P72)))</f>
        <v>Técnico em Eletrônica</v>
      </c>
      <c r="P72" s="52">
        <f t="shared" si="4"/>
        <v>0</v>
      </c>
      <c r="Q72" s="53">
        <f t="shared" si="13"/>
        <v>0</v>
      </c>
      <c r="R72" s="48"/>
      <c r="S72" s="48"/>
      <c r="T72" s="48"/>
      <c r="U72" s="48"/>
      <c r="V72" s="48"/>
      <c r="W72" s="48"/>
      <c r="X72" s="48"/>
      <c r="Y72" s="48"/>
      <c r="Z72" s="48"/>
      <c r="AA72" s="48"/>
      <c r="AB72" s="48"/>
      <c r="AC72" s="48"/>
      <c r="AD72" s="48"/>
      <c r="AE72" s="48"/>
      <c r="AF72" s="163" t="s">
        <v>119</v>
      </c>
      <c r="AG72" s="164">
        <v>3500</v>
      </c>
      <c r="AH72" s="162"/>
      <c r="AI72" s="162"/>
      <c r="AJ72" s="162"/>
      <c r="AK72" s="162"/>
      <c r="AL72" s="162"/>
      <c r="AM72" s="48"/>
      <c r="AN72" s="48"/>
      <c r="AO72" s="48"/>
      <c r="AP72" s="48"/>
      <c r="AQ72" s="48"/>
      <c r="AR72" s="48"/>
      <c r="AS72" s="48"/>
      <c r="AT72" s="48"/>
      <c r="AU72" s="48"/>
      <c r="AV72" s="48"/>
      <c r="AW72" s="48"/>
      <c r="AX72" s="48"/>
      <c r="AY72" s="48"/>
    </row>
    <row r="73" spans="2:51" x14ac:dyDescent="0.2">
      <c r="B73" s="152"/>
      <c r="C73" s="152"/>
      <c r="D73" s="87"/>
      <c r="E73" s="51" t="str">
        <f>Tabulacao!BR186</f>
        <v>Assistente</v>
      </c>
      <c r="F73" s="52">
        <f>COUNTIF(Tabulacao!$BR:$BR,'1Emp'!$E73)</f>
        <v>2</v>
      </c>
      <c r="G73" s="53">
        <f t="shared" ref="G73:G96" si="17">F73/$F$97</f>
        <v>1.2269938650306749E-2</v>
      </c>
      <c r="H73" s="48"/>
      <c r="I73" s="52">
        <v>65</v>
      </c>
      <c r="J73" s="51" t="str">
        <f t="array" ref="J73">INDEX($E$9:$E$96,SMALL(IF($F$9:$F$96=K73,ROW($F$9:$F$96)-8),COUNTIF($K$9:K73,K73)))</f>
        <v>Projetista</v>
      </c>
      <c r="K73" s="52">
        <f t="shared" si="3"/>
        <v>1</v>
      </c>
      <c r="L73" s="53">
        <f t="shared" ref="L73:L96" si="18">K73/$K$97</f>
        <v>6.1349693251533744E-3</v>
      </c>
      <c r="M73" s="119"/>
      <c r="N73" s="52">
        <v>65</v>
      </c>
      <c r="O73" s="51" t="str">
        <f t="array" ref="O73">INDEX($E$103:$E$190,SMALL(IF($F$103:$F$190=P73,ROW($F$103:$F$190)-102),COUNTIF($P$9:P73,P73)))</f>
        <v>Gerente de Insfraestrutura Tecnológica</v>
      </c>
      <c r="P73" s="52">
        <f t="shared" si="4"/>
        <v>0</v>
      </c>
      <c r="Q73" s="53">
        <f t="shared" ref="Q73:Q96" si="19">P73/$P$97</f>
        <v>0</v>
      </c>
      <c r="R73" s="48"/>
      <c r="S73" s="48"/>
      <c r="T73" s="48"/>
      <c r="U73" s="48"/>
      <c r="V73" s="48"/>
      <c r="W73" s="48"/>
      <c r="X73" s="48"/>
      <c r="Y73" s="48"/>
      <c r="Z73" s="48"/>
      <c r="AA73" s="48"/>
      <c r="AB73" s="48"/>
      <c r="AC73" s="48"/>
      <c r="AD73" s="48"/>
      <c r="AE73" s="48"/>
      <c r="AF73" s="163" t="s">
        <v>119</v>
      </c>
      <c r="AG73" s="164">
        <v>3200</v>
      </c>
      <c r="AH73" s="162"/>
      <c r="AI73" s="162"/>
      <c r="AJ73" s="162"/>
      <c r="AK73" s="162"/>
      <c r="AL73" s="162"/>
      <c r="AM73" s="48"/>
      <c r="AN73" s="48"/>
      <c r="AO73" s="48"/>
      <c r="AP73" s="48"/>
      <c r="AQ73" s="48"/>
      <c r="AR73" s="48"/>
      <c r="AS73" s="48"/>
      <c r="AT73" s="48"/>
      <c r="AU73" s="48"/>
      <c r="AV73" s="48"/>
      <c r="AW73" s="48"/>
      <c r="AX73" s="48"/>
      <c r="AY73" s="48"/>
    </row>
    <row r="74" spans="2:51" x14ac:dyDescent="0.2">
      <c r="B74" s="152"/>
      <c r="C74" s="152"/>
      <c r="D74" s="87"/>
      <c r="E74" s="51" t="str">
        <f>Tabulacao!BR187</f>
        <v>Supervisor</v>
      </c>
      <c r="F74" s="52">
        <f>COUNTIF(Tabulacao!$BR:$BR,'1Emp'!$E74)</f>
        <v>1</v>
      </c>
      <c r="G74" s="53">
        <f t="shared" si="17"/>
        <v>6.1349693251533744E-3</v>
      </c>
      <c r="H74" s="48"/>
      <c r="I74" s="52">
        <v>66</v>
      </c>
      <c r="J74" s="51" t="str">
        <f t="array" ref="J74">INDEX($E$9:$E$96,SMALL(IF($F$9:$F$96=K74,ROW($F$9:$F$96)-8),COUNTIF($K$9:K74,K74)))</f>
        <v>Supervisor</v>
      </c>
      <c r="K74" s="52">
        <f t="shared" ref="K74:K96" si="20">LARGE($F$9:$F$96,I74)</f>
        <v>1</v>
      </c>
      <c r="L74" s="53">
        <f t="shared" si="18"/>
        <v>6.1349693251533744E-3</v>
      </c>
      <c r="M74" s="119"/>
      <c r="N74" s="52">
        <v>66</v>
      </c>
      <c r="O74" s="51" t="str">
        <f t="array" ref="O74">INDEX($E$103:$E$190,SMALL(IF($F$103:$F$190=P74,ROW($F$103:$F$190)-102),COUNTIF($P$9:P74,P74)))</f>
        <v>Berçarista</v>
      </c>
      <c r="P74" s="52">
        <f t="shared" ref="P74:P96" si="21">LARGE($F$103:$F$190,N74)</f>
        <v>0</v>
      </c>
      <c r="Q74" s="53">
        <f t="shared" si="19"/>
        <v>0</v>
      </c>
      <c r="R74" s="48"/>
      <c r="S74" s="48"/>
      <c r="T74" s="48"/>
      <c r="U74" s="48"/>
      <c r="V74" s="48"/>
      <c r="W74" s="48"/>
      <c r="X74" s="48"/>
      <c r="Y74" s="48"/>
      <c r="Z74" s="48"/>
      <c r="AA74" s="48"/>
      <c r="AB74" s="48"/>
      <c r="AC74" s="48"/>
      <c r="AD74" s="48"/>
      <c r="AE74" s="48"/>
      <c r="AF74" s="163" t="s">
        <v>119</v>
      </c>
      <c r="AG74" s="164">
        <v>1500</v>
      </c>
      <c r="AH74" s="162"/>
      <c r="AI74" s="162"/>
      <c r="AJ74" s="162"/>
      <c r="AK74" s="162"/>
      <c r="AL74" s="162"/>
      <c r="AM74" s="48"/>
      <c r="AN74" s="48"/>
      <c r="AO74" s="48"/>
      <c r="AP74" s="48"/>
      <c r="AQ74" s="48"/>
      <c r="AR74" s="48"/>
      <c r="AS74" s="48"/>
      <c r="AT74" s="48"/>
      <c r="AU74" s="48"/>
      <c r="AV74" s="48"/>
      <c r="AW74" s="48"/>
      <c r="AX74" s="48"/>
      <c r="AY74" s="48"/>
    </row>
    <row r="75" spans="2:51" x14ac:dyDescent="0.2">
      <c r="B75" s="152"/>
      <c r="C75" s="152"/>
      <c r="D75" s="87"/>
      <c r="E75" s="51" t="str">
        <f>Tabulacao!BR193</f>
        <v>Executor de Serviços Básicos</v>
      </c>
      <c r="F75" s="52">
        <f>COUNTIF(Tabulacao!$BR:$BR,'1Emp'!$E75)</f>
        <v>1</v>
      </c>
      <c r="G75" s="53">
        <f t="shared" si="17"/>
        <v>6.1349693251533744E-3</v>
      </c>
      <c r="H75" s="48"/>
      <c r="I75" s="52">
        <v>67</v>
      </c>
      <c r="J75" s="51" t="str">
        <f t="array" ref="J75">INDEX($E$9:$E$96,SMALL(IF($F$9:$F$96=K75,ROW($F$9:$F$96)-8),COUNTIF($K$9:K75,K75)))</f>
        <v>Executor de Serviços Básicos</v>
      </c>
      <c r="K75" s="52">
        <f t="shared" si="20"/>
        <v>1</v>
      </c>
      <c r="L75" s="53">
        <f t="shared" si="18"/>
        <v>6.1349693251533744E-3</v>
      </c>
      <c r="M75" s="119"/>
      <c r="N75" s="52">
        <v>67</v>
      </c>
      <c r="O75" s="51" t="str">
        <f t="array" ref="O75">INDEX($E$103:$E$190,SMALL(IF($F$103:$F$190=P75,ROW($F$103:$F$190)-102),COUNTIF($P$9:P75,P75)))</f>
        <v>Representante de Atendimento</v>
      </c>
      <c r="P75" s="52">
        <f t="shared" si="21"/>
        <v>0</v>
      </c>
      <c r="Q75" s="53">
        <f t="shared" si="19"/>
        <v>0</v>
      </c>
      <c r="R75" s="48"/>
      <c r="S75" s="48"/>
      <c r="T75" s="48"/>
      <c r="U75" s="48"/>
      <c r="V75" s="48"/>
      <c r="W75" s="48"/>
      <c r="X75" s="48"/>
      <c r="Y75" s="48"/>
      <c r="Z75" s="48"/>
      <c r="AA75" s="48"/>
      <c r="AB75" s="48"/>
      <c r="AC75" s="48"/>
      <c r="AD75" s="48"/>
      <c r="AE75" s="48"/>
      <c r="AF75" s="163" t="s">
        <v>119</v>
      </c>
      <c r="AG75" s="164">
        <v>2000</v>
      </c>
      <c r="AH75" s="162"/>
      <c r="AI75" s="162"/>
      <c r="AJ75" s="162"/>
      <c r="AK75" s="162"/>
      <c r="AL75" s="162"/>
      <c r="AM75" s="48"/>
      <c r="AN75" s="48"/>
      <c r="AO75" s="48"/>
      <c r="AP75" s="48"/>
      <c r="AQ75" s="48"/>
      <c r="AR75" s="48"/>
      <c r="AS75" s="48"/>
      <c r="AT75" s="48"/>
      <c r="AU75" s="48"/>
      <c r="AV75" s="48"/>
      <c r="AW75" s="48"/>
      <c r="AX75" s="48"/>
      <c r="AY75" s="48"/>
    </row>
    <row r="76" spans="2:51" ht="25.5" x14ac:dyDescent="0.2">
      <c r="B76" s="152"/>
      <c r="C76" s="152"/>
      <c r="D76" s="87"/>
      <c r="E76" s="51" t="str">
        <f>Tabulacao!BR194</f>
        <v>Almoxarife</v>
      </c>
      <c r="F76" s="52">
        <f>COUNTIF(Tabulacao!$BR:$BR,'1Emp'!$E76)</f>
        <v>1</v>
      </c>
      <c r="G76" s="53">
        <f t="shared" si="17"/>
        <v>6.1349693251533744E-3</v>
      </c>
      <c r="H76" s="48"/>
      <c r="I76" s="52">
        <v>68</v>
      </c>
      <c r="J76" s="51" t="str">
        <f t="array" ref="J76">INDEX($E$9:$E$96,SMALL(IF($F$9:$F$96=K76,ROW($F$9:$F$96)-8),COUNTIF($K$9:K76,K76)))</f>
        <v>Almoxarife</v>
      </c>
      <c r="K76" s="52">
        <f t="shared" si="20"/>
        <v>1</v>
      </c>
      <c r="L76" s="53">
        <f t="shared" si="18"/>
        <v>6.1349693251533744E-3</v>
      </c>
      <c r="M76" s="119"/>
      <c r="N76" s="52">
        <v>68</v>
      </c>
      <c r="O76" s="51" t="str">
        <f t="array" ref="O76">INDEX($E$103:$E$190,SMALL(IF($F$103:$F$190=P76,ROW($F$103:$F$190)-102),COUNTIF($P$9:P76,P76)))</f>
        <v>Supervisor</v>
      </c>
      <c r="P76" s="52">
        <f t="shared" si="21"/>
        <v>0</v>
      </c>
      <c r="Q76" s="53">
        <f t="shared" si="19"/>
        <v>0</v>
      </c>
      <c r="R76" s="48"/>
      <c r="S76" s="48"/>
      <c r="T76" s="48"/>
      <c r="U76" s="48"/>
      <c r="V76" s="48"/>
      <c r="W76" s="48"/>
      <c r="X76" s="48"/>
      <c r="Y76" s="48"/>
      <c r="Z76" s="48"/>
      <c r="AA76" s="48"/>
      <c r="AB76" s="48"/>
      <c r="AC76" s="48"/>
      <c r="AD76" s="48"/>
      <c r="AE76" s="48"/>
      <c r="AF76" s="163" t="s">
        <v>119</v>
      </c>
      <c r="AG76" s="164">
        <v>3000</v>
      </c>
      <c r="AH76" s="162"/>
      <c r="AI76" s="162"/>
      <c r="AJ76" s="162"/>
      <c r="AK76" s="162"/>
      <c r="AL76" s="162"/>
      <c r="AM76" s="48"/>
      <c r="AN76" s="48"/>
      <c r="AO76" s="156" t="s">
        <v>1182</v>
      </c>
      <c r="AP76" s="315" t="s">
        <v>1262</v>
      </c>
      <c r="AQ76" s="316"/>
      <c r="AR76" s="48"/>
      <c r="AS76" s="48"/>
      <c r="AT76" s="48"/>
      <c r="AU76" s="48"/>
      <c r="AV76" s="48"/>
      <c r="AW76" s="48"/>
      <c r="AX76" s="48"/>
      <c r="AY76" s="48"/>
    </row>
    <row r="77" spans="2:51" x14ac:dyDescent="0.2">
      <c r="B77" s="152"/>
      <c r="C77" s="152"/>
      <c r="D77" s="87"/>
      <c r="E77" s="51" t="str">
        <f>Tabulacao!BR195</f>
        <v>Diretor de Projetos</v>
      </c>
      <c r="F77" s="52">
        <f>COUNTIF(Tabulacao!$BR:$BR,'1Emp'!$E77)</f>
        <v>1</v>
      </c>
      <c r="G77" s="53">
        <f t="shared" si="17"/>
        <v>6.1349693251533744E-3</v>
      </c>
      <c r="H77" s="48"/>
      <c r="I77" s="52">
        <v>69</v>
      </c>
      <c r="J77" s="51" t="str">
        <f t="array" ref="J77">INDEX($E$9:$E$96,SMALL(IF($F$9:$F$96=K77,ROW($F$9:$F$96)-8),COUNTIF($K$9:K77,K77)))</f>
        <v>Diretor de Projetos</v>
      </c>
      <c r="K77" s="52">
        <f t="shared" si="20"/>
        <v>1</v>
      </c>
      <c r="L77" s="53">
        <f t="shared" si="18"/>
        <v>6.1349693251533744E-3</v>
      </c>
      <c r="M77" s="119"/>
      <c r="N77" s="52">
        <v>69</v>
      </c>
      <c r="O77" s="51" t="str">
        <f t="array" ref="O77">INDEX($E$103:$E$190,SMALL(IF($F$103:$F$190=P77,ROW($F$103:$F$190)-102),COUNTIF($P$9:P77,P77)))</f>
        <v>Executor de Serviços Básicos</v>
      </c>
      <c r="P77" s="52">
        <f t="shared" si="21"/>
        <v>0</v>
      </c>
      <c r="Q77" s="53">
        <f t="shared" si="19"/>
        <v>0</v>
      </c>
      <c r="R77" s="48"/>
      <c r="S77" s="48"/>
      <c r="T77" s="48"/>
      <c r="U77" s="48"/>
      <c r="V77" s="48"/>
      <c r="W77" s="48"/>
      <c r="X77" s="48"/>
      <c r="Y77" s="48"/>
      <c r="Z77" s="48"/>
      <c r="AA77" s="48"/>
      <c r="AB77" s="48"/>
      <c r="AC77" s="48"/>
      <c r="AD77" s="48"/>
      <c r="AE77" s="48"/>
      <c r="AF77" s="163" t="s">
        <v>119</v>
      </c>
      <c r="AG77" s="164">
        <v>2000</v>
      </c>
      <c r="AH77" s="162"/>
      <c r="AI77" s="162"/>
      <c r="AJ77" s="162"/>
      <c r="AK77" s="162"/>
      <c r="AL77" s="162"/>
      <c r="AM77" s="48"/>
      <c r="AN77" s="48"/>
      <c r="AO77" s="48"/>
      <c r="AP77" s="48"/>
      <c r="AQ77" s="48"/>
      <c r="AR77" s="48"/>
      <c r="AS77" s="48"/>
      <c r="AT77" s="48"/>
      <c r="AU77" s="48"/>
      <c r="AV77" s="48"/>
      <c r="AW77" s="48"/>
      <c r="AX77" s="48"/>
      <c r="AY77" s="48"/>
    </row>
    <row r="78" spans="2:51" x14ac:dyDescent="0.2">
      <c r="B78" s="152"/>
      <c r="C78" s="152"/>
      <c r="D78" s="87"/>
      <c r="E78" s="51" t="str">
        <f>Tabulacao!BR196</f>
        <v>Assessor de Diretoria</v>
      </c>
      <c r="F78" s="52">
        <f>COUNTIF(Tabulacao!$BR:$BR,'1Emp'!$E78)</f>
        <v>1</v>
      </c>
      <c r="G78" s="53">
        <f t="shared" si="17"/>
        <v>6.1349693251533744E-3</v>
      </c>
      <c r="H78" s="48"/>
      <c r="I78" s="52">
        <v>70</v>
      </c>
      <c r="J78" s="51" t="str">
        <f t="array" ref="J78">INDEX($E$9:$E$96,SMALL(IF($F$9:$F$96=K78,ROW($F$9:$F$96)-8),COUNTIF($K$9:K78,K78)))</f>
        <v>Assessor de Diretoria</v>
      </c>
      <c r="K78" s="52">
        <f t="shared" si="20"/>
        <v>1</v>
      </c>
      <c r="L78" s="53">
        <f t="shared" si="18"/>
        <v>6.1349693251533744E-3</v>
      </c>
      <c r="M78" s="119"/>
      <c r="N78" s="52">
        <v>70</v>
      </c>
      <c r="O78" s="51" t="str">
        <f t="array" ref="O78">INDEX($E$103:$E$190,SMALL(IF($F$103:$F$190=P78,ROW($F$103:$F$190)-102),COUNTIF($P$9:P78,P78)))</f>
        <v>Almoxarife</v>
      </c>
      <c r="P78" s="52">
        <f t="shared" si="21"/>
        <v>0</v>
      </c>
      <c r="Q78" s="53">
        <f t="shared" si="19"/>
        <v>0</v>
      </c>
      <c r="R78" s="48"/>
      <c r="S78" s="48"/>
      <c r="T78" s="48"/>
      <c r="U78" s="48"/>
      <c r="V78" s="48"/>
      <c r="W78" s="48"/>
      <c r="X78" s="48"/>
      <c r="Y78" s="48"/>
      <c r="Z78" s="48"/>
      <c r="AA78" s="48"/>
      <c r="AB78" s="48"/>
      <c r="AC78" s="48"/>
      <c r="AD78" s="48"/>
      <c r="AE78" s="48"/>
      <c r="AF78" s="163" t="s">
        <v>119</v>
      </c>
      <c r="AG78" s="164">
        <v>2700</v>
      </c>
      <c r="AH78" s="162"/>
      <c r="AI78" s="162"/>
      <c r="AJ78" s="162"/>
      <c r="AK78" s="162"/>
      <c r="AL78" s="162"/>
      <c r="AM78" s="273"/>
      <c r="AN78" s="341" t="s">
        <v>1159</v>
      </c>
      <c r="AO78" s="261" t="s">
        <v>120</v>
      </c>
      <c r="AP78" s="48"/>
      <c r="AQ78" s="48"/>
      <c r="AR78" s="48"/>
      <c r="AS78" s="48"/>
      <c r="AT78" s="48"/>
      <c r="AU78" s="48"/>
      <c r="AV78" s="48"/>
      <c r="AW78" s="48"/>
      <c r="AX78" s="48"/>
      <c r="AY78" s="48"/>
    </row>
    <row r="79" spans="2:51" ht="38.25" x14ac:dyDescent="0.2">
      <c r="B79" s="152"/>
      <c r="C79" s="152"/>
      <c r="D79" s="87"/>
      <c r="E79" s="51" t="str">
        <f>Tabulacao!BR207</f>
        <v>Auxiliar de Reservas</v>
      </c>
      <c r="F79" s="52">
        <f>COUNTIF(Tabulacao!$BR:$BR,'1Emp'!$E79)</f>
        <v>1</v>
      </c>
      <c r="G79" s="53">
        <f t="shared" si="17"/>
        <v>6.1349693251533744E-3</v>
      </c>
      <c r="H79" s="48"/>
      <c r="I79" s="52">
        <v>71</v>
      </c>
      <c r="J79" s="51" t="str">
        <f t="array" ref="J79">INDEX($E$9:$E$96,SMALL(IF($F$9:$F$96=K79,ROW($F$9:$F$96)-8),COUNTIF($K$9:K79,K79)))</f>
        <v>Auxiliar de Reservas</v>
      </c>
      <c r="K79" s="52">
        <f t="shared" si="20"/>
        <v>1</v>
      </c>
      <c r="L79" s="53">
        <f t="shared" si="18"/>
        <v>6.1349693251533744E-3</v>
      </c>
      <c r="M79" s="119"/>
      <c r="N79" s="52">
        <v>71</v>
      </c>
      <c r="O79" s="51" t="str">
        <f t="array" ref="O79">INDEX($E$103:$E$190,SMALL(IF($F$103:$F$190=P79,ROW($F$103:$F$190)-102),COUNTIF($P$9:P79,P79)))</f>
        <v>Diretor de Projetos</v>
      </c>
      <c r="P79" s="52">
        <f t="shared" si="21"/>
        <v>0</v>
      </c>
      <c r="Q79" s="53">
        <f t="shared" si="19"/>
        <v>0</v>
      </c>
      <c r="R79" s="48"/>
      <c r="S79" s="48"/>
      <c r="T79" s="48"/>
      <c r="U79" s="48"/>
      <c r="V79" s="48"/>
      <c r="W79" s="48"/>
      <c r="X79" s="48"/>
      <c r="Y79" s="48"/>
      <c r="Z79" s="48"/>
      <c r="AA79" s="48"/>
      <c r="AB79" s="48"/>
      <c r="AC79" s="48"/>
      <c r="AD79" s="48"/>
      <c r="AE79" s="48"/>
      <c r="AF79" s="163" t="s">
        <v>119</v>
      </c>
      <c r="AG79" s="164">
        <v>3200</v>
      </c>
      <c r="AH79" s="162"/>
      <c r="AI79" s="162"/>
      <c r="AJ79" s="162"/>
      <c r="AK79" s="162"/>
      <c r="AL79" s="162"/>
      <c r="AM79" s="48"/>
      <c r="AN79" s="48"/>
      <c r="AO79" s="186" t="s">
        <v>987</v>
      </c>
      <c r="AP79" s="187" t="str">
        <f>AO78</f>
        <v>Bacharelado em Sistemas de Informação</v>
      </c>
      <c r="AQ79" s="187" t="str">
        <f>AO78</f>
        <v>Bacharelado em Sistemas de Informação</v>
      </c>
      <c r="AR79" s="187" t="s">
        <v>156</v>
      </c>
      <c r="AS79" s="187" t="s">
        <v>156</v>
      </c>
      <c r="AT79" s="48"/>
      <c r="AU79" s="48"/>
      <c r="AV79" s="48"/>
      <c r="AW79" s="48"/>
      <c r="AX79" s="48"/>
      <c r="AY79" s="48"/>
    </row>
    <row r="80" spans="2:51" x14ac:dyDescent="0.2">
      <c r="B80" s="152"/>
      <c r="C80" s="152"/>
      <c r="D80" s="87"/>
      <c r="E80" s="51" t="str">
        <f>Tabulacao!BR208</f>
        <v>Programador Web</v>
      </c>
      <c r="F80" s="52">
        <f>COUNTIF(Tabulacao!$BR:$BR,'1Emp'!$E80)</f>
        <v>1</v>
      </c>
      <c r="G80" s="53">
        <f t="shared" si="17"/>
        <v>6.1349693251533744E-3</v>
      </c>
      <c r="H80" s="48"/>
      <c r="I80" s="52">
        <v>72</v>
      </c>
      <c r="J80" s="51" t="str">
        <f t="array" ref="J80">INDEX($E$9:$E$96,SMALL(IF($F$9:$F$96=K80,ROW($F$9:$F$96)-8),COUNTIF($K$9:K80,K80)))</f>
        <v>Programador Web</v>
      </c>
      <c r="K80" s="52">
        <f t="shared" si="20"/>
        <v>1</v>
      </c>
      <c r="L80" s="53">
        <f t="shared" si="18"/>
        <v>6.1349693251533744E-3</v>
      </c>
      <c r="M80" s="119"/>
      <c r="N80" s="52">
        <v>72</v>
      </c>
      <c r="O80" s="51" t="str">
        <f t="array" ref="O80">INDEX($E$103:$E$190,SMALL(IF($F$103:$F$190=P80,ROW($F$103:$F$190)-102),COUNTIF($P$9:P80,P80)))</f>
        <v>Auxiliar de Reservas</v>
      </c>
      <c r="P80" s="52">
        <f t="shared" si="21"/>
        <v>0</v>
      </c>
      <c r="Q80" s="53">
        <f t="shared" si="19"/>
        <v>0</v>
      </c>
      <c r="R80" s="48"/>
      <c r="S80" s="48"/>
      <c r="T80" s="48"/>
      <c r="U80" s="48"/>
      <c r="V80" s="48"/>
      <c r="W80" s="48"/>
      <c r="X80" s="48"/>
      <c r="Y80" s="48"/>
      <c r="Z80" s="48"/>
      <c r="AA80" s="48"/>
      <c r="AB80" s="48"/>
      <c r="AC80" s="48"/>
      <c r="AD80" s="48"/>
      <c r="AE80" s="48"/>
      <c r="AF80" s="163" t="s">
        <v>119</v>
      </c>
      <c r="AG80" s="164">
        <v>5000</v>
      </c>
      <c r="AH80" s="162"/>
      <c r="AI80" s="162"/>
      <c r="AJ80" s="162"/>
      <c r="AK80" s="162"/>
      <c r="AL80" s="162"/>
      <c r="AM80" s="48"/>
      <c r="AN80" s="48"/>
      <c r="AO80" s="60">
        <f t="shared" ref="AO80:AO84" si="22">AO57</f>
        <v>1</v>
      </c>
      <c r="AP80" s="52">
        <f>IFERROR(COUNTIFS(Respostas_Formatadas!$C:$C,$AO$78,Respostas_Formatadas!$AK:$AK,'1Emp'!$AO80),"-")</f>
        <v>1</v>
      </c>
      <c r="AQ80" s="53">
        <f>IFERROR(AP80/SUM($AP$80:$AP$84),"-")</f>
        <v>5.5555555555555552E-2</v>
      </c>
      <c r="AR80" s="52">
        <f t="shared" ref="AR80:AS84" si="23">AP57</f>
        <v>27</v>
      </c>
      <c r="AS80" s="53">
        <f t="shared" si="23"/>
        <v>0.15517241379310345</v>
      </c>
      <c r="AT80" s="48"/>
      <c r="AU80" s="48"/>
      <c r="AV80" s="48"/>
      <c r="AW80" s="48"/>
      <c r="AX80" s="48"/>
      <c r="AY80" s="48"/>
    </row>
    <row r="81" spans="2:51" x14ac:dyDescent="0.2">
      <c r="B81" s="152"/>
      <c r="C81" s="152"/>
      <c r="D81" s="87"/>
      <c r="E81" s="51" t="str">
        <f>Tabulacao!BR211</f>
        <v>Secretário</v>
      </c>
      <c r="F81" s="52">
        <f>COUNTIF(Tabulacao!$BR:$BR,'1Emp'!$E81)</f>
        <v>1</v>
      </c>
      <c r="G81" s="53">
        <f t="shared" si="17"/>
        <v>6.1349693251533744E-3</v>
      </c>
      <c r="H81" s="48"/>
      <c r="I81" s="52">
        <v>73</v>
      </c>
      <c r="J81" s="51" t="str">
        <f t="array" ref="J81">INDEX($E$9:$E$96,SMALL(IF($F$9:$F$96=K81,ROW($F$9:$F$96)-8),COUNTIF($K$9:K81,K81)))</f>
        <v>Secretário</v>
      </c>
      <c r="K81" s="52">
        <f t="shared" si="20"/>
        <v>1</v>
      </c>
      <c r="L81" s="53">
        <f t="shared" si="18"/>
        <v>6.1349693251533744E-3</v>
      </c>
      <c r="M81" s="119"/>
      <c r="N81" s="52">
        <v>73</v>
      </c>
      <c r="O81" s="51" t="str">
        <f t="array" ref="O81">INDEX($E$103:$E$190,SMALL(IF($F$103:$F$190=P81,ROW($F$103:$F$190)-102),COUNTIF($P$9:P81,P81)))</f>
        <v>Programador Web</v>
      </c>
      <c r="P81" s="52">
        <f t="shared" si="21"/>
        <v>0</v>
      </c>
      <c r="Q81" s="53">
        <f t="shared" si="19"/>
        <v>0</v>
      </c>
      <c r="R81" s="48"/>
      <c r="S81" s="48"/>
      <c r="T81" s="48"/>
      <c r="U81" s="48"/>
      <c r="V81" s="48"/>
      <c r="W81" s="48"/>
      <c r="X81" s="48"/>
      <c r="Y81" s="48"/>
      <c r="Z81" s="48"/>
      <c r="AA81" s="48"/>
      <c r="AB81" s="48"/>
      <c r="AC81" s="48"/>
      <c r="AD81" s="48"/>
      <c r="AE81" s="48"/>
      <c r="AF81" s="163" t="s">
        <v>120</v>
      </c>
      <c r="AG81" s="164">
        <v>2600</v>
      </c>
      <c r="AH81" s="162"/>
      <c r="AI81" s="162"/>
      <c r="AJ81" s="162"/>
      <c r="AK81" s="162"/>
      <c r="AL81" s="162"/>
      <c r="AM81" s="48"/>
      <c r="AN81" s="48"/>
      <c r="AO81" s="60">
        <f t="shared" si="22"/>
        <v>2</v>
      </c>
      <c r="AP81" s="52">
        <f>IFERROR(COUNTIFS(Respostas_Formatadas!$C:$C,$AO$78,Respostas_Formatadas!$AK:$AK,'1Emp'!$AO81),"-")</f>
        <v>2</v>
      </c>
      <c r="AQ81" s="53">
        <f>IFERROR(AP81/SUM($AP$80:$AP$84),"-")</f>
        <v>0.1111111111111111</v>
      </c>
      <c r="AR81" s="52">
        <f t="shared" si="23"/>
        <v>27</v>
      </c>
      <c r="AS81" s="53">
        <f t="shared" si="23"/>
        <v>0.15517241379310345</v>
      </c>
      <c r="AT81" s="48"/>
      <c r="AU81" s="48"/>
      <c r="AV81" s="48"/>
      <c r="AW81" s="48"/>
      <c r="AX81" s="48"/>
      <c r="AY81" s="48"/>
    </row>
    <row r="82" spans="2:51" x14ac:dyDescent="0.2">
      <c r="B82" s="152"/>
      <c r="C82" s="152"/>
      <c r="D82" s="87"/>
      <c r="E82" s="51" t="str">
        <f>Tabulacao!BR217</f>
        <v>Técnico em Eletroeletrônica</v>
      </c>
      <c r="F82" s="52">
        <f>COUNTIF(Tabulacao!$BR:$BR,'1Emp'!$E82)</f>
        <v>1</v>
      </c>
      <c r="G82" s="53">
        <f t="shared" si="17"/>
        <v>6.1349693251533744E-3</v>
      </c>
      <c r="H82" s="48"/>
      <c r="I82" s="52">
        <v>74</v>
      </c>
      <c r="J82" s="51" t="str">
        <f t="array" ref="J82">INDEX($E$9:$E$96,SMALL(IF($F$9:$F$96=K82,ROW($F$9:$F$96)-8),COUNTIF($K$9:K82,K82)))</f>
        <v>Técnico em Eletroeletrônica</v>
      </c>
      <c r="K82" s="52">
        <f t="shared" si="20"/>
        <v>1</v>
      </c>
      <c r="L82" s="53">
        <f t="shared" si="18"/>
        <v>6.1349693251533744E-3</v>
      </c>
      <c r="M82" s="119"/>
      <c r="N82" s="52">
        <v>74</v>
      </c>
      <c r="O82" s="51" t="str">
        <f t="array" ref="O82">INDEX($E$103:$E$190,SMALL(IF($F$103:$F$190=P82,ROW($F$103:$F$190)-102),COUNTIF($P$9:P82,P82)))</f>
        <v>Secretário</v>
      </c>
      <c r="P82" s="52">
        <f t="shared" si="21"/>
        <v>0</v>
      </c>
      <c r="Q82" s="53">
        <f t="shared" si="19"/>
        <v>0</v>
      </c>
      <c r="R82" s="48"/>
      <c r="S82" s="48"/>
      <c r="T82" s="48"/>
      <c r="U82" s="48"/>
      <c r="V82" s="48"/>
      <c r="W82" s="48"/>
      <c r="X82" s="48"/>
      <c r="Y82" s="48"/>
      <c r="Z82" s="48"/>
      <c r="AA82" s="48"/>
      <c r="AB82" s="48"/>
      <c r="AC82" s="48"/>
      <c r="AD82" s="48"/>
      <c r="AE82" s="48"/>
      <c r="AF82" s="163" t="s">
        <v>120</v>
      </c>
      <c r="AG82" s="164">
        <v>2400</v>
      </c>
      <c r="AH82" s="162"/>
      <c r="AI82" s="162"/>
      <c r="AJ82" s="162"/>
      <c r="AK82" s="162"/>
      <c r="AL82" s="162"/>
      <c r="AM82" s="48"/>
      <c r="AN82" s="48"/>
      <c r="AO82" s="60">
        <f t="shared" si="22"/>
        <v>3</v>
      </c>
      <c r="AP82" s="52">
        <f>IFERROR(COUNTIFS(Respostas_Formatadas!$C:$C,$AO$78,Respostas_Formatadas!$AK:$AK,'1Emp'!$AO82),"-")</f>
        <v>2</v>
      </c>
      <c r="AQ82" s="53">
        <f>IFERROR(AP82/SUM($AP$80:$AP$84),"-")</f>
        <v>0.1111111111111111</v>
      </c>
      <c r="AR82" s="52">
        <f t="shared" si="23"/>
        <v>39</v>
      </c>
      <c r="AS82" s="53">
        <f t="shared" si="23"/>
        <v>0.22413793103448276</v>
      </c>
      <c r="AT82" s="48"/>
      <c r="AU82" s="48"/>
      <c r="AV82" s="48"/>
      <c r="AW82" s="48"/>
      <c r="AX82" s="48"/>
      <c r="AY82" s="48"/>
    </row>
    <row r="83" spans="2:51" x14ac:dyDescent="0.2">
      <c r="B83" s="152"/>
      <c r="C83" s="152"/>
      <c r="D83" s="87"/>
      <c r="E83" s="51" t="str">
        <f>Tabulacao!BR223</f>
        <v>Técnico em Telecomunicações</v>
      </c>
      <c r="F83" s="52">
        <f>COUNTIF(Tabulacao!$BR:$BR,'1Emp'!$E83)</f>
        <v>1</v>
      </c>
      <c r="G83" s="53">
        <f t="shared" si="17"/>
        <v>6.1349693251533744E-3</v>
      </c>
      <c r="H83" s="48"/>
      <c r="I83" s="52">
        <v>75</v>
      </c>
      <c r="J83" s="51" t="str">
        <f t="array" ref="J83">INDEX($E$9:$E$96,SMALL(IF($F$9:$F$96=K83,ROW($F$9:$F$96)-8),COUNTIF($K$9:K83,K83)))</f>
        <v>Técnico em Telecomunicações</v>
      </c>
      <c r="K83" s="52">
        <f t="shared" si="20"/>
        <v>1</v>
      </c>
      <c r="L83" s="53">
        <f t="shared" si="18"/>
        <v>6.1349693251533744E-3</v>
      </c>
      <c r="M83" s="119"/>
      <c r="N83" s="52">
        <v>75</v>
      </c>
      <c r="O83" s="51" t="str">
        <f t="array" ref="O83">INDEX($E$103:$E$190,SMALL(IF($F$103:$F$190=P83,ROW($F$103:$F$190)-102),COUNTIF($P$9:P83,P83)))</f>
        <v>Técnico em Eletroeletrônica</v>
      </c>
      <c r="P83" s="52">
        <f t="shared" si="21"/>
        <v>0</v>
      </c>
      <c r="Q83" s="53">
        <f t="shared" si="19"/>
        <v>0</v>
      </c>
      <c r="R83" s="48"/>
      <c r="S83" s="48"/>
      <c r="T83" s="48"/>
      <c r="U83" s="48"/>
      <c r="V83" s="48"/>
      <c r="W83" s="48"/>
      <c r="X83" s="48"/>
      <c r="Y83" s="48"/>
      <c r="Z83" s="48"/>
      <c r="AA83" s="48"/>
      <c r="AB83" s="48"/>
      <c r="AC83" s="48"/>
      <c r="AD83" s="48"/>
      <c r="AE83" s="48"/>
      <c r="AF83" s="163" t="s">
        <v>120</v>
      </c>
      <c r="AG83" s="164">
        <v>2500</v>
      </c>
      <c r="AH83" s="162"/>
      <c r="AI83" s="162"/>
      <c r="AJ83" s="162"/>
      <c r="AK83" s="162"/>
      <c r="AL83" s="162"/>
      <c r="AM83" s="48"/>
      <c r="AN83" s="48"/>
      <c r="AO83" s="60">
        <f t="shared" si="22"/>
        <v>4</v>
      </c>
      <c r="AP83" s="52">
        <f>IFERROR(COUNTIFS(Respostas_Formatadas!$C:$C,$AO$78,Respostas_Formatadas!$AK:$AK,'1Emp'!$AO83),"-")</f>
        <v>4</v>
      </c>
      <c r="AQ83" s="53">
        <f>IFERROR(AP83/SUM($AP$80:$AP$84),"-")</f>
        <v>0.22222222222222221</v>
      </c>
      <c r="AR83" s="52">
        <f t="shared" si="23"/>
        <v>42</v>
      </c>
      <c r="AS83" s="53">
        <f t="shared" si="23"/>
        <v>0.2413793103448276</v>
      </c>
      <c r="AT83" s="48"/>
      <c r="AU83" s="48"/>
      <c r="AV83" s="48"/>
      <c r="AW83" s="48"/>
      <c r="AX83" s="48"/>
      <c r="AY83" s="48"/>
    </row>
    <row r="84" spans="2:51" x14ac:dyDescent="0.2">
      <c r="B84" s="152"/>
      <c r="C84" s="152"/>
      <c r="D84" s="87"/>
      <c r="E84" s="51" t="str">
        <f>Tabulacao!BR233</f>
        <v>Assistente Operacional</v>
      </c>
      <c r="F84" s="52">
        <f>COUNTIF(Tabulacao!$BR:$BR,'1Emp'!$E84)</f>
        <v>1</v>
      </c>
      <c r="G84" s="53">
        <f t="shared" si="17"/>
        <v>6.1349693251533744E-3</v>
      </c>
      <c r="H84" s="48"/>
      <c r="I84" s="52">
        <v>76</v>
      </c>
      <c r="J84" s="51" t="str">
        <f t="array" ref="J84">INDEX($E$9:$E$96,SMALL(IF($F$9:$F$96=K84,ROW($F$9:$F$96)-8),COUNTIF($K$9:K84,K84)))</f>
        <v>Assistente Operacional</v>
      </c>
      <c r="K84" s="52">
        <f t="shared" si="20"/>
        <v>1</v>
      </c>
      <c r="L84" s="53">
        <f t="shared" si="18"/>
        <v>6.1349693251533744E-3</v>
      </c>
      <c r="M84" s="119"/>
      <c r="N84" s="52">
        <v>76</v>
      </c>
      <c r="O84" s="51" t="str">
        <f t="array" ref="O84">INDEX($E$103:$E$190,SMALL(IF($F$103:$F$190=P84,ROW($F$103:$F$190)-102),COUNTIF($P$9:P84,P84)))</f>
        <v>Técnico em Telecomunicações</v>
      </c>
      <c r="P84" s="52">
        <f t="shared" si="21"/>
        <v>0</v>
      </c>
      <c r="Q84" s="53">
        <f t="shared" si="19"/>
        <v>0</v>
      </c>
      <c r="R84" s="48"/>
      <c r="S84" s="48"/>
      <c r="T84" s="48"/>
      <c r="U84" s="48"/>
      <c r="V84" s="48"/>
      <c r="W84" s="48"/>
      <c r="X84" s="48"/>
      <c r="Y84" s="48"/>
      <c r="Z84" s="48"/>
      <c r="AA84" s="48"/>
      <c r="AB84" s="48"/>
      <c r="AC84" s="48"/>
      <c r="AD84" s="48"/>
      <c r="AE84" s="48"/>
      <c r="AF84" s="163" t="s">
        <v>120</v>
      </c>
      <c r="AG84" s="164">
        <v>8000</v>
      </c>
      <c r="AH84" s="162"/>
      <c r="AI84" s="162"/>
      <c r="AJ84" s="162"/>
      <c r="AK84" s="162"/>
      <c r="AL84" s="162"/>
      <c r="AM84" s="48"/>
      <c r="AN84" s="48"/>
      <c r="AO84" s="60">
        <f t="shared" si="22"/>
        <v>5</v>
      </c>
      <c r="AP84" s="52">
        <f>IFERROR(COUNTIFS(Respostas_Formatadas!$C:$C,$AO$78,Respostas_Formatadas!$AK:$AK,'1Emp'!$AO84),"-")</f>
        <v>9</v>
      </c>
      <c r="AQ84" s="53">
        <f>IFERROR(AP84/SUM($AP$80:$AP$84),"-")</f>
        <v>0.5</v>
      </c>
      <c r="AR84" s="52">
        <f t="shared" si="23"/>
        <v>39</v>
      </c>
      <c r="AS84" s="53">
        <f t="shared" si="23"/>
        <v>0.22413793103448276</v>
      </c>
      <c r="AT84" s="48"/>
      <c r="AU84" s="48"/>
      <c r="AV84" s="48"/>
      <c r="AW84" s="48"/>
      <c r="AX84" s="48"/>
      <c r="AY84" s="48"/>
    </row>
    <row r="85" spans="2:51" x14ac:dyDescent="0.2">
      <c r="B85" s="152"/>
      <c r="C85" s="152"/>
      <c r="D85" s="87"/>
      <c r="E85" s="51" t="str">
        <f>Tabulacao!BR235</f>
        <v>Policial</v>
      </c>
      <c r="F85" s="52">
        <f>COUNTIF(Tabulacao!$BR:$BR,'1Emp'!$E85)</f>
        <v>1</v>
      </c>
      <c r="G85" s="53">
        <f t="shared" si="17"/>
        <v>6.1349693251533744E-3</v>
      </c>
      <c r="H85" s="48"/>
      <c r="I85" s="52">
        <v>77</v>
      </c>
      <c r="J85" s="51" t="str">
        <f t="array" ref="J85">INDEX($E$9:$E$96,SMALL(IF($F$9:$F$96=K85,ROW($F$9:$F$96)-8),COUNTIF($K$9:K85,K85)))</f>
        <v>Policial</v>
      </c>
      <c r="K85" s="52">
        <f t="shared" si="20"/>
        <v>1</v>
      </c>
      <c r="L85" s="53">
        <f t="shared" si="18"/>
        <v>6.1349693251533744E-3</v>
      </c>
      <c r="M85" s="119"/>
      <c r="N85" s="52">
        <v>77</v>
      </c>
      <c r="O85" s="51" t="str">
        <f t="array" ref="O85">INDEX($E$103:$E$190,SMALL(IF($F$103:$F$190=P85,ROW($F$103:$F$190)-102),COUNTIF($P$9:P85,P85)))</f>
        <v>Assistente Operacional</v>
      </c>
      <c r="P85" s="52">
        <f t="shared" si="21"/>
        <v>0</v>
      </c>
      <c r="Q85" s="53">
        <f t="shared" si="19"/>
        <v>0</v>
      </c>
      <c r="R85" s="48"/>
      <c r="S85" s="48"/>
      <c r="T85" s="48"/>
      <c r="U85" s="48"/>
      <c r="V85" s="48"/>
      <c r="W85" s="48"/>
      <c r="X85" s="48"/>
      <c r="Y85" s="48"/>
      <c r="Z85" s="48"/>
      <c r="AA85" s="48"/>
      <c r="AB85" s="48"/>
      <c r="AC85" s="48"/>
      <c r="AD85" s="48"/>
      <c r="AE85" s="48"/>
      <c r="AF85" s="163" t="s">
        <v>120</v>
      </c>
      <c r="AG85" s="164">
        <v>2700</v>
      </c>
      <c r="AH85" s="162"/>
      <c r="AI85" s="162"/>
      <c r="AJ85" s="162"/>
      <c r="AK85" s="162"/>
      <c r="AL85" s="162"/>
      <c r="AM85" s="48"/>
      <c r="AN85" s="48"/>
      <c r="AO85" s="148" t="s">
        <v>621</v>
      </c>
      <c r="AP85" s="192">
        <f>SUM(AP80:AP84)</f>
        <v>18</v>
      </c>
      <c r="AQ85" s="193">
        <f>SUM(AQ80:AQ84)</f>
        <v>1</v>
      </c>
      <c r="AR85" s="192">
        <f>SUM(AR80:AR84)</f>
        <v>174</v>
      </c>
      <c r="AS85" s="193">
        <f>SUM(AS80:AS84)</f>
        <v>1</v>
      </c>
      <c r="AT85" s="48"/>
      <c r="AU85" s="48"/>
      <c r="AV85" s="48"/>
      <c r="AW85" s="48"/>
      <c r="AX85" s="48"/>
      <c r="AY85" s="48"/>
    </row>
    <row r="86" spans="2:51" x14ac:dyDescent="0.2">
      <c r="B86" s="152"/>
      <c r="C86" s="152"/>
      <c r="D86" s="87"/>
      <c r="E86" s="51" t="str">
        <f>Tabulacao!BR244</f>
        <v>Auxiliar em Administração</v>
      </c>
      <c r="F86" s="52">
        <f>COUNTIF(Tabulacao!$BR:$BR,'1Emp'!$E86)</f>
        <v>1</v>
      </c>
      <c r="G86" s="53">
        <f t="shared" si="17"/>
        <v>6.1349693251533744E-3</v>
      </c>
      <c r="H86" s="48"/>
      <c r="I86" s="52">
        <v>78</v>
      </c>
      <c r="J86" s="51" t="str">
        <f t="array" ref="J86">INDEX($E$9:$E$96,SMALL(IF($F$9:$F$96=K86,ROW($F$9:$F$96)-8),COUNTIF($K$9:K86,K86)))</f>
        <v>Auxiliar em Administração</v>
      </c>
      <c r="K86" s="52">
        <f t="shared" si="20"/>
        <v>1</v>
      </c>
      <c r="L86" s="53">
        <f t="shared" si="18"/>
        <v>6.1349693251533744E-3</v>
      </c>
      <c r="M86" s="119"/>
      <c r="N86" s="52">
        <v>78</v>
      </c>
      <c r="O86" s="51" t="str">
        <f t="array" ref="O86">INDEX($E$103:$E$190,SMALL(IF($F$103:$F$190=P86,ROW($F$103:$F$190)-102),COUNTIF($P$9:P86,P86)))</f>
        <v>Policial</v>
      </c>
      <c r="P86" s="52">
        <f t="shared" si="21"/>
        <v>0</v>
      </c>
      <c r="Q86" s="53">
        <f t="shared" si="19"/>
        <v>0</v>
      </c>
      <c r="R86" s="48"/>
      <c r="S86" s="48"/>
      <c r="T86" s="48"/>
      <c r="U86" s="48"/>
      <c r="V86" s="48"/>
      <c r="W86" s="48"/>
      <c r="X86" s="48"/>
      <c r="Y86" s="48"/>
      <c r="Z86" s="48"/>
      <c r="AA86" s="48"/>
      <c r="AB86" s="48"/>
      <c r="AC86" s="48"/>
      <c r="AD86" s="48"/>
      <c r="AE86" s="48"/>
      <c r="AF86" s="163" t="s">
        <v>120</v>
      </c>
      <c r="AG86" s="164">
        <v>1500</v>
      </c>
      <c r="AH86" s="162"/>
      <c r="AI86" s="162"/>
      <c r="AJ86" s="162"/>
      <c r="AK86" s="162"/>
      <c r="AL86" s="162"/>
      <c r="AM86" s="48"/>
      <c r="AN86" s="48"/>
      <c r="AO86" s="199" t="str">
        <f>AO63</f>
        <v>Média</v>
      </c>
      <c r="AP86" s="207">
        <f>SUMPRODUCT($AO$80:$AO$84,$AP$80:$AP$84)/SUM($AP$80:$AP$84)</f>
        <v>4</v>
      </c>
      <c r="AQ86" s="204" t="s">
        <v>933</v>
      </c>
      <c r="AR86" s="207">
        <f>AP63</f>
        <v>3.2241379310344827</v>
      </c>
      <c r="AS86" s="204" t="s">
        <v>933</v>
      </c>
      <c r="AT86" s="48"/>
      <c r="AU86" s="48"/>
      <c r="AV86" s="48"/>
      <c r="AW86" s="48"/>
      <c r="AX86" s="48"/>
      <c r="AY86" s="48"/>
    </row>
    <row r="87" spans="2:51" x14ac:dyDescent="0.2">
      <c r="B87" s="152"/>
      <c r="C87" s="152"/>
      <c r="D87" s="87"/>
      <c r="E87" s="51" t="str">
        <f>Tabulacao!BR248</f>
        <v>Turismólogo</v>
      </c>
      <c r="F87" s="52">
        <f>COUNTIF(Tabulacao!$BR:$BR,'1Emp'!$E87)</f>
        <v>1</v>
      </c>
      <c r="G87" s="53">
        <f t="shared" si="17"/>
        <v>6.1349693251533744E-3</v>
      </c>
      <c r="H87" s="48"/>
      <c r="I87" s="52">
        <v>79</v>
      </c>
      <c r="J87" s="51" t="str">
        <f t="array" ref="J87">INDEX($E$9:$E$96,SMALL(IF($F$9:$F$96=K87,ROW($F$9:$F$96)-8),COUNTIF($K$9:K87,K87)))</f>
        <v>Turismólogo</v>
      </c>
      <c r="K87" s="52">
        <f t="shared" si="20"/>
        <v>1</v>
      </c>
      <c r="L87" s="53">
        <f t="shared" si="18"/>
        <v>6.1349693251533744E-3</v>
      </c>
      <c r="M87" s="119"/>
      <c r="N87" s="52">
        <v>79</v>
      </c>
      <c r="O87" s="51" t="str">
        <f t="array" ref="O87">INDEX($E$103:$E$190,SMALL(IF($F$103:$F$190=P87,ROW($F$103:$F$190)-102),COUNTIF($P$9:P87,P87)))</f>
        <v>Turismólogo</v>
      </c>
      <c r="P87" s="52">
        <f t="shared" si="21"/>
        <v>0</v>
      </c>
      <c r="Q87" s="53">
        <f t="shared" si="19"/>
        <v>0</v>
      </c>
      <c r="R87" s="48"/>
      <c r="S87" s="48"/>
      <c r="T87" s="48"/>
      <c r="U87" s="48"/>
      <c r="V87" s="48"/>
      <c r="W87" s="48"/>
      <c r="X87" s="48"/>
      <c r="Y87" s="48"/>
      <c r="Z87" s="48"/>
      <c r="AA87" s="48"/>
      <c r="AB87" s="48"/>
      <c r="AC87" s="48"/>
      <c r="AD87" s="48"/>
      <c r="AE87" s="48"/>
      <c r="AF87" s="163" t="s">
        <v>120</v>
      </c>
      <c r="AG87" s="164">
        <v>2600</v>
      </c>
      <c r="AH87" s="162"/>
      <c r="AI87" s="162"/>
      <c r="AJ87" s="162"/>
      <c r="AK87" s="162"/>
      <c r="AL87" s="162"/>
      <c r="AM87" s="48"/>
      <c r="AN87" s="48"/>
      <c r="AO87" s="199" t="str">
        <f>AO64</f>
        <v>Moda</v>
      </c>
      <c r="AP87" s="208">
        <f>IFERROR(INDEX($AO$80:$AP$84,MATCH(LARGE($AP$80:$AP$84,1),$AP$80:$AP$84,0),1),"-")</f>
        <v>5</v>
      </c>
      <c r="AQ87" s="204" t="s">
        <v>933</v>
      </c>
      <c r="AR87" s="208">
        <f>AP64</f>
        <v>4</v>
      </c>
      <c r="AS87" s="204" t="s">
        <v>933</v>
      </c>
      <c r="AT87" s="48"/>
      <c r="AU87" s="48"/>
      <c r="AV87" s="48"/>
      <c r="AW87" s="48"/>
      <c r="AX87" s="48"/>
      <c r="AY87" s="48"/>
    </row>
    <row r="88" spans="2:51" x14ac:dyDescent="0.2">
      <c r="B88" s="152"/>
      <c r="C88" s="152"/>
      <c r="D88" s="87"/>
      <c r="E88" s="51" t="str">
        <f>Tabulacao!BR251</f>
        <v>Caixa</v>
      </c>
      <c r="F88" s="52">
        <f>COUNTIF(Tabulacao!$BR:$BR,'1Emp'!$E88)</f>
        <v>1</v>
      </c>
      <c r="G88" s="53">
        <f t="shared" si="17"/>
        <v>6.1349693251533744E-3</v>
      </c>
      <c r="H88" s="48"/>
      <c r="I88" s="52">
        <v>80</v>
      </c>
      <c r="J88" s="51" t="str">
        <f t="array" ref="J88">INDEX($E$9:$E$96,SMALL(IF($F$9:$F$96=K88,ROW($F$9:$F$96)-8),COUNTIF($K$9:K88,K88)))</f>
        <v>Caixa</v>
      </c>
      <c r="K88" s="52">
        <f t="shared" si="20"/>
        <v>1</v>
      </c>
      <c r="L88" s="53">
        <f t="shared" si="18"/>
        <v>6.1349693251533744E-3</v>
      </c>
      <c r="M88" s="119"/>
      <c r="N88" s="52">
        <v>80</v>
      </c>
      <c r="O88" s="51" t="str">
        <f t="array" ref="O88">INDEX($E$103:$E$190,SMALL(IF($F$103:$F$190=P88,ROW($F$103:$F$190)-102),COUNTIF($P$9:P88,P88)))</f>
        <v>Caixa</v>
      </c>
      <c r="P88" s="52">
        <f t="shared" si="21"/>
        <v>0</v>
      </c>
      <c r="Q88" s="53">
        <f t="shared" si="19"/>
        <v>0</v>
      </c>
      <c r="R88" s="48"/>
      <c r="S88" s="48"/>
      <c r="T88" s="48"/>
      <c r="U88" s="48"/>
      <c r="V88" s="48"/>
      <c r="W88" s="48"/>
      <c r="X88" s="48"/>
      <c r="Y88" s="48"/>
      <c r="Z88" s="48"/>
      <c r="AA88" s="48"/>
      <c r="AB88" s="48"/>
      <c r="AC88" s="48"/>
      <c r="AD88" s="48"/>
      <c r="AE88" s="48"/>
      <c r="AF88" s="163" t="s">
        <v>120</v>
      </c>
      <c r="AG88" s="164">
        <v>1800</v>
      </c>
      <c r="AH88" s="162"/>
      <c r="AI88" s="162"/>
      <c r="AJ88" s="162"/>
      <c r="AK88" s="162"/>
      <c r="AL88" s="162"/>
      <c r="AM88" s="48"/>
      <c r="AN88" s="48"/>
      <c r="AO88" s="199" t="str">
        <f>AO65</f>
        <v>Mediana</v>
      </c>
      <c r="AP88" s="208">
        <f t="array" ref="AP88">MEDIAN(IF(Respostas_Formatadas!$C:$C=$AO$78,Respostas_Formatadas!$AK:$AK))</f>
        <v>4</v>
      </c>
      <c r="AQ88" s="204" t="s">
        <v>933</v>
      </c>
      <c r="AR88" s="208">
        <f>AP65</f>
        <v>3</v>
      </c>
      <c r="AS88" s="204" t="s">
        <v>933</v>
      </c>
      <c r="AT88" s="48"/>
      <c r="AU88" s="48"/>
      <c r="AV88" s="48"/>
      <c r="AW88" s="48"/>
      <c r="AX88" s="48"/>
      <c r="AY88" s="48"/>
    </row>
    <row r="89" spans="2:51" x14ac:dyDescent="0.2">
      <c r="B89" s="152"/>
      <c r="C89" s="152"/>
      <c r="D89" s="87"/>
      <c r="E89" s="51" t="str">
        <f>Tabulacao!BR252</f>
        <v>Operador de Painel Central</v>
      </c>
      <c r="F89" s="52">
        <f>COUNTIF(Tabulacao!$BR:$BR,'1Emp'!$E89)</f>
        <v>1</v>
      </c>
      <c r="G89" s="53">
        <f t="shared" si="17"/>
        <v>6.1349693251533744E-3</v>
      </c>
      <c r="H89" s="48"/>
      <c r="I89" s="52">
        <v>81</v>
      </c>
      <c r="J89" s="51" t="str">
        <f t="array" ref="J89">INDEX($E$9:$E$96,SMALL(IF($F$9:$F$96=K89,ROW($F$9:$F$96)-8),COUNTIF($K$9:K89,K89)))</f>
        <v>Operador de Painel Central</v>
      </c>
      <c r="K89" s="52">
        <f t="shared" si="20"/>
        <v>1</v>
      </c>
      <c r="L89" s="53">
        <f t="shared" si="18"/>
        <v>6.1349693251533744E-3</v>
      </c>
      <c r="M89" s="119"/>
      <c r="N89" s="52">
        <v>81</v>
      </c>
      <c r="O89" s="51" t="str">
        <f t="array" ref="O89">INDEX($E$103:$E$190,SMALL(IF($F$103:$F$190=P89,ROW($F$103:$F$190)-102),COUNTIF($P$9:P89,P89)))</f>
        <v>Operador de Painel Central</v>
      </c>
      <c r="P89" s="52">
        <f t="shared" si="21"/>
        <v>0</v>
      </c>
      <c r="Q89" s="53">
        <f t="shared" si="19"/>
        <v>0</v>
      </c>
      <c r="R89" s="48"/>
      <c r="S89" s="48"/>
      <c r="T89" s="48"/>
      <c r="U89" s="48"/>
      <c r="V89" s="48"/>
      <c r="W89" s="48"/>
      <c r="X89" s="48"/>
      <c r="Y89" s="48"/>
      <c r="Z89" s="48"/>
      <c r="AA89" s="48"/>
      <c r="AB89" s="48"/>
      <c r="AC89" s="48"/>
      <c r="AD89" s="48"/>
      <c r="AE89" s="48"/>
      <c r="AF89" s="163" t="s">
        <v>120</v>
      </c>
      <c r="AG89" s="164">
        <v>1900</v>
      </c>
      <c r="AH89" s="162"/>
      <c r="AI89" s="162"/>
      <c r="AJ89" s="162"/>
      <c r="AK89" s="162"/>
      <c r="AL89" s="162"/>
      <c r="AM89" s="48"/>
      <c r="AN89" s="48"/>
      <c r="AO89" s="199" t="str">
        <f>AO66</f>
        <v>Desvio Padrão</v>
      </c>
      <c r="AP89" s="207">
        <f>SQRT(AP90)</f>
        <v>1.8020201687143123</v>
      </c>
      <c r="AQ89" s="204" t="s">
        <v>933</v>
      </c>
      <c r="AR89" s="207">
        <f>AP66</f>
        <v>1.3690607317513128</v>
      </c>
      <c r="AS89" s="204" t="s">
        <v>933</v>
      </c>
      <c r="AT89" s="48"/>
      <c r="AU89" s="48"/>
      <c r="AV89" s="48"/>
      <c r="AW89" s="48"/>
      <c r="AX89" s="48"/>
      <c r="AY89" s="48"/>
    </row>
    <row r="90" spans="2:51" x14ac:dyDescent="0.2">
      <c r="B90" s="152"/>
      <c r="C90" s="152"/>
      <c r="D90" s="87"/>
      <c r="E90" s="51" t="str">
        <f>Tabulacao!BR262</f>
        <v>Zelador</v>
      </c>
      <c r="F90" s="52">
        <f>COUNTIF(Tabulacao!$BR:$BR,'1Emp'!$E90)</f>
        <v>1</v>
      </c>
      <c r="G90" s="53">
        <f t="shared" si="17"/>
        <v>6.1349693251533744E-3</v>
      </c>
      <c r="H90" s="48"/>
      <c r="I90" s="52">
        <v>82</v>
      </c>
      <c r="J90" s="51" t="str">
        <f t="array" ref="J90">INDEX($E$9:$E$96,SMALL(IF($F$9:$F$96=K90,ROW($F$9:$F$96)-8),COUNTIF($K$9:K90,K90)))</f>
        <v>Zelador</v>
      </c>
      <c r="K90" s="52">
        <f t="shared" si="20"/>
        <v>1</v>
      </c>
      <c r="L90" s="53">
        <f t="shared" si="18"/>
        <v>6.1349693251533744E-3</v>
      </c>
      <c r="M90" s="119"/>
      <c r="N90" s="52">
        <v>82</v>
      </c>
      <c r="O90" s="51" t="str">
        <f t="array" ref="O90">INDEX($E$103:$E$190,SMALL(IF($F$103:$F$190=P90,ROW($F$103:$F$190)-102),COUNTIF($P$9:P90,P90)))</f>
        <v>Zelador</v>
      </c>
      <c r="P90" s="52">
        <f t="shared" si="21"/>
        <v>0</v>
      </c>
      <c r="Q90" s="53">
        <f t="shared" si="19"/>
        <v>0</v>
      </c>
      <c r="R90" s="48"/>
      <c r="S90" s="48"/>
      <c r="T90" s="48"/>
      <c r="U90" s="48"/>
      <c r="V90" s="48"/>
      <c r="W90" s="48"/>
      <c r="X90" s="48"/>
      <c r="Y90" s="48"/>
      <c r="Z90" s="48"/>
      <c r="AA90" s="48"/>
      <c r="AB90" s="48"/>
      <c r="AC90" s="48"/>
      <c r="AD90" s="48"/>
      <c r="AE90" s="48"/>
      <c r="AF90" s="163" t="s">
        <v>120</v>
      </c>
      <c r="AG90" s="164">
        <v>2500</v>
      </c>
      <c r="AH90" s="162"/>
      <c r="AI90" s="162"/>
      <c r="AJ90" s="162"/>
      <c r="AK90" s="162"/>
      <c r="AL90" s="162"/>
      <c r="AM90" s="48"/>
      <c r="AN90" s="48"/>
      <c r="AO90" s="199" t="str">
        <f>AO67</f>
        <v>Variância</v>
      </c>
      <c r="AP90" s="207">
        <f>(((AQ80*AO80)-AP86)^2+((AQ81*AO81)-AP86)^2+((AQ82*AO82)-AP86)^2+((AQ83*AO83)-AP86)^2+((AQ84*AO84)-AP86)^2)/(SUM(AP80:AP84)-1)</f>
        <v>3.2472766884531588</v>
      </c>
      <c r="AQ90" s="204" t="s">
        <v>933</v>
      </c>
      <c r="AR90" s="207">
        <f>AP67</f>
        <v>1.8743272872234402</v>
      </c>
      <c r="AS90" s="204" t="s">
        <v>933</v>
      </c>
      <c r="AT90" s="48"/>
      <c r="AU90" s="48"/>
      <c r="AV90" s="48"/>
      <c r="AW90" s="48"/>
      <c r="AX90" s="48"/>
      <c r="AY90" s="48"/>
    </row>
    <row r="91" spans="2:51" x14ac:dyDescent="0.2">
      <c r="B91" s="152"/>
      <c r="C91" s="152"/>
      <c r="D91" s="87"/>
      <c r="E91" s="51" t="str">
        <f>Tabulacao!BR267</f>
        <v>Técnico em Operações</v>
      </c>
      <c r="F91" s="52">
        <f>COUNTIF(Tabulacao!$BR:$BR,'1Emp'!$E91)</f>
        <v>1</v>
      </c>
      <c r="G91" s="53">
        <f t="shared" si="17"/>
        <v>6.1349693251533744E-3</v>
      </c>
      <c r="H91" s="48"/>
      <c r="I91" s="52">
        <v>83</v>
      </c>
      <c r="J91" s="51" t="str">
        <f t="array" ref="J91">INDEX($E$9:$E$96,SMALL(IF($F$9:$F$96=K91,ROW($F$9:$F$96)-8),COUNTIF($K$9:K91,K91)))</f>
        <v>Técnico em Operações</v>
      </c>
      <c r="K91" s="52">
        <f t="shared" si="20"/>
        <v>1</v>
      </c>
      <c r="L91" s="53">
        <f t="shared" si="18"/>
        <v>6.1349693251533744E-3</v>
      </c>
      <c r="M91" s="119"/>
      <c r="N91" s="52">
        <v>83</v>
      </c>
      <c r="O91" s="51" t="str">
        <f t="array" ref="O91">INDEX($E$103:$E$190,SMALL(IF($F$103:$F$190=P91,ROW($F$103:$F$190)-102),COUNTIF($P$9:P91,P91)))</f>
        <v>Técnico em Operações</v>
      </c>
      <c r="P91" s="52">
        <f t="shared" si="21"/>
        <v>0</v>
      </c>
      <c r="Q91" s="53">
        <f t="shared" si="19"/>
        <v>0</v>
      </c>
      <c r="R91" s="48"/>
      <c r="S91" s="48"/>
      <c r="T91" s="48"/>
      <c r="U91" s="48"/>
      <c r="V91" s="48"/>
      <c r="W91" s="48"/>
      <c r="X91" s="48"/>
      <c r="Y91" s="48"/>
      <c r="Z91" s="48"/>
      <c r="AA91" s="48"/>
      <c r="AB91" s="48"/>
      <c r="AC91" s="48"/>
      <c r="AD91" s="48"/>
      <c r="AE91" s="48"/>
      <c r="AF91" s="163" t="s">
        <v>120</v>
      </c>
      <c r="AG91" s="164">
        <v>5500</v>
      </c>
      <c r="AH91" s="162"/>
      <c r="AI91" s="162"/>
      <c r="AJ91" s="162"/>
      <c r="AK91" s="162"/>
      <c r="AL91" s="162"/>
      <c r="AM91" s="48"/>
      <c r="AN91" s="48"/>
      <c r="AO91" s="48"/>
      <c r="AP91" s="48"/>
      <c r="AQ91" s="48"/>
      <c r="AR91" s="48"/>
      <c r="AS91" s="48"/>
      <c r="AT91" s="48"/>
      <c r="AU91" s="48"/>
      <c r="AV91" s="48"/>
      <c r="AW91" s="48"/>
      <c r="AX91" s="48"/>
      <c r="AY91" s="48"/>
    </row>
    <row r="92" spans="2:51" x14ac:dyDescent="0.2">
      <c r="B92" s="152"/>
      <c r="C92" s="152"/>
      <c r="D92" s="87"/>
      <c r="E92" s="51" t="str">
        <f>Tabulacao!BR271</f>
        <v>Programador de Software</v>
      </c>
      <c r="F92" s="52">
        <f>COUNTIF(Tabulacao!$BR:$BR,'1Emp'!$E92)</f>
        <v>1</v>
      </c>
      <c r="G92" s="53">
        <f t="shared" si="17"/>
        <v>6.1349693251533744E-3</v>
      </c>
      <c r="H92" s="48"/>
      <c r="I92" s="52">
        <v>84</v>
      </c>
      <c r="J92" s="51" t="str">
        <f t="array" ref="J92">INDEX($E$9:$E$96,SMALL(IF($F$9:$F$96=K92,ROW($F$9:$F$96)-8),COUNTIF($K$9:K92,K92)))</f>
        <v>Programador de Software</v>
      </c>
      <c r="K92" s="52">
        <f t="shared" si="20"/>
        <v>1</v>
      </c>
      <c r="L92" s="53">
        <f t="shared" si="18"/>
        <v>6.1349693251533744E-3</v>
      </c>
      <c r="M92" s="119"/>
      <c r="N92" s="52">
        <v>84</v>
      </c>
      <c r="O92" s="51" t="str">
        <f t="array" ref="O92">INDEX($E$103:$E$190,SMALL(IF($F$103:$F$190=P92,ROW($F$103:$F$190)-102),COUNTIF($P$9:P92,P92)))</f>
        <v>Programador de Software</v>
      </c>
      <c r="P92" s="52">
        <f t="shared" si="21"/>
        <v>0</v>
      </c>
      <c r="Q92" s="53">
        <f t="shared" si="19"/>
        <v>0</v>
      </c>
      <c r="R92" s="48"/>
      <c r="S92" s="48"/>
      <c r="T92" s="48"/>
      <c r="U92" s="48"/>
      <c r="V92" s="48"/>
      <c r="W92" s="48"/>
      <c r="X92" s="48"/>
      <c r="Y92" s="48"/>
      <c r="Z92" s="48"/>
      <c r="AA92" s="48"/>
      <c r="AB92" s="48"/>
      <c r="AC92" s="48"/>
      <c r="AD92" s="48"/>
      <c r="AE92" s="48"/>
      <c r="AF92" s="163" t="s">
        <v>120</v>
      </c>
      <c r="AG92" s="164">
        <v>1500</v>
      </c>
      <c r="AH92" s="162"/>
      <c r="AI92" s="162"/>
      <c r="AJ92" s="162"/>
      <c r="AK92" s="162"/>
      <c r="AL92" s="162"/>
      <c r="AM92" s="48"/>
      <c r="AN92" s="48"/>
      <c r="AO92" s="48"/>
      <c r="AP92" s="48"/>
      <c r="AQ92" s="48"/>
      <c r="AR92" s="48"/>
      <c r="AS92" s="48"/>
      <c r="AT92" s="48"/>
      <c r="AU92" s="48"/>
      <c r="AV92" s="48"/>
      <c r="AW92" s="48"/>
      <c r="AX92" s="48"/>
      <c r="AY92" s="48"/>
    </row>
    <row r="93" spans="2:51" x14ac:dyDescent="0.2">
      <c r="B93" s="152"/>
      <c r="C93" s="152"/>
      <c r="D93" s="87"/>
      <c r="E93" s="51" t="str">
        <f>Tabulacao!BR272</f>
        <v>Técnico em Elétrica</v>
      </c>
      <c r="F93" s="52">
        <f>COUNTIF(Tabulacao!$BR:$BR,'1Emp'!$E93)</f>
        <v>1</v>
      </c>
      <c r="G93" s="53">
        <f t="shared" si="17"/>
        <v>6.1349693251533744E-3</v>
      </c>
      <c r="H93" s="48"/>
      <c r="I93" s="52">
        <v>85</v>
      </c>
      <c r="J93" s="51" t="str">
        <f t="array" ref="J93">INDEX($E$9:$E$96,SMALL(IF($F$9:$F$96=K93,ROW($F$9:$F$96)-8),COUNTIF($K$9:K93,K93)))</f>
        <v>Técnico em Elétrica</v>
      </c>
      <c r="K93" s="52">
        <f t="shared" si="20"/>
        <v>1</v>
      </c>
      <c r="L93" s="53">
        <f t="shared" si="18"/>
        <v>6.1349693251533744E-3</v>
      </c>
      <c r="M93" s="119"/>
      <c r="N93" s="52">
        <v>85</v>
      </c>
      <c r="O93" s="51" t="str">
        <f t="array" ref="O93">INDEX($E$103:$E$190,SMALL(IF($F$103:$F$190=P93,ROW($F$103:$F$190)-102),COUNTIF($P$9:P93,P93)))</f>
        <v>Técnico em Elétrica</v>
      </c>
      <c r="P93" s="52">
        <f t="shared" si="21"/>
        <v>0</v>
      </c>
      <c r="Q93" s="53">
        <f t="shared" si="19"/>
        <v>0</v>
      </c>
      <c r="R93" s="48"/>
      <c r="S93" s="48"/>
      <c r="T93" s="48"/>
      <c r="U93" s="48"/>
      <c r="V93" s="48"/>
      <c r="W93" s="48"/>
      <c r="X93" s="48"/>
      <c r="Y93" s="48"/>
      <c r="Z93" s="48"/>
      <c r="AA93" s="48"/>
      <c r="AB93" s="48"/>
      <c r="AC93" s="48"/>
      <c r="AD93" s="48"/>
      <c r="AE93" s="48"/>
      <c r="AF93" s="163" t="s">
        <v>120</v>
      </c>
      <c r="AG93" s="164">
        <v>2500</v>
      </c>
      <c r="AH93" s="162"/>
      <c r="AI93" s="162"/>
      <c r="AJ93" s="162"/>
      <c r="AK93" s="162"/>
      <c r="AL93" s="162"/>
      <c r="AM93" s="48"/>
      <c r="AN93" s="48"/>
      <c r="AO93" s="48"/>
      <c r="AP93" s="48"/>
      <c r="AQ93" s="48"/>
      <c r="AR93" s="48"/>
      <c r="AS93" s="48"/>
      <c r="AT93" s="48"/>
      <c r="AU93" s="48"/>
      <c r="AV93" s="48"/>
      <c r="AW93" s="48"/>
      <c r="AX93" s="48"/>
      <c r="AY93" s="48"/>
    </row>
    <row r="94" spans="2:51" x14ac:dyDescent="0.2">
      <c r="B94" s="152"/>
      <c r="C94" s="152"/>
      <c r="D94" s="87"/>
      <c r="E94" s="51" t="str">
        <f>Tabulacao!BR228</f>
        <v>Programador de Sistemas</v>
      </c>
      <c r="F94" s="52">
        <f>COUNTIF(Tabulacao!$BR:$BR,'1Emp'!$E94)</f>
        <v>1</v>
      </c>
      <c r="G94" s="53">
        <f t="shared" si="17"/>
        <v>6.1349693251533744E-3</v>
      </c>
      <c r="H94" s="48"/>
      <c r="I94" s="52">
        <v>86</v>
      </c>
      <c r="J94" s="51" t="str">
        <f t="array" ref="J94">INDEX($E$9:$E$96,SMALL(IF($F$9:$F$96=K94,ROW($F$9:$F$96)-8),COUNTIF($K$9:K94,K94)))</f>
        <v>Programador de Sistemas</v>
      </c>
      <c r="K94" s="52">
        <f t="shared" si="20"/>
        <v>1</v>
      </c>
      <c r="L94" s="53">
        <f t="shared" si="18"/>
        <v>6.1349693251533744E-3</v>
      </c>
      <c r="M94" s="119"/>
      <c r="N94" s="52">
        <v>86</v>
      </c>
      <c r="O94" s="51" t="str">
        <f t="array" ref="O94">INDEX($E$103:$E$190,SMALL(IF($F$103:$F$190=P94,ROW($F$103:$F$190)-102),COUNTIF($P$9:P94,P94)))</f>
        <v>Programador de Sistemas</v>
      </c>
      <c r="P94" s="52">
        <f t="shared" si="21"/>
        <v>0</v>
      </c>
      <c r="Q94" s="53">
        <f t="shared" si="19"/>
        <v>0</v>
      </c>
      <c r="R94" s="48"/>
      <c r="S94" s="48"/>
      <c r="T94" s="48"/>
      <c r="U94" s="48"/>
      <c r="V94" s="48"/>
      <c r="W94" s="48"/>
      <c r="X94" s="48"/>
      <c r="Y94" s="48"/>
      <c r="Z94" s="48"/>
      <c r="AA94" s="48"/>
      <c r="AB94" s="48"/>
      <c r="AC94" s="48"/>
      <c r="AD94" s="48"/>
      <c r="AE94" s="48"/>
      <c r="AF94" s="163" t="s">
        <v>120</v>
      </c>
      <c r="AG94" s="164">
        <v>2500</v>
      </c>
      <c r="AH94" s="162"/>
      <c r="AI94" s="162"/>
      <c r="AJ94" s="162"/>
      <c r="AK94" s="162"/>
      <c r="AL94" s="162"/>
      <c r="AM94" s="48"/>
      <c r="AN94" s="48"/>
      <c r="AO94" s="48"/>
      <c r="AP94" s="48"/>
      <c r="AQ94" s="48"/>
      <c r="AR94" s="48"/>
      <c r="AS94" s="48"/>
      <c r="AT94" s="48"/>
      <c r="AU94" s="48"/>
      <c r="AV94" s="48"/>
      <c r="AW94" s="48"/>
      <c r="AX94" s="48"/>
      <c r="AY94" s="48"/>
    </row>
    <row r="95" spans="2:51" x14ac:dyDescent="0.2">
      <c r="B95" s="152"/>
      <c r="C95" s="152"/>
      <c r="D95" s="87"/>
      <c r="E95" s="51" t="str">
        <f>Tabulacao!BR31</f>
        <v>Agente de Fiscalização de Obras</v>
      </c>
      <c r="F95" s="52">
        <f>COUNTIF(Tabulacao!$BR:$BR,'1Emp'!$E95)</f>
        <v>1</v>
      </c>
      <c r="G95" s="53">
        <f t="shared" si="17"/>
        <v>6.1349693251533744E-3</v>
      </c>
      <c r="H95" s="48"/>
      <c r="I95" s="52">
        <v>87</v>
      </c>
      <c r="J95" s="51" t="str">
        <f t="array" ref="J95">INDEX($E$9:$E$96,SMALL(IF($F$9:$F$96=K95,ROW($F$9:$F$96)-8),COUNTIF($K$9:K95,K95)))</f>
        <v>Agente de Fiscalização de Obras</v>
      </c>
      <c r="K95" s="52">
        <f t="shared" si="20"/>
        <v>1</v>
      </c>
      <c r="L95" s="53">
        <f t="shared" si="18"/>
        <v>6.1349693251533744E-3</v>
      </c>
      <c r="M95" s="119"/>
      <c r="N95" s="52">
        <v>87</v>
      </c>
      <c r="O95" s="51" t="str">
        <f t="array" ref="O95">INDEX($E$103:$E$190,SMALL(IF($F$103:$F$190=P95,ROW($F$103:$F$190)-102),COUNTIF($P$9:P95,P95)))</f>
        <v>Agente de Fiscalização de Obras</v>
      </c>
      <c r="P95" s="52">
        <f t="shared" si="21"/>
        <v>0</v>
      </c>
      <c r="Q95" s="53">
        <f t="shared" si="19"/>
        <v>0</v>
      </c>
      <c r="R95" s="48"/>
      <c r="S95" s="48"/>
      <c r="T95" s="48"/>
      <c r="U95" s="48"/>
      <c r="V95" s="48"/>
      <c r="W95" s="48"/>
      <c r="X95" s="48"/>
      <c r="Y95" s="48"/>
      <c r="Z95" s="48"/>
      <c r="AA95" s="48"/>
      <c r="AB95" s="48"/>
      <c r="AC95" s="48"/>
      <c r="AD95" s="48"/>
      <c r="AE95" s="48"/>
      <c r="AF95" s="163" t="s">
        <v>120</v>
      </c>
      <c r="AG95" s="164">
        <v>2000</v>
      </c>
      <c r="AH95" s="162"/>
      <c r="AI95" s="162"/>
      <c r="AJ95" s="162"/>
      <c r="AK95" s="162"/>
      <c r="AL95" s="162"/>
      <c r="AM95" s="48"/>
      <c r="AN95" s="48"/>
      <c r="AO95" s="48"/>
      <c r="AP95" s="48"/>
      <c r="AQ95" s="48"/>
      <c r="AR95" s="48"/>
      <c r="AS95" s="48"/>
      <c r="AT95" s="48"/>
      <c r="AU95" s="48"/>
      <c r="AV95" s="48"/>
      <c r="AW95" s="48"/>
      <c r="AX95" s="48"/>
      <c r="AY95" s="48"/>
    </row>
    <row r="96" spans="2:51" x14ac:dyDescent="0.2">
      <c r="B96" s="152"/>
      <c r="C96" s="152"/>
      <c r="D96" s="87"/>
      <c r="E96" s="51" t="str">
        <f>Tabulacao!BR172</f>
        <v>Assistente de Laboratório</v>
      </c>
      <c r="F96" s="52">
        <f>COUNTIF(Tabulacao!$BR:$BR,'1Emp'!$E96)</f>
        <v>1</v>
      </c>
      <c r="G96" s="53">
        <f t="shared" si="17"/>
        <v>6.1349693251533744E-3</v>
      </c>
      <c r="H96" s="48"/>
      <c r="I96" s="52">
        <v>88</v>
      </c>
      <c r="J96" s="51" t="str">
        <f t="array" ref="J96">INDEX($E$9:$E$96,SMALL(IF($F$9:$F$96=K96,ROW($F$9:$F$96)-8),COUNTIF($K$9:K96,K96)))</f>
        <v>Assistente de Laboratório</v>
      </c>
      <c r="K96" s="52">
        <f t="shared" si="20"/>
        <v>1</v>
      </c>
      <c r="L96" s="53">
        <f t="shared" si="18"/>
        <v>6.1349693251533744E-3</v>
      </c>
      <c r="M96" s="119"/>
      <c r="N96" s="52">
        <v>88</v>
      </c>
      <c r="O96" s="51" t="str">
        <f t="array" ref="O96">INDEX($E$103:$E$190,SMALL(IF($F$103:$F$190=P96,ROW($F$103:$F$190)-102),COUNTIF($P$9:P96,P96)))</f>
        <v>Assistente de Laboratório</v>
      </c>
      <c r="P96" s="52">
        <f t="shared" si="21"/>
        <v>0</v>
      </c>
      <c r="Q96" s="53">
        <f t="shared" si="19"/>
        <v>0</v>
      </c>
      <c r="R96" s="48"/>
      <c r="S96" s="48"/>
      <c r="T96" s="48"/>
      <c r="U96" s="48"/>
      <c r="V96" s="48"/>
      <c r="W96" s="48"/>
      <c r="X96" s="48"/>
      <c r="Y96" s="48"/>
      <c r="Z96" s="48"/>
      <c r="AA96" s="48"/>
      <c r="AB96" s="48"/>
      <c r="AC96" s="48"/>
      <c r="AD96" s="48"/>
      <c r="AE96" s="48"/>
      <c r="AF96" s="163" t="s">
        <v>120</v>
      </c>
      <c r="AG96" s="164">
        <v>2500</v>
      </c>
      <c r="AH96" s="162"/>
      <c r="AI96" s="162"/>
      <c r="AJ96" s="162"/>
      <c r="AK96" s="162"/>
      <c r="AL96" s="162"/>
      <c r="AM96" s="48"/>
      <c r="AN96" s="48"/>
      <c r="AO96" s="48"/>
      <c r="AP96" s="48"/>
      <c r="AQ96" s="48"/>
      <c r="AR96" s="48"/>
      <c r="AS96" s="48"/>
      <c r="AT96" s="48"/>
      <c r="AU96" s="48"/>
      <c r="AV96" s="48"/>
      <c r="AW96" s="48"/>
      <c r="AX96" s="48"/>
      <c r="AY96" s="48"/>
    </row>
    <row r="97" spans="2:51" x14ac:dyDescent="0.2">
      <c r="B97" s="152"/>
      <c r="C97" s="152"/>
      <c r="D97" s="48"/>
      <c r="E97" s="143" t="s">
        <v>621</v>
      </c>
      <c r="F97" s="94">
        <f>SUM(F9:F96)</f>
        <v>163</v>
      </c>
      <c r="G97" s="95">
        <f>SUM(G9:G96)</f>
        <v>0.99999999999999878</v>
      </c>
      <c r="H97" s="48"/>
      <c r="I97" s="94" t="s">
        <v>933</v>
      </c>
      <c r="J97" s="143" t="s">
        <v>621</v>
      </c>
      <c r="K97" s="94">
        <f>SUM(K9:K96)</f>
        <v>163</v>
      </c>
      <c r="L97" s="95">
        <f>SUM(L9:L96)</f>
        <v>0.99999999999999789</v>
      </c>
      <c r="M97" s="48"/>
      <c r="N97" s="192" t="s">
        <v>933</v>
      </c>
      <c r="O97" s="148" t="s">
        <v>621</v>
      </c>
      <c r="P97" s="192">
        <f>SUM(P9:P96)</f>
        <v>25</v>
      </c>
      <c r="Q97" s="193">
        <f>SUM(Q9:Q96)</f>
        <v>1.0000000000000002</v>
      </c>
      <c r="R97" s="48"/>
      <c r="S97" s="48"/>
      <c r="T97" s="48"/>
      <c r="U97" s="48"/>
      <c r="V97" s="48"/>
      <c r="W97" s="48"/>
      <c r="X97" s="48"/>
      <c r="Y97" s="48"/>
      <c r="Z97" s="48"/>
      <c r="AA97" s="48"/>
      <c r="AB97" s="48"/>
      <c r="AC97" s="48"/>
      <c r="AD97" s="48"/>
      <c r="AE97" s="48"/>
      <c r="AF97" s="163" t="s">
        <v>120</v>
      </c>
      <c r="AG97" s="164">
        <v>2400</v>
      </c>
      <c r="AH97" s="162"/>
      <c r="AI97" s="162"/>
      <c r="AJ97" s="162"/>
      <c r="AK97" s="162"/>
      <c r="AL97" s="162"/>
      <c r="AM97" s="48"/>
      <c r="AN97" s="48"/>
      <c r="AO97" s="48"/>
      <c r="AP97" s="48"/>
      <c r="AQ97" s="48"/>
      <c r="AR97" s="48"/>
      <c r="AS97" s="48"/>
      <c r="AT97" s="48"/>
      <c r="AU97" s="48"/>
      <c r="AV97" s="48"/>
      <c r="AW97" s="48"/>
      <c r="AX97" s="48"/>
      <c r="AY97" s="48"/>
    </row>
    <row r="98" spans="2:51" x14ac:dyDescent="0.2">
      <c r="B98" s="152"/>
      <c r="C98" s="152"/>
      <c r="D98" s="48"/>
      <c r="E98" s="48"/>
      <c r="F98" s="48"/>
      <c r="G98" s="48"/>
      <c r="H98" s="48"/>
      <c r="I98" s="48"/>
      <c r="J98" s="48"/>
      <c r="K98" s="48"/>
      <c r="L98" s="48"/>
      <c r="M98" s="48"/>
      <c r="N98" s="48"/>
      <c r="O98" s="48"/>
      <c r="P98" s="48"/>
      <c r="Q98" s="48"/>
      <c r="R98" s="48"/>
      <c r="S98" s="48"/>
      <c r="T98" s="48"/>
      <c r="U98" s="48"/>
      <c r="V98" s="48"/>
      <c r="W98" s="48"/>
      <c r="X98" s="48"/>
      <c r="Y98" s="48"/>
      <c r="Z98" s="48"/>
      <c r="AA98" s="48"/>
      <c r="AB98" s="48"/>
      <c r="AC98" s="48"/>
      <c r="AD98" s="48"/>
      <c r="AE98" s="48"/>
      <c r="AF98" s="163" t="s">
        <v>123</v>
      </c>
      <c r="AG98" s="164">
        <v>1700</v>
      </c>
      <c r="AH98" s="162"/>
      <c r="AI98" s="162"/>
      <c r="AJ98" s="162"/>
      <c r="AK98" s="162"/>
      <c r="AL98" s="162"/>
      <c r="AM98" s="48"/>
      <c r="AN98" s="48"/>
      <c r="AO98" s="48"/>
      <c r="AP98" s="48"/>
      <c r="AQ98" s="48"/>
      <c r="AR98" s="48"/>
      <c r="AS98" s="48"/>
      <c r="AT98" s="48"/>
      <c r="AU98" s="48"/>
      <c r="AV98" s="48"/>
      <c r="AW98" s="48"/>
      <c r="AX98" s="48"/>
      <c r="AY98" s="48"/>
    </row>
    <row r="99" spans="2:51" ht="25.5" x14ac:dyDescent="0.2">
      <c r="B99" s="152"/>
      <c r="C99" s="152"/>
      <c r="D99" s="48"/>
      <c r="E99" s="156" t="s">
        <v>1177</v>
      </c>
      <c r="F99" s="48"/>
      <c r="G99" s="48"/>
      <c r="H99" s="48"/>
      <c r="I99" s="48"/>
      <c r="J99" s="48"/>
      <c r="K99" s="48"/>
      <c r="L99" s="48"/>
      <c r="M99" s="48"/>
      <c r="N99" s="48"/>
      <c r="O99" s="48"/>
      <c r="P99" s="48"/>
      <c r="Q99" s="48"/>
      <c r="R99" s="48"/>
      <c r="S99" s="48"/>
      <c r="T99" s="48"/>
      <c r="U99" s="48"/>
      <c r="V99" s="48"/>
      <c r="W99" s="48"/>
      <c r="X99" s="48"/>
      <c r="Y99" s="48"/>
      <c r="Z99" s="48"/>
      <c r="AA99" s="48"/>
      <c r="AB99" s="48"/>
      <c r="AC99" s="48"/>
      <c r="AD99" s="48"/>
      <c r="AE99" s="48"/>
      <c r="AF99" s="163" t="s">
        <v>122</v>
      </c>
      <c r="AG99" s="164">
        <v>2000</v>
      </c>
      <c r="AH99" s="162"/>
      <c r="AI99" s="162"/>
      <c r="AJ99" s="162"/>
      <c r="AK99" s="162"/>
      <c r="AL99" s="162"/>
      <c r="AM99" s="48"/>
      <c r="AN99" s="48"/>
      <c r="AO99" s="48"/>
      <c r="AP99" s="48"/>
      <c r="AQ99" s="48"/>
      <c r="AR99" s="48"/>
      <c r="AS99" s="48"/>
      <c r="AT99" s="48"/>
      <c r="AU99" s="48"/>
      <c r="AV99" s="48"/>
      <c r="AW99" s="48"/>
      <c r="AX99" s="48"/>
      <c r="AY99" s="48"/>
    </row>
    <row r="100" spans="2:51" x14ac:dyDescent="0.2">
      <c r="B100" s="152"/>
      <c r="C100" s="152"/>
      <c r="D100" s="48"/>
      <c r="E100" s="48"/>
      <c r="F100" s="48"/>
      <c r="G100" s="48"/>
      <c r="H100" s="48"/>
      <c r="I100" s="48"/>
      <c r="J100" s="48"/>
      <c r="K100" s="48"/>
      <c r="L100" s="48"/>
      <c r="M100" s="48"/>
      <c r="N100" s="48"/>
      <c r="O100" s="48"/>
      <c r="P100" s="48"/>
      <c r="Q100" s="48"/>
      <c r="R100" s="48"/>
      <c r="S100" s="48"/>
      <c r="T100" s="48"/>
      <c r="U100" s="48"/>
      <c r="V100" s="48"/>
      <c r="W100" s="48"/>
      <c r="X100" s="48"/>
      <c r="Y100" s="48"/>
      <c r="Z100" s="48"/>
      <c r="AA100" s="48"/>
      <c r="AB100" s="48"/>
      <c r="AC100" s="48"/>
      <c r="AD100" s="48"/>
      <c r="AE100" s="48"/>
      <c r="AF100" s="163" t="s">
        <v>122</v>
      </c>
      <c r="AG100" s="164">
        <v>3850</v>
      </c>
      <c r="AH100" s="162"/>
      <c r="AI100" s="162"/>
      <c r="AJ100" s="162"/>
      <c r="AK100" s="162"/>
      <c r="AL100" s="162"/>
      <c r="AM100" s="48"/>
      <c r="AN100" s="48"/>
      <c r="AO100" s="133">
        <v>28</v>
      </c>
      <c r="AP100" s="48"/>
      <c r="AQ100" s="48"/>
      <c r="AR100" s="48"/>
      <c r="AS100" s="48"/>
      <c r="AT100" s="48"/>
      <c r="AU100" s="48"/>
      <c r="AV100" s="48"/>
      <c r="AW100" s="48"/>
      <c r="AX100" s="48"/>
      <c r="AY100" s="48"/>
    </row>
    <row r="101" spans="2:51" x14ac:dyDescent="0.2">
      <c r="B101" s="152"/>
      <c r="C101" s="152"/>
      <c r="D101" s="48"/>
      <c r="E101" s="158" t="str">
        <f>O7</f>
        <v>Bacharelado em Engenharia Civil</v>
      </c>
      <c r="F101" s="48"/>
      <c r="G101" s="48"/>
      <c r="H101" s="48"/>
      <c r="I101" s="48"/>
      <c r="J101" s="48"/>
      <c r="K101" s="48"/>
      <c r="L101" s="48"/>
      <c r="M101" s="48"/>
      <c r="N101" s="48"/>
      <c r="O101" s="48"/>
      <c r="P101" s="48"/>
      <c r="Q101" s="48"/>
      <c r="R101" s="48"/>
      <c r="S101" s="48"/>
      <c r="T101" s="48"/>
      <c r="U101" s="48"/>
      <c r="V101" s="48"/>
      <c r="W101" s="48"/>
      <c r="X101" s="48"/>
      <c r="Y101" s="48"/>
      <c r="Z101" s="48"/>
      <c r="AA101" s="48"/>
      <c r="AB101" s="48"/>
      <c r="AC101" s="48"/>
      <c r="AD101" s="48"/>
      <c r="AE101" s="48"/>
      <c r="AF101" s="163" t="s">
        <v>122</v>
      </c>
      <c r="AG101" s="164">
        <v>2000</v>
      </c>
      <c r="AH101" s="162"/>
      <c r="AI101" s="162"/>
      <c r="AJ101" s="162"/>
      <c r="AK101" s="162"/>
      <c r="AL101" s="162"/>
      <c r="AM101" s="48"/>
      <c r="AN101" s="48"/>
      <c r="AO101" s="48"/>
      <c r="AP101" s="48"/>
      <c r="AQ101" s="48"/>
      <c r="AR101" s="48"/>
      <c r="AS101" s="48"/>
      <c r="AT101" s="48"/>
      <c r="AU101" s="48"/>
      <c r="AV101" s="48"/>
      <c r="AW101" s="48"/>
      <c r="AX101" s="48"/>
      <c r="AY101" s="48"/>
    </row>
    <row r="102" spans="2:51" x14ac:dyDescent="0.2">
      <c r="B102" s="152"/>
      <c r="C102" s="152"/>
      <c r="D102" s="87"/>
      <c r="E102" s="137" t="s">
        <v>1149</v>
      </c>
      <c r="F102" s="138" t="s">
        <v>131</v>
      </c>
      <c r="G102" s="138" t="s">
        <v>132</v>
      </c>
      <c r="H102" s="48"/>
      <c r="I102" s="48"/>
      <c r="J102" s="48"/>
      <c r="K102" s="48"/>
      <c r="L102" s="48"/>
      <c r="M102" s="48"/>
      <c r="N102" s="48"/>
      <c r="O102" s="48"/>
      <c r="P102" s="48"/>
      <c r="Q102" s="48"/>
      <c r="R102" s="48"/>
      <c r="S102" s="48"/>
      <c r="T102" s="48"/>
      <c r="U102" s="48"/>
      <c r="V102" s="48"/>
      <c r="W102" s="48"/>
      <c r="X102" s="48"/>
      <c r="Y102" s="48"/>
      <c r="Z102" s="48"/>
      <c r="AA102" s="48"/>
      <c r="AB102" s="48"/>
      <c r="AC102" s="48"/>
      <c r="AD102" s="48"/>
      <c r="AE102" s="48"/>
      <c r="AF102" s="163" t="s">
        <v>122</v>
      </c>
      <c r="AG102" s="164">
        <v>3500</v>
      </c>
      <c r="AH102" s="162"/>
      <c r="AI102" s="162"/>
      <c r="AJ102" s="162"/>
      <c r="AK102" s="162"/>
      <c r="AL102" s="162"/>
      <c r="AM102" s="48"/>
      <c r="AN102" s="48"/>
      <c r="AO102" s="137" t="str">
        <f>Tabulacao!CM2</f>
        <v>Você ainda está em seu primeiro emprego?</v>
      </c>
      <c r="AP102" s="48"/>
      <c r="AQ102" s="48"/>
      <c r="AR102" s="48"/>
      <c r="AS102" s="48"/>
      <c r="AT102" s="48"/>
      <c r="AU102" s="48"/>
      <c r="AV102" s="48"/>
      <c r="AW102" s="48"/>
      <c r="AX102" s="48"/>
      <c r="AY102" s="48"/>
    </row>
    <row r="103" spans="2:51" x14ac:dyDescent="0.2">
      <c r="B103" s="152"/>
      <c r="C103" s="152"/>
      <c r="D103" s="87"/>
      <c r="E103" s="51" t="s">
        <v>388</v>
      </c>
      <c r="F103" s="52">
        <f>COUNTIFS(Tabulacao!$BP:$BP,'1Emp'!$E$101,Tabulacao!$BR:$BR,'1Emp'!$E103)</f>
        <v>3</v>
      </c>
      <c r="G103" s="53">
        <f t="shared" ref="G103:G134" si="24">F103/$F$97</f>
        <v>1.8404907975460124E-2</v>
      </c>
      <c r="H103" s="48"/>
      <c r="I103" s="48"/>
      <c r="J103" s="48"/>
      <c r="K103" s="48"/>
      <c r="L103" s="48"/>
      <c r="M103" s="119"/>
      <c r="N103" s="119"/>
      <c r="O103" s="119"/>
      <c r="P103" s="119"/>
      <c r="Q103" s="119"/>
      <c r="R103" s="48"/>
      <c r="S103" s="48"/>
      <c r="T103" s="48"/>
      <c r="U103" s="48"/>
      <c r="V103" s="48"/>
      <c r="W103" s="48"/>
      <c r="X103" s="48"/>
      <c r="Y103" s="48"/>
      <c r="Z103" s="48"/>
      <c r="AA103" s="48"/>
      <c r="AB103" s="48"/>
      <c r="AC103" s="48"/>
      <c r="AD103" s="48"/>
      <c r="AE103" s="48"/>
      <c r="AF103" s="163" t="s">
        <v>122</v>
      </c>
      <c r="AG103" s="164">
        <v>680</v>
      </c>
      <c r="AH103" s="162"/>
      <c r="AI103" s="162"/>
      <c r="AJ103" s="162"/>
      <c r="AK103" s="162"/>
      <c r="AL103" s="162"/>
      <c r="AM103" s="48"/>
      <c r="AN103" s="48"/>
      <c r="AO103" s="48"/>
      <c r="AP103" s="48"/>
      <c r="AQ103" s="48"/>
      <c r="AR103" s="48"/>
      <c r="AS103" s="48"/>
      <c r="AT103" s="48"/>
      <c r="AU103" s="48"/>
      <c r="AV103" s="48"/>
      <c r="AW103" s="48"/>
      <c r="AX103" s="48"/>
      <c r="AY103" s="48"/>
    </row>
    <row r="104" spans="2:51" x14ac:dyDescent="0.2">
      <c r="B104" s="152"/>
      <c r="C104" s="152"/>
      <c r="D104" s="87"/>
      <c r="E104" s="51" t="s">
        <v>424</v>
      </c>
      <c r="F104" s="52">
        <f>COUNTIFS(Tabulacao!$BP:$BP,'1Emp'!$E$101,Tabulacao!$BR:$BR,'1Emp'!$E104)</f>
        <v>8</v>
      </c>
      <c r="G104" s="53">
        <f t="shared" si="24"/>
        <v>4.9079754601226995E-2</v>
      </c>
      <c r="H104" s="48"/>
      <c r="I104" s="48"/>
      <c r="J104" s="48"/>
      <c r="K104" s="48"/>
      <c r="L104" s="48"/>
      <c r="M104" s="119"/>
      <c r="N104" s="119"/>
      <c r="O104" s="119"/>
      <c r="P104" s="119"/>
      <c r="Q104" s="119"/>
      <c r="R104" s="48"/>
      <c r="S104" s="48"/>
      <c r="T104" s="48"/>
      <c r="U104" s="48"/>
      <c r="V104" s="48"/>
      <c r="W104" s="48"/>
      <c r="X104" s="48"/>
      <c r="Y104" s="48"/>
      <c r="Z104" s="48"/>
      <c r="AA104" s="48"/>
      <c r="AB104" s="48"/>
      <c r="AC104" s="48"/>
      <c r="AD104" s="48"/>
      <c r="AE104" s="48"/>
      <c r="AF104" s="163" t="s">
        <v>122</v>
      </c>
      <c r="AG104" s="164">
        <v>2300</v>
      </c>
      <c r="AH104" s="162"/>
      <c r="AI104" s="162"/>
      <c r="AJ104" s="162"/>
      <c r="AK104" s="162"/>
      <c r="AL104" s="162"/>
      <c r="AM104" s="48"/>
      <c r="AN104" s="48"/>
      <c r="AO104" s="160" t="s">
        <v>988</v>
      </c>
      <c r="AP104" s="138" t="s">
        <v>131</v>
      </c>
      <c r="AQ104" s="138" t="s">
        <v>132</v>
      </c>
      <c r="AR104" s="48"/>
      <c r="AS104" s="48"/>
      <c r="AT104" s="48"/>
      <c r="AU104" s="48"/>
      <c r="AV104" s="48"/>
      <c r="AW104" s="48"/>
      <c r="AX104" s="48"/>
      <c r="AY104" s="48"/>
    </row>
    <row r="105" spans="2:51" x14ac:dyDescent="0.2">
      <c r="B105" s="152"/>
      <c r="C105" s="152"/>
      <c r="D105" s="87"/>
      <c r="E105" s="51" t="s">
        <v>326</v>
      </c>
      <c r="F105" s="52">
        <f>COUNTIFS(Tabulacao!$BP:$BP,'1Emp'!$E$101,Tabulacao!$BR:$BR,'1Emp'!$E105)</f>
        <v>0</v>
      </c>
      <c r="G105" s="53">
        <f t="shared" si="24"/>
        <v>0</v>
      </c>
      <c r="H105" s="48"/>
      <c r="I105" s="48"/>
      <c r="J105" s="48"/>
      <c r="K105" s="48"/>
      <c r="L105" s="48"/>
      <c r="M105" s="119"/>
      <c r="N105" s="119"/>
      <c r="O105" s="119"/>
      <c r="P105" s="119"/>
      <c r="Q105" s="119"/>
      <c r="R105" s="48"/>
      <c r="S105" s="48"/>
      <c r="T105" s="48"/>
      <c r="U105" s="48"/>
      <c r="V105" s="48"/>
      <c r="W105" s="48"/>
      <c r="X105" s="48"/>
      <c r="Y105" s="48"/>
      <c r="Z105" s="48"/>
      <c r="AA105" s="48"/>
      <c r="AB105" s="48"/>
      <c r="AC105" s="48"/>
      <c r="AD105" s="48"/>
      <c r="AE105" s="48"/>
      <c r="AF105" s="163" t="s">
        <v>122</v>
      </c>
      <c r="AG105" s="164">
        <v>2700</v>
      </c>
      <c r="AH105" s="162"/>
      <c r="AI105" s="162"/>
      <c r="AJ105" s="162"/>
      <c r="AK105" s="162"/>
      <c r="AL105" s="162"/>
      <c r="AM105" s="48"/>
      <c r="AN105" s="48"/>
      <c r="AO105" s="60" t="str">
        <f>Tabulacao!CM4</f>
        <v>Sim</v>
      </c>
      <c r="AP105" s="52">
        <f>Tabulacao!CN4</f>
        <v>95</v>
      </c>
      <c r="AQ105" s="53">
        <f>AP105/$AP$107</f>
        <v>0.54597701149425293</v>
      </c>
      <c r="AR105" s="48"/>
      <c r="AS105" s="48"/>
      <c r="AT105" s="48"/>
      <c r="AU105" s="48"/>
      <c r="AV105" s="48"/>
      <c r="AW105" s="48"/>
      <c r="AX105" s="48"/>
      <c r="AY105" s="48"/>
    </row>
    <row r="106" spans="2:51" x14ac:dyDescent="0.2">
      <c r="B106" s="152"/>
      <c r="C106" s="152"/>
      <c r="D106" s="87"/>
      <c r="E106" s="51" t="s">
        <v>541</v>
      </c>
      <c r="F106" s="52">
        <f>COUNTIFS(Tabulacao!$BP:$BP,'1Emp'!$E$101,Tabulacao!$BR:$BR,'1Emp'!$E106)</f>
        <v>0</v>
      </c>
      <c r="G106" s="53">
        <f t="shared" si="24"/>
        <v>0</v>
      </c>
      <c r="H106" s="48"/>
      <c r="I106" s="48"/>
      <c r="J106" s="48"/>
      <c r="K106" s="48"/>
      <c r="L106" s="48"/>
      <c r="M106" s="119"/>
      <c r="N106" s="119"/>
      <c r="O106" s="119"/>
      <c r="P106" s="119"/>
      <c r="Q106" s="119"/>
      <c r="R106" s="48"/>
      <c r="S106" s="48"/>
      <c r="T106" s="48"/>
      <c r="U106" s="48"/>
      <c r="V106" s="48"/>
      <c r="W106" s="48"/>
      <c r="X106" s="48"/>
      <c r="Y106" s="48"/>
      <c r="Z106" s="48"/>
      <c r="AA106" s="48"/>
      <c r="AB106" s="48"/>
      <c r="AC106" s="48"/>
      <c r="AD106" s="48"/>
      <c r="AE106" s="48"/>
      <c r="AF106" s="163" t="s">
        <v>122</v>
      </c>
      <c r="AG106" s="164">
        <v>678</v>
      </c>
      <c r="AH106" s="162"/>
      <c r="AI106" s="162"/>
      <c r="AJ106" s="162"/>
      <c r="AK106" s="162"/>
      <c r="AL106" s="162"/>
      <c r="AM106" s="48"/>
      <c r="AN106" s="48"/>
      <c r="AO106" s="60" t="str">
        <f>Tabulacao!CM5</f>
        <v>Não</v>
      </c>
      <c r="AP106" s="52">
        <f>Tabulacao!CN5</f>
        <v>79</v>
      </c>
      <c r="AQ106" s="53">
        <f>AP106/$AP$107</f>
        <v>0.45402298850574713</v>
      </c>
      <c r="AR106" s="48"/>
      <c r="AS106" s="48"/>
      <c r="AT106" s="48"/>
      <c r="AU106" s="48"/>
      <c r="AV106" s="48"/>
      <c r="AW106" s="48"/>
      <c r="AX106" s="48"/>
      <c r="AY106" s="48"/>
    </row>
    <row r="107" spans="2:51" x14ac:dyDescent="0.2">
      <c r="B107" s="152"/>
      <c r="C107" s="152"/>
      <c r="D107" s="87"/>
      <c r="E107" s="51" t="s">
        <v>298</v>
      </c>
      <c r="F107" s="52">
        <f>COUNTIFS(Tabulacao!$BP:$BP,'1Emp'!$E$101,Tabulacao!$BR:$BR,'1Emp'!$E107)</f>
        <v>0</v>
      </c>
      <c r="G107" s="53">
        <f t="shared" si="24"/>
        <v>0</v>
      </c>
      <c r="H107" s="48"/>
      <c r="I107" s="48"/>
      <c r="J107" s="48"/>
      <c r="K107" s="48"/>
      <c r="L107" s="48"/>
      <c r="M107" s="119"/>
      <c r="N107" s="119"/>
      <c r="O107" s="119"/>
      <c r="P107" s="119"/>
      <c r="Q107" s="119"/>
      <c r="R107" s="48"/>
      <c r="S107" s="48"/>
      <c r="T107" s="48"/>
      <c r="U107" s="48"/>
      <c r="V107" s="48"/>
      <c r="W107" s="48"/>
      <c r="X107" s="48"/>
      <c r="Y107" s="48"/>
      <c r="Z107" s="48"/>
      <c r="AA107" s="48"/>
      <c r="AB107" s="48"/>
      <c r="AC107" s="48"/>
      <c r="AD107" s="48"/>
      <c r="AE107" s="48"/>
      <c r="AF107" s="163" t="s">
        <v>122</v>
      </c>
      <c r="AG107" s="164">
        <v>657</v>
      </c>
      <c r="AH107" s="162"/>
      <c r="AI107" s="162"/>
      <c r="AJ107" s="162"/>
      <c r="AK107" s="162"/>
      <c r="AL107" s="162"/>
      <c r="AM107" s="48"/>
      <c r="AN107" s="48"/>
      <c r="AO107" s="93" t="s">
        <v>621</v>
      </c>
      <c r="AP107" s="94">
        <f>SUM(AP105:AP106)</f>
        <v>174</v>
      </c>
      <c r="AQ107" s="95">
        <f>SUM(AQ105:AQ106)</f>
        <v>1</v>
      </c>
      <c r="AR107" s="48"/>
      <c r="AS107" s="48"/>
      <c r="AT107" s="48"/>
      <c r="AU107" s="48"/>
      <c r="AV107" s="48"/>
      <c r="AW107" s="48"/>
      <c r="AX107" s="48"/>
      <c r="AY107" s="48"/>
    </row>
    <row r="108" spans="2:51" x14ac:dyDescent="0.2">
      <c r="B108" s="152"/>
      <c r="C108" s="152"/>
      <c r="D108" s="87"/>
      <c r="E108" s="51" t="s">
        <v>530</v>
      </c>
      <c r="F108" s="52">
        <f>COUNTIFS(Tabulacao!$BP:$BP,'1Emp'!$E$101,Tabulacao!$BR:$BR,'1Emp'!$E108)</f>
        <v>0</v>
      </c>
      <c r="G108" s="53">
        <f t="shared" si="24"/>
        <v>0</v>
      </c>
      <c r="H108" s="48"/>
      <c r="I108" s="48"/>
      <c r="J108" s="48"/>
      <c r="K108" s="48"/>
      <c r="L108" s="48"/>
      <c r="M108" s="119"/>
      <c r="N108" s="119"/>
      <c r="O108" s="119"/>
      <c r="P108" s="119"/>
      <c r="Q108" s="119"/>
      <c r="R108" s="48"/>
      <c r="S108" s="48"/>
      <c r="T108" s="48"/>
      <c r="U108" s="48"/>
      <c r="V108" s="48"/>
      <c r="W108" s="48"/>
      <c r="X108" s="48"/>
      <c r="Y108" s="48"/>
      <c r="Z108" s="48"/>
      <c r="AA108" s="48"/>
      <c r="AB108" s="48"/>
      <c r="AC108" s="48"/>
      <c r="AD108" s="48"/>
      <c r="AE108" s="48"/>
      <c r="AF108" s="163" t="s">
        <v>122</v>
      </c>
      <c r="AG108" s="164">
        <v>1600</v>
      </c>
      <c r="AH108" s="162"/>
      <c r="AI108" s="162"/>
      <c r="AJ108" s="162"/>
      <c r="AK108" s="162"/>
      <c r="AL108" s="162"/>
      <c r="AM108" s="48"/>
      <c r="AN108" s="48"/>
      <c r="AO108" s="48"/>
      <c r="AP108" s="48"/>
      <c r="AQ108" s="48"/>
      <c r="AR108" s="48"/>
      <c r="AS108" s="48"/>
      <c r="AT108" s="48"/>
      <c r="AU108" s="48"/>
      <c r="AV108" s="48"/>
      <c r="AW108" s="48"/>
      <c r="AX108" s="48"/>
      <c r="AY108" s="48"/>
    </row>
    <row r="109" spans="2:51" x14ac:dyDescent="0.2">
      <c r="B109" s="152"/>
      <c r="C109" s="152"/>
      <c r="D109" s="87"/>
      <c r="E109" s="51" t="s">
        <v>382</v>
      </c>
      <c r="F109" s="52">
        <f>COUNTIFS(Tabulacao!$BP:$BP,'1Emp'!$E$101,Tabulacao!$BR:$BR,'1Emp'!$E109)</f>
        <v>0</v>
      </c>
      <c r="G109" s="53">
        <f t="shared" si="24"/>
        <v>0</v>
      </c>
      <c r="H109" s="48"/>
      <c r="I109" s="48"/>
      <c r="J109" s="48"/>
      <c r="K109" s="48"/>
      <c r="L109" s="48"/>
      <c r="M109" s="119"/>
      <c r="N109" s="119"/>
      <c r="O109" s="119"/>
      <c r="P109" s="119"/>
      <c r="Q109" s="119"/>
      <c r="R109" s="48"/>
      <c r="S109" s="48"/>
      <c r="T109" s="48"/>
      <c r="U109" s="48"/>
      <c r="V109" s="48"/>
      <c r="W109" s="48"/>
      <c r="X109" s="48"/>
      <c r="Y109" s="48"/>
      <c r="Z109" s="48"/>
      <c r="AA109" s="48"/>
      <c r="AB109" s="48"/>
      <c r="AC109" s="48"/>
      <c r="AD109" s="48"/>
      <c r="AE109" s="48"/>
      <c r="AF109" s="163" t="s">
        <v>122</v>
      </c>
      <c r="AG109" s="164">
        <v>1300</v>
      </c>
      <c r="AH109" s="162"/>
      <c r="AI109" s="162"/>
      <c r="AJ109" s="162"/>
      <c r="AK109" s="162"/>
      <c r="AL109" s="162"/>
      <c r="AM109" s="48"/>
      <c r="AN109" s="48"/>
      <c r="AO109" s="48"/>
      <c r="AP109" s="48"/>
      <c r="AQ109" s="48"/>
      <c r="AR109" s="48"/>
      <c r="AS109" s="48"/>
      <c r="AT109" s="48"/>
      <c r="AU109" s="48"/>
      <c r="AV109" s="48"/>
      <c r="AW109" s="48"/>
      <c r="AX109" s="48"/>
      <c r="AY109" s="48"/>
    </row>
    <row r="110" spans="2:51" x14ac:dyDescent="0.2">
      <c r="B110" s="152"/>
      <c r="C110" s="152"/>
      <c r="D110" s="87"/>
      <c r="E110" s="51" t="s">
        <v>706</v>
      </c>
      <c r="F110" s="52">
        <f>COUNTIFS(Tabulacao!$BP:$BP,'1Emp'!$E$101,Tabulacao!$BR:$BR,'1Emp'!$E110)</f>
        <v>0</v>
      </c>
      <c r="G110" s="53">
        <f t="shared" si="24"/>
        <v>0</v>
      </c>
      <c r="H110" s="48"/>
      <c r="I110" s="48"/>
      <c r="J110" s="48"/>
      <c r="K110" s="48"/>
      <c r="L110" s="48"/>
      <c r="M110" s="119"/>
      <c r="N110" s="119"/>
      <c r="O110" s="119"/>
      <c r="P110" s="119"/>
      <c r="Q110" s="119"/>
      <c r="R110" s="48"/>
      <c r="S110" s="48"/>
      <c r="T110" s="48"/>
      <c r="U110" s="48"/>
      <c r="V110" s="48"/>
      <c r="W110" s="48"/>
      <c r="X110" s="48"/>
      <c r="Y110" s="48"/>
      <c r="Z110" s="48"/>
      <c r="AA110" s="48"/>
      <c r="AB110" s="48"/>
      <c r="AC110" s="48"/>
      <c r="AD110" s="48"/>
      <c r="AE110" s="48"/>
      <c r="AF110" s="163" t="s">
        <v>122</v>
      </c>
      <c r="AG110" s="164">
        <v>1600</v>
      </c>
      <c r="AH110" s="162"/>
      <c r="AI110" s="162"/>
      <c r="AJ110" s="162"/>
      <c r="AK110" s="162"/>
      <c r="AL110" s="162"/>
      <c r="AM110" s="48"/>
      <c r="AN110" s="48"/>
      <c r="AO110" s="48"/>
      <c r="AP110" s="48"/>
      <c r="AQ110" s="48"/>
      <c r="AR110" s="48"/>
      <c r="AS110" s="48"/>
      <c r="AT110" s="48"/>
      <c r="AU110" s="48"/>
      <c r="AV110" s="48"/>
      <c r="AW110" s="48"/>
      <c r="AX110" s="48"/>
      <c r="AY110" s="48"/>
    </row>
    <row r="111" spans="2:51" x14ac:dyDescent="0.2">
      <c r="B111" s="152"/>
      <c r="C111" s="152"/>
      <c r="D111" s="87"/>
      <c r="E111" s="51" t="s">
        <v>578</v>
      </c>
      <c r="F111" s="52">
        <f>COUNTIFS(Tabulacao!$BP:$BP,'1Emp'!$E$101,Tabulacao!$BR:$BR,'1Emp'!$E111)</f>
        <v>0</v>
      </c>
      <c r="G111" s="53">
        <f t="shared" si="24"/>
        <v>0</v>
      </c>
      <c r="H111" s="48"/>
      <c r="I111" s="48"/>
      <c r="J111" s="48"/>
      <c r="K111" s="48"/>
      <c r="L111" s="48"/>
      <c r="M111" s="119"/>
      <c r="N111" s="119"/>
      <c r="O111" s="119"/>
      <c r="P111" s="119"/>
      <c r="Q111" s="119"/>
      <c r="R111" s="48"/>
      <c r="S111" s="48"/>
      <c r="T111" s="48"/>
      <c r="U111" s="48"/>
      <c r="V111" s="48"/>
      <c r="W111" s="48"/>
      <c r="X111" s="48"/>
      <c r="Y111" s="48"/>
      <c r="Z111" s="48"/>
      <c r="AA111" s="48"/>
      <c r="AB111" s="48"/>
      <c r="AC111" s="48"/>
      <c r="AD111" s="48"/>
      <c r="AE111" s="48"/>
      <c r="AF111" s="163" t="s">
        <v>122</v>
      </c>
      <c r="AG111" s="164">
        <v>1700</v>
      </c>
      <c r="AH111" s="162"/>
      <c r="AI111" s="162"/>
      <c r="AJ111" s="162"/>
      <c r="AK111" s="162"/>
      <c r="AL111" s="162"/>
      <c r="AM111" s="48"/>
      <c r="AN111" s="48"/>
      <c r="AO111" s="48"/>
      <c r="AP111" s="48"/>
      <c r="AQ111" s="48"/>
      <c r="AR111" s="48"/>
      <c r="AS111" s="48"/>
      <c r="AT111" s="48"/>
      <c r="AU111" s="48"/>
      <c r="AV111" s="48"/>
      <c r="AW111" s="48"/>
      <c r="AX111" s="48"/>
      <c r="AY111" s="48"/>
    </row>
    <row r="112" spans="2:51" x14ac:dyDescent="0.2">
      <c r="B112" s="152"/>
      <c r="C112" s="152"/>
      <c r="D112" s="87"/>
      <c r="E112" s="51" t="s">
        <v>1124</v>
      </c>
      <c r="F112" s="52">
        <f>COUNTIFS(Tabulacao!$BP:$BP,'1Emp'!$E$101,Tabulacao!$BR:$BR,'1Emp'!$E112)</f>
        <v>0</v>
      </c>
      <c r="G112" s="53">
        <f t="shared" si="24"/>
        <v>0</v>
      </c>
      <c r="H112" s="48"/>
      <c r="I112" s="48"/>
      <c r="J112" s="48"/>
      <c r="K112" s="48"/>
      <c r="L112" s="48"/>
      <c r="M112" s="119"/>
      <c r="N112" s="119"/>
      <c r="O112" s="119"/>
      <c r="P112" s="119"/>
      <c r="Q112" s="119"/>
      <c r="R112" s="48"/>
      <c r="S112" s="48"/>
      <c r="T112" s="48"/>
      <c r="U112" s="48"/>
      <c r="V112" s="48"/>
      <c r="W112" s="48"/>
      <c r="X112" s="48"/>
      <c r="Y112" s="48"/>
      <c r="Z112" s="48"/>
      <c r="AA112" s="48"/>
      <c r="AB112" s="48"/>
      <c r="AC112" s="48"/>
      <c r="AD112" s="48"/>
      <c r="AE112" s="48"/>
      <c r="AF112" s="163" t="s">
        <v>122</v>
      </c>
      <c r="AG112" s="164">
        <v>2800</v>
      </c>
      <c r="AH112" s="162"/>
      <c r="AI112" s="162"/>
      <c r="AJ112" s="162"/>
      <c r="AK112" s="162"/>
      <c r="AL112" s="162"/>
      <c r="AM112" s="48"/>
      <c r="AN112" s="48"/>
      <c r="AO112" s="48"/>
      <c r="AP112" s="48"/>
      <c r="AQ112" s="48"/>
      <c r="AR112" s="48"/>
      <c r="AS112" s="48"/>
      <c r="AT112" s="48"/>
      <c r="AU112" s="48"/>
      <c r="AV112" s="48"/>
      <c r="AW112" s="48"/>
      <c r="AX112" s="48"/>
      <c r="AY112" s="48"/>
    </row>
    <row r="113" spans="2:51" x14ac:dyDescent="0.2">
      <c r="B113" s="152"/>
      <c r="C113" s="152"/>
      <c r="D113" s="87"/>
      <c r="E113" s="51" t="s">
        <v>289</v>
      </c>
      <c r="F113" s="52">
        <f>COUNTIFS(Tabulacao!$BP:$BP,'1Emp'!$E$101,Tabulacao!$BR:$BR,'1Emp'!$E113)</f>
        <v>0</v>
      </c>
      <c r="G113" s="53">
        <f t="shared" si="24"/>
        <v>0</v>
      </c>
      <c r="H113" s="48"/>
      <c r="I113" s="48"/>
      <c r="J113" s="48"/>
      <c r="K113" s="48"/>
      <c r="L113" s="48"/>
      <c r="M113" s="119"/>
      <c r="N113" s="119"/>
      <c r="O113" s="119"/>
      <c r="P113" s="119"/>
      <c r="Q113" s="119"/>
      <c r="R113" s="48"/>
      <c r="S113" s="48"/>
      <c r="T113" s="48"/>
      <c r="U113" s="48"/>
      <c r="V113" s="48"/>
      <c r="W113" s="48"/>
      <c r="X113" s="48"/>
      <c r="Y113" s="48"/>
      <c r="Z113" s="48"/>
      <c r="AA113" s="48"/>
      <c r="AB113" s="48"/>
      <c r="AC113" s="48"/>
      <c r="AD113" s="48"/>
      <c r="AE113" s="48"/>
      <c r="AF113" s="163" t="s">
        <v>122</v>
      </c>
      <c r="AG113" s="164">
        <v>1000</v>
      </c>
      <c r="AH113" s="162"/>
      <c r="AI113" s="162"/>
      <c r="AJ113" s="162"/>
      <c r="AK113" s="162"/>
      <c r="AL113" s="162"/>
      <c r="AM113" s="48"/>
      <c r="AN113" s="48"/>
      <c r="AO113" s="48"/>
      <c r="AP113" s="48"/>
      <c r="AQ113" s="48"/>
      <c r="AR113" s="48"/>
      <c r="AS113" s="48"/>
      <c r="AT113" s="48"/>
      <c r="AU113" s="48"/>
      <c r="AV113" s="48"/>
      <c r="AW113" s="48"/>
      <c r="AX113" s="48"/>
      <c r="AY113" s="48"/>
    </row>
    <row r="114" spans="2:51" x14ac:dyDescent="0.2">
      <c r="B114" s="152"/>
      <c r="C114" s="152"/>
      <c r="D114" s="87"/>
      <c r="E114" s="51" t="s">
        <v>379</v>
      </c>
      <c r="F114" s="52">
        <f>COUNTIFS(Tabulacao!$BP:$BP,'1Emp'!$E$101,Tabulacao!$BR:$BR,'1Emp'!$E114)</f>
        <v>0</v>
      </c>
      <c r="G114" s="53">
        <f t="shared" si="24"/>
        <v>0</v>
      </c>
      <c r="H114" s="48"/>
      <c r="I114" s="48"/>
      <c r="J114" s="48"/>
      <c r="K114" s="48"/>
      <c r="L114" s="48"/>
      <c r="M114" s="119"/>
      <c r="N114" s="119"/>
      <c r="O114" s="119"/>
      <c r="P114" s="119"/>
      <c r="Q114" s="119"/>
      <c r="R114" s="48"/>
      <c r="S114" s="48"/>
      <c r="T114" s="48"/>
      <c r="U114" s="48"/>
      <c r="V114" s="48"/>
      <c r="W114" s="48"/>
      <c r="X114" s="48"/>
      <c r="Y114" s="48"/>
      <c r="Z114" s="48"/>
      <c r="AA114" s="48"/>
      <c r="AB114" s="48"/>
      <c r="AC114" s="48"/>
      <c r="AD114" s="48"/>
      <c r="AE114" s="48"/>
      <c r="AF114" s="163" t="s">
        <v>122</v>
      </c>
      <c r="AG114" s="164">
        <v>1500</v>
      </c>
      <c r="AH114" s="162"/>
      <c r="AI114" s="162"/>
      <c r="AJ114" s="162"/>
      <c r="AK114" s="162"/>
      <c r="AL114" s="162"/>
      <c r="AM114" s="48"/>
      <c r="AN114" s="48"/>
      <c r="AO114" s="48"/>
      <c r="AP114" s="48"/>
      <c r="AQ114" s="48"/>
      <c r="AR114" s="48"/>
      <c r="AS114" s="48"/>
      <c r="AT114" s="48"/>
      <c r="AU114" s="48"/>
      <c r="AV114" s="48"/>
      <c r="AW114" s="48"/>
      <c r="AX114" s="48"/>
      <c r="AY114" s="48"/>
    </row>
    <row r="115" spans="2:51" x14ac:dyDescent="0.2">
      <c r="B115" s="152"/>
      <c r="C115" s="152"/>
      <c r="D115" s="87"/>
      <c r="E115" s="51" t="s">
        <v>810</v>
      </c>
      <c r="F115" s="52">
        <f>COUNTIFS(Tabulacao!$BP:$BP,'1Emp'!$E$101,Tabulacao!$BR:$BR,'1Emp'!$E115)</f>
        <v>0</v>
      </c>
      <c r="G115" s="53">
        <f t="shared" si="24"/>
        <v>0</v>
      </c>
      <c r="H115" s="48"/>
      <c r="I115" s="48"/>
      <c r="J115" s="48"/>
      <c r="K115" s="48"/>
      <c r="L115" s="48"/>
      <c r="M115" s="119"/>
      <c r="N115" s="119"/>
      <c r="O115" s="119"/>
      <c r="P115" s="119"/>
      <c r="Q115" s="119"/>
      <c r="R115" s="48"/>
      <c r="S115" s="48"/>
      <c r="T115" s="48"/>
      <c r="U115" s="48"/>
      <c r="V115" s="48"/>
      <c r="W115" s="48"/>
      <c r="X115" s="48"/>
      <c r="Y115" s="48"/>
      <c r="Z115" s="48"/>
      <c r="AA115" s="48"/>
      <c r="AB115" s="48"/>
      <c r="AC115" s="48"/>
      <c r="AD115" s="48"/>
      <c r="AE115" s="48"/>
      <c r="AF115" s="163" t="s">
        <v>122</v>
      </c>
      <c r="AG115" s="164">
        <v>1000</v>
      </c>
      <c r="AH115" s="162"/>
      <c r="AI115" s="162"/>
      <c r="AJ115" s="162"/>
      <c r="AK115" s="162"/>
      <c r="AL115" s="162"/>
      <c r="AM115" s="48"/>
      <c r="AN115" s="48"/>
      <c r="AO115" s="48"/>
      <c r="AP115" s="48"/>
      <c r="AQ115" s="48"/>
      <c r="AR115" s="48"/>
      <c r="AS115" s="48"/>
      <c r="AT115" s="48"/>
      <c r="AU115" s="48"/>
      <c r="AV115" s="48"/>
      <c r="AW115" s="48"/>
      <c r="AX115" s="48"/>
      <c r="AY115" s="48"/>
    </row>
    <row r="116" spans="2:51" x14ac:dyDescent="0.2">
      <c r="B116" s="152"/>
      <c r="C116" s="152"/>
      <c r="D116" s="87"/>
      <c r="E116" s="51" t="s">
        <v>480</v>
      </c>
      <c r="F116" s="52">
        <f>COUNTIFS(Tabulacao!$BP:$BP,'1Emp'!$E$101,Tabulacao!$BR:$BR,'1Emp'!$E116)</f>
        <v>2</v>
      </c>
      <c r="G116" s="53">
        <f t="shared" si="24"/>
        <v>1.2269938650306749E-2</v>
      </c>
      <c r="H116" s="48"/>
      <c r="I116" s="48"/>
      <c r="J116" s="48"/>
      <c r="K116" s="48"/>
      <c r="L116" s="48"/>
      <c r="M116" s="119"/>
      <c r="N116" s="119"/>
      <c r="O116" s="119"/>
      <c r="P116" s="119"/>
      <c r="Q116" s="119"/>
      <c r="R116" s="48"/>
      <c r="S116" s="48"/>
      <c r="T116" s="48"/>
      <c r="U116" s="48"/>
      <c r="V116" s="48"/>
      <c r="W116" s="48"/>
      <c r="X116" s="48"/>
      <c r="Y116" s="48"/>
      <c r="Z116" s="48"/>
      <c r="AA116" s="48"/>
      <c r="AB116" s="48"/>
      <c r="AC116" s="48"/>
      <c r="AD116" s="48"/>
      <c r="AE116" s="48"/>
      <c r="AF116" s="163" t="s">
        <v>121</v>
      </c>
      <c r="AG116" s="164">
        <v>1500</v>
      </c>
      <c r="AH116" s="162"/>
      <c r="AI116" s="162"/>
      <c r="AJ116" s="162"/>
      <c r="AK116" s="162"/>
      <c r="AL116" s="162"/>
      <c r="AM116" s="48"/>
      <c r="AN116" s="48"/>
      <c r="AO116" s="48"/>
      <c r="AP116" s="48"/>
      <c r="AQ116" s="48"/>
      <c r="AR116" s="48"/>
      <c r="AS116" s="48"/>
      <c r="AT116" s="48"/>
      <c r="AU116" s="48"/>
      <c r="AV116" s="48"/>
      <c r="AW116" s="48"/>
      <c r="AX116" s="48"/>
      <c r="AY116" s="48"/>
    </row>
    <row r="117" spans="2:51" x14ac:dyDescent="0.2">
      <c r="B117" s="152"/>
      <c r="C117" s="152"/>
      <c r="D117" s="87"/>
      <c r="E117" s="51" t="s">
        <v>542</v>
      </c>
      <c r="F117" s="52">
        <f>COUNTIFS(Tabulacao!$BP:$BP,'1Emp'!$E$101,Tabulacao!$BR:$BR,'1Emp'!$E117)</f>
        <v>0</v>
      </c>
      <c r="G117" s="53">
        <f t="shared" si="24"/>
        <v>0</v>
      </c>
      <c r="H117" s="48"/>
      <c r="I117" s="48"/>
      <c r="J117" s="48"/>
      <c r="K117" s="48"/>
      <c r="L117" s="48"/>
      <c r="M117" s="119"/>
      <c r="N117" s="119"/>
      <c r="O117" s="119"/>
      <c r="P117" s="119"/>
      <c r="Q117" s="119"/>
      <c r="R117" s="48"/>
      <c r="S117" s="48"/>
      <c r="T117" s="48"/>
      <c r="U117" s="48"/>
      <c r="V117" s="48"/>
      <c r="W117" s="48"/>
      <c r="X117" s="48"/>
      <c r="Y117" s="48"/>
      <c r="Z117" s="48"/>
      <c r="AA117" s="48"/>
      <c r="AB117" s="48"/>
      <c r="AC117" s="48"/>
      <c r="AD117" s="48"/>
      <c r="AE117" s="48"/>
      <c r="AF117" s="163" t="s">
        <v>121</v>
      </c>
      <c r="AG117" s="164">
        <v>600</v>
      </c>
      <c r="AH117" s="162"/>
      <c r="AI117" s="162"/>
      <c r="AJ117" s="162"/>
      <c r="AK117" s="162"/>
      <c r="AL117" s="162"/>
      <c r="AM117" s="48"/>
      <c r="AN117" s="48"/>
      <c r="AO117" s="48"/>
      <c r="AP117" s="48"/>
      <c r="AQ117" s="48"/>
      <c r="AR117" s="48"/>
      <c r="AS117" s="48"/>
      <c r="AT117" s="48"/>
      <c r="AU117" s="48"/>
      <c r="AV117" s="48"/>
      <c r="AW117" s="48"/>
      <c r="AX117" s="48"/>
      <c r="AY117" s="48"/>
    </row>
    <row r="118" spans="2:51" x14ac:dyDescent="0.2">
      <c r="B118" s="152"/>
      <c r="C118" s="152"/>
      <c r="D118" s="87"/>
      <c r="E118" s="51" t="s">
        <v>526</v>
      </c>
      <c r="F118" s="52">
        <f>COUNTIFS(Tabulacao!$BP:$BP,'1Emp'!$E$101,Tabulacao!$BR:$BR,'1Emp'!$E118)</f>
        <v>0</v>
      </c>
      <c r="G118" s="53">
        <f t="shared" si="24"/>
        <v>0</v>
      </c>
      <c r="H118" s="48"/>
      <c r="I118" s="48"/>
      <c r="J118" s="48"/>
      <c r="K118" s="48"/>
      <c r="L118" s="48"/>
      <c r="M118" s="119"/>
      <c r="N118" s="119"/>
      <c r="O118" s="119"/>
      <c r="P118" s="119"/>
      <c r="Q118" s="119"/>
      <c r="R118" s="48"/>
      <c r="S118" s="48"/>
      <c r="T118" s="48"/>
      <c r="U118" s="48"/>
      <c r="V118" s="48"/>
      <c r="W118" s="48"/>
      <c r="X118" s="48"/>
      <c r="Y118" s="48"/>
      <c r="Z118" s="48"/>
      <c r="AA118" s="48"/>
      <c r="AB118" s="48"/>
      <c r="AC118" s="48"/>
      <c r="AD118" s="48"/>
      <c r="AE118" s="48"/>
      <c r="AF118" s="163" t="s">
        <v>121</v>
      </c>
      <c r="AG118" s="164">
        <v>1300</v>
      </c>
      <c r="AH118" s="162"/>
      <c r="AI118" s="162"/>
      <c r="AJ118" s="162"/>
      <c r="AK118" s="162"/>
      <c r="AL118" s="162"/>
      <c r="AM118" s="48"/>
      <c r="AN118" s="48"/>
      <c r="AO118" s="48"/>
      <c r="AP118" s="48"/>
      <c r="AQ118" s="48"/>
      <c r="AR118" s="48"/>
      <c r="AS118" s="48"/>
      <c r="AT118" s="48"/>
      <c r="AU118" s="48"/>
      <c r="AV118" s="48"/>
      <c r="AW118" s="48"/>
      <c r="AX118" s="48"/>
      <c r="AY118" s="48"/>
    </row>
    <row r="119" spans="2:51" x14ac:dyDescent="0.2">
      <c r="B119" s="152"/>
      <c r="C119" s="152"/>
      <c r="D119" s="87"/>
      <c r="E119" s="51" t="s">
        <v>1113</v>
      </c>
      <c r="F119" s="52">
        <f>COUNTIFS(Tabulacao!$BP:$BP,'1Emp'!$E$101,Tabulacao!$BR:$BR,'1Emp'!$E119)</f>
        <v>0</v>
      </c>
      <c r="G119" s="53">
        <f t="shared" si="24"/>
        <v>0</v>
      </c>
      <c r="H119" s="48"/>
      <c r="I119" s="48"/>
      <c r="J119" s="48"/>
      <c r="K119" s="48"/>
      <c r="L119" s="48"/>
      <c r="M119" s="119"/>
      <c r="N119" s="119"/>
      <c r="O119" s="119"/>
      <c r="P119" s="119"/>
      <c r="Q119" s="119"/>
      <c r="R119" s="48"/>
      <c r="S119" s="48"/>
      <c r="T119" s="48"/>
      <c r="U119" s="48"/>
      <c r="V119" s="48"/>
      <c r="W119" s="48"/>
      <c r="X119" s="48"/>
      <c r="Y119" s="48"/>
      <c r="Z119" s="48"/>
      <c r="AA119" s="48"/>
      <c r="AB119" s="48"/>
      <c r="AC119" s="48"/>
      <c r="AD119" s="48"/>
      <c r="AE119" s="48"/>
      <c r="AF119" s="163" t="s">
        <v>121</v>
      </c>
      <c r="AG119" s="164">
        <v>3400</v>
      </c>
      <c r="AH119" s="162"/>
      <c r="AI119" s="162"/>
      <c r="AJ119" s="162"/>
      <c r="AK119" s="162"/>
      <c r="AL119" s="162"/>
      <c r="AM119" s="48"/>
      <c r="AN119" s="48"/>
      <c r="AO119" s="48"/>
      <c r="AP119" s="48"/>
      <c r="AQ119" s="48"/>
      <c r="AR119" s="48"/>
      <c r="AS119" s="48"/>
      <c r="AT119" s="48"/>
      <c r="AU119" s="48"/>
      <c r="AV119" s="48"/>
      <c r="AW119" s="48"/>
      <c r="AX119" s="48"/>
      <c r="AY119" s="48"/>
    </row>
    <row r="120" spans="2:51" x14ac:dyDescent="0.2">
      <c r="B120" s="152"/>
      <c r="C120" s="152"/>
      <c r="D120" s="87"/>
      <c r="E120" s="51" t="s">
        <v>1131</v>
      </c>
      <c r="F120" s="52">
        <f>COUNTIFS(Tabulacao!$BP:$BP,'1Emp'!$E$101,Tabulacao!$BR:$BR,'1Emp'!$E120)</f>
        <v>0</v>
      </c>
      <c r="G120" s="53">
        <f t="shared" si="24"/>
        <v>0</v>
      </c>
      <c r="H120" s="48"/>
      <c r="I120" s="48"/>
      <c r="J120" s="48"/>
      <c r="K120" s="48"/>
      <c r="L120" s="48"/>
      <c r="M120" s="119"/>
      <c r="N120" s="119"/>
      <c r="O120" s="119"/>
      <c r="P120" s="119"/>
      <c r="Q120" s="119"/>
      <c r="R120" s="48"/>
      <c r="S120" s="48"/>
      <c r="T120" s="48"/>
      <c r="U120" s="48"/>
      <c r="V120" s="48"/>
      <c r="W120" s="48"/>
      <c r="X120" s="48"/>
      <c r="Y120" s="48"/>
      <c r="Z120" s="48"/>
      <c r="AA120" s="48"/>
      <c r="AB120" s="48"/>
      <c r="AC120" s="48"/>
      <c r="AD120" s="48"/>
      <c r="AE120" s="48"/>
      <c r="AF120" s="163" t="s">
        <v>121</v>
      </c>
      <c r="AG120" s="164">
        <v>1700</v>
      </c>
      <c r="AH120" s="162"/>
      <c r="AI120" s="162"/>
      <c r="AJ120" s="162"/>
      <c r="AK120" s="162"/>
      <c r="AL120" s="162"/>
      <c r="AM120" s="48"/>
      <c r="AN120" s="48"/>
      <c r="AO120" s="48"/>
      <c r="AP120" s="48"/>
      <c r="AQ120" s="48"/>
      <c r="AR120" s="48"/>
      <c r="AS120" s="48"/>
      <c r="AT120" s="48"/>
      <c r="AU120" s="48"/>
      <c r="AV120" s="48"/>
      <c r="AW120" s="48"/>
      <c r="AX120" s="48"/>
      <c r="AY120" s="48"/>
    </row>
    <row r="121" spans="2:51" x14ac:dyDescent="0.2">
      <c r="B121" s="152"/>
      <c r="C121" s="152"/>
      <c r="D121" s="87"/>
      <c r="E121" s="51" t="s">
        <v>1133</v>
      </c>
      <c r="F121" s="52">
        <f>COUNTIFS(Tabulacao!$BP:$BP,'1Emp'!$E$101,Tabulacao!$BR:$BR,'1Emp'!$E121)</f>
        <v>0</v>
      </c>
      <c r="G121" s="53">
        <f t="shared" si="24"/>
        <v>0</v>
      </c>
      <c r="H121" s="48"/>
      <c r="I121" s="48"/>
      <c r="J121" s="48"/>
      <c r="K121" s="48"/>
      <c r="L121" s="48"/>
      <c r="M121" s="119"/>
      <c r="N121" s="119"/>
      <c r="O121" s="119"/>
      <c r="P121" s="119"/>
      <c r="Q121" s="119"/>
      <c r="R121" s="48"/>
      <c r="S121" s="48"/>
      <c r="T121" s="48"/>
      <c r="U121" s="48"/>
      <c r="V121" s="48"/>
      <c r="W121" s="48"/>
      <c r="X121" s="48"/>
      <c r="Y121" s="48"/>
      <c r="Z121" s="48"/>
      <c r="AA121" s="48"/>
      <c r="AB121" s="48"/>
      <c r="AC121" s="48"/>
      <c r="AD121" s="48"/>
      <c r="AE121" s="48"/>
      <c r="AF121" s="163" t="s">
        <v>121</v>
      </c>
      <c r="AG121" s="164">
        <v>630</v>
      </c>
      <c r="AH121" s="162"/>
      <c r="AI121" s="162"/>
      <c r="AJ121" s="162"/>
      <c r="AK121" s="162"/>
      <c r="AL121" s="162"/>
      <c r="AM121" s="48"/>
      <c r="AN121" s="48"/>
      <c r="AO121" s="48"/>
      <c r="AP121" s="48"/>
      <c r="AQ121" s="48"/>
      <c r="AR121" s="48"/>
      <c r="AS121" s="48"/>
      <c r="AT121" s="48"/>
      <c r="AU121" s="48"/>
      <c r="AV121" s="48"/>
      <c r="AW121" s="48"/>
      <c r="AX121" s="48"/>
      <c r="AY121" s="48"/>
    </row>
    <row r="122" spans="2:51" x14ac:dyDescent="0.2">
      <c r="B122" s="152"/>
      <c r="C122" s="152"/>
      <c r="D122" s="87"/>
      <c r="E122" s="51" t="s">
        <v>657</v>
      </c>
      <c r="F122" s="52">
        <f>COUNTIFS(Tabulacao!$BP:$BP,'1Emp'!$E$101,Tabulacao!$BR:$BR,'1Emp'!$E122)</f>
        <v>2</v>
      </c>
      <c r="G122" s="53">
        <f t="shared" si="24"/>
        <v>1.2269938650306749E-2</v>
      </c>
      <c r="H122" s="48"/>
      <c r="I122" s="48"/>
      <c r="J122" s="48"/>
      <c r="K122" s="48"/>
      <c r="L122" s="48"/>
      <c r="M122" s="119"/>
      <c r="N122" s="119"/>
      <c r="O122" s="119"/>
      <c r="P122" s="119"/>
      <c r="Q122" s="119"/>
      <c r="R122" s="48"/>
      <c r="S122" s="48"/>
      <c r="T122" s="48"/>
      <c r="U122" s="48"/>
      <c r="V122" s="48"/>
      <c r="W122" s="48"/>
      <c r="X122" s="48"/>
      <c r="Y122" s="48"/>
      <c r="Z122" s="48"/>
      <c r="AA122" s="48"/>
      <c r="AB122" s="48"/>
      <c r="AC122" s="48"/>
      <c r="AD122" s="48"/>
      <c r="AE122" s="48"/>
      <c r="AF122" s="163" t="s">
        <v>121</v>
      </c>
      <c r="AG122" s="164">
        <v>1300</v>
      </c>
      <c r="AH122" s="162"/>
      <c r="AI122" s="162"/>
      <c r="AJ122" s="162"/>
      <c r="AK122" s="162"/>
      <c r="AL122" s="162"/>
      <c r="AM122" s="48"/>
      <c r="AN122" s="48"/>
      <c r="AO122" s="48"/>
      <c r="AP122" s="48"/>
      <c r="AQ122" s="48"/>
      <c r="AR122" s="48"/>
      <c r="AS122" s="48"/>
      <c r="AT122" s="48"/>
      <c r="AU122" s="48"/>
      <c r="AV122" s="48"/>
      <c r="AW122" s="48"/>
      <c r="AX122" s="48"/>
      <c r="AY122" s="48"/>
    </row>
    <row r="123" spans="2:51" x14ac:dyDescent="0.2">
      <c r="B123" s="152"/>
      <c r="C123" s="152"/>
      <c r="D123" s="87"/>
      <c r="E123" s="51" t="s">
        <v>605</v>
      </c>
      <c r="F123" s="52">
        <f>COUNTIFS(Tabulacao!$BP:$BP,'1Emp'!$E$101,Tabulacao!$BR:$BR,'1Emp'!$E123)</f>
        <v>1</v>
      </c>
      <c r="G123" s="53">
        <f t="shared" si="24"/>
        <v>6.1349693251533744E-3</v>
      </c>
      <c r="H123" s="48"/>
      <c r="I123" s="48"/>
      <c r="J123" s="48"/>
      <c r="K123" s="48"/>
      <c r="L123" s="48"/>
      <c r="M123" s="119"/>
      <c r="N123" s="119"/>
      <c r="O123" s="119"/>
      <c r="P123" s="119"/>
      <c r="Q123" s="119"/>
      <c r="R123" s="48"/>
      <c r="S123" s="48"/>
      <c r="T123" s="48"/>
      <c r="U123" s="48"/>
      <c r="V123" s="48"/>
      <c r="W123" s="48"/>
      <c r="X123" s="48"/>
      <c r="Y123" s="48"/>
      <c r="Z123" s="48"/>
      <c r="AA123" s="48"/>
      <c r="AB123" s="48"/>
      <c r="AC123" s="48"/>
      <c r="AD123" s="48"/>
      <c r="AE123" s="48"/>
      <c r="AF123" s="163" t="s">
        <v>121</v>
      </c>
      <c r="AG123" s="164">
        <v>422</v>
      </c>
      <c r="AH123" s="162"/>
      <c r="AI123" s="162"/>
      <c r="AJ123" s="162"/>
      <c r="AK123" s="162"/>
      <c r="AL123" s="162"/>
      <c r="AM123" s="48"/>
      <c r="AN123" s="48"/>
      <c r="AO123" s="48"/>
      <c r="AP123" s="48"/>
      <c r="AQ123" s="48"/>
      <c r="AR123" s="48"/>
      <c r="AS123" s="48"/>
      <c r="AT123" s="48"/>
      <c r="AU123" s="48"/>
      <c r="AV123" s="48"/>
      <c r="AW123" s="48"/>
      <c r="AX123" s="48"/>
      <c r="AY123" s="48"/>
    </row>
    <row r="124" spans="2:51" x14ac:dyDescent="0.2">
      <c r="B124" s="152"/>
      <c r="C124" s="152"/>
      <c r="D124" s="87"/>
      <c r="E124" s="51" t="s">
        <v>297</v>
      </c>
      <c r="F124" s="52">
        <f>COUNTIFS(Tabulacao!$BP:$BP,'1Emp'!$E$101,Tabulacao!$BR:$BR,'1Emp'!$E124)</f>
        <v>0</v>
      </c>
      <c r="G124" s="53">
        <f t="shared" si="24"/>
        <v>0</v>
      </c>
      <c r="H124" s="48"/>
      <c r="I124" s="48"/>
      <c r="J124" s="48"/>
      <c r="K124" s="48"/>
      <c r="L124" s="48"/>
      <c r="M124" s="119"/>
      <c r="N124" s="119"/>
      <c r="O124" s="119"/>
      <c r="P124" s="119"/>
      <c r="Q124" s="119"/>
      <c r="R124" s="48"/>
      <c r="S124" s="48"/>
      <c r="T124" s="48"/>
      <c r="U124" s="48"/>
      <c r="V124" s="48"/>
      <c r="W124" s="48"/>
      <c r="X124" s="48"/>
      <c r="Y124" s="48"/>
      <c r="Z124" s="48"/>
      <c r="AA124" s="48"/>
      <c r="AB124" s="48"/>
      <c r="AC124" s="48"/>
      <c r="AD124" s="48"/>
      <c r="AE124" s="48"/>
      <c r="AF124" s="163" t="s">
        <v>121</v>
      </c>
      <c r="AG124" s="164">
        <v>1800</v>
      </c>
      <c r="AH124" s="162"/>
      <c r="AI124" s="162"/>
      <c r="AJ124" s="162"/>
      <c r="AK124" s="162"/>
      <c r="AL124" s="162"/>
      <c r="AM124" s="48"/>
      <c r="AN124" s="48"/>
      <c r="AO124" s="48"/>
      <c r="AP124" s="48"/>
      <c r="AQ124" s="48"/>
      <c r="AR124" s="48"/>
      <c r="AS124" s="48"/>
      <c r="AT124" s="48"/>
      <c r="AU124" s="48"/>
      <c r="AV124" s="48"/>
      <c r="AW124" s="48"/>
      <c r="AX124" s="48"/>
      <c r="AY124" s="48"/>
    </row>
    <row r="125" spans="2:51" x14ac:dyDescent="0.2">
      <c r="B125" s="152"/>
      <c r="C125" s="152"/>
      <c r="D125" s="87"/>
      <c r="E125" s="51" t="s">
        <v>1109</v>
      </c>
      <c r="F125" s="52">
        <f>COUNTIFS(Tabulacao!$BP:$BP,'1Emp'!$E$101,Tabulacao!$BR:$BR,'1Emp'!$E125)</f>
        <v>0</v>
      </c>
      <c r="G125" s="53">
        <f t="shared" si="24"/>
        <v>0</v>
      </c>
      <c r="H125" s="48"/>
      <c r="I125" s="48"/>
      <c r="J125" s="48"/>
      <c r="K125" s="48"/>
      <c r="L125" s="48"/>
      <c r="M125" s="119"/>
      <c r="N125" s="119"/>
      <c r="O125" s="119"/>
      <c r="P125" s="119"/>
      <c r="Q125" s="119"/>
      <c r="R125" s="48"/>
      <c r="S125" s="48"/>
      <c r="T125" s="48"/>
      <c r="U125" s="48"/>
      <c r="V125" s="48"/>
      <c r="W125" s="48"/>
      <c r="X125" s="48"/>
      <c r="Y125" s="48"/>
      <c r="Z125" s="48"/>
      <c r="AA125" s="48"/>
      <c r="AB125" s="48"/>
      <c r="AC125" s="48"/>
      <c r="AD125" s="48"/>
      <c r="AE125" s="48"/>
      <c r="AF125" s="163" t="s">
        <v>121</v>
      </c>
      <c r="AG125" s="164">
        <v>1300</v>
      </c>
      <c r="AH125" s="162"/>
      <c r="AI125" s="162"/>
      <c r="AJ125" s="162"/>
      <c r="AK125" s="162"/>
      <c r="AL125" s="162"/>
      <c r="AM125" s="48"/>
      <c r="AN125" s="48"/>
      <c r="AO125" s="156" t="s">
        <v>1183</v>
      </c>
      <c r="AP125" s="48"/>
      <c r="AQ125" s="48"/>
      <c r="AR125" s="48"/>
      <c r="AS125" s="48"/>
      <c r="AT125" s="48"/>
      <c r="AU125" s="48"/>
      <c r="AV125" s="48"/>
      <c r="AW125" s="48"/>
      <c r="AX125" s="48"/>
      <c r="AY125" s="48"/>
    </row>
    <row r="126" spans="2:51" x14ac:dyDescent="0.2">
      <c r="B126" s="152"/>
      <c r="C126" s="152"/>
      <c r="D126" s="87"/>
      <c r="E126" s="51" t="s">
        <v>308</v>
      </c>
      <c r="F126" s="52">
        <f>COUNTIFS(Tabulacao!$BP:$BP,'1Emp'!$E$101,Tabulacao!$BR:$BR,'1Emp'!$E126)</f>
        <v>0</v>
      </c>
      <c r="G126" s="53">
        <f t="shared" si="24"/>
        <v>0</v>
      </c>
      <c r="H126" s="48"/>
      <c r="I126" s="48"/>
      <c r="J126" s="48"/>
      <c r="K126" s="48"/>
      <c r="L126" s="48"/>
      <c r="M126" s="119"/>
      <c r="N126" s="119"/>
      <c r="O126" s="119"/>
      <c r="P126" s="119"/>
      <c r="Q126" s="119"/>
      <c r="R126" s="48"/>
      <c r="S126" s="48"/>
      <c r="T126" s="48"/>
      <c r="U126" s="48"/>
      <c r="V126" s="48"/>
      <c r="W126" s="48"/>
      <c r="X126" s="48"/>
      <c r="Y126" s="48"/>
      <c r="Z126" s="48"/>
      <c r="AA126" s="48"/>
      <c r="AB126" s="48"/>
      <c r="AC126" s="48"/>
      <c r="AD126" s="48"/>
      <c r="AE126" s="48"/>
      <c r="AF126" s="163" t="s">
        <v>121</v>
      </c>
      <c r="AG126" s="164">
        <v>2000</v>
      </c>
      <c r="AH126" s="162"/>
      <c r="AI126" s="162"/>
      <c r="AJ126" s="162"/>
      <c r="AK126" s="162"/>
      <c r="AL126" s="162"/>
      <c r="AM126" s="48"/>
      <c r="AN126" s="48"/>
      <c r="AO126" s="48"/>
      <c r="AP126" s="48"/>
      <c r="AQ126" s="48"/>
      <c r="AR126" s="48"/>
      <c r="AS126" s="48"/>
      <c r="AT126" s="48"/>
      <c r="AU126" s="48"/>
      <c r="AV126" s="48"/>
      <c r="AW126" s="48"/>
      <c r="AX126" s="48"/>
      <c r="AY126" s="48"/>
    </row>
    <row r="127" spans="2:51" x14ac:dyDescent="0.2">
      <c r="B127" s="152"/>
      <c r="C127" s="152"/>
      <c r="D127" s="87"/>
      <c r="E127" s="51" t="s">
        <v>1110</v>
      </c>
      <c r="F127" s="52">
        <f>COUNTIFS(Tabulacao!$BP:$BP,'1Emp'!$E$101,Tabulacao!$BR:$BR,'1Emp'!$E127)</f>
        <v>0</v>
      </c>
      <c r="G127" s="53">
        <f t="shared" si="24"/>
        <v>0</v>
      </c>
      <c r="H127" s="48"/>
      <c r="I127" s="48"/>
      <c r="J127" s="48"/>
      <c r="K127" s="48"/>
      <c r="L127" s="48"/>
      <c r="M127" s="119"/>
      <c r="N127" s="119"/>
      <c r="O127" s="119"/>
      <c r="P127" s="119"/>
      <c r="Q127" s="119"/>
      <c r="R127" s="48"/>
      <c r="S127" s="48"/>
      <c r="T127" s="48"/>
      <c r="U127" s="48"/>
      <c r="V127" s="48"/>
      <c r="W127" s="48"/>
      <c r="X127" s="48"/>
      <c r="Y127" s="48"/>
      <c r="Z127" s="48"/>
      <c r="AA127" s="48"/>
      <c r="AB127" s="48"/>
      <c r="AC127" s="48"/>
      <c r="AD127" s="48"/>
      <c r="AE127" s="48"/>
      <c r="AF127" s="163" t="s">
        <v>121</v>
      </c>
      <c r="AG127" s="164">
        <v>500</v>
      </c>
      <c r="AH127" s="162"/>
      <c r="AI127" s="162"/>
      <c r="AJ127" s="162"/>
      <c r="AK127" s="162"/>
      <c r="AL127" s="162"/>
      <c r="AM127" s="273"/>
      <c r="AN127" s="341" t="s">
        <v>1159</v>
      </c>
      <c r="AO127" s="261" t="s">
        <v>120</v>
      </c>
      <c r="AP127" s="48"/>
      <c r="AQ127" s="48"/>
      <c r="AR127" s="48"/>
      <c r="AS127" s="48"/>
      <c r="AT127" s="48"/>
      <c r="AU127" s="48"/>
      <c r="AV127" s="48"/>
      <c r="AW127" s="48"/>
      <c r="AX127" s="48"/>
      <c r="AY127" s="48"/>
    </row>
    <row r="128" spans="2:51" x14ac:dyDescent="0.2">
      <c r="B128" s="152"/>
      <c r="C128" s="152"/>
      <c r="D128" s="87"/>
      <c r="E128" s="51" t="s">
        <v>1111</v>
      </c>
      <c r="F128" s="52">
        <f>COUNTIFS(Tabulacao!$BP:$BP,'1Emp'!$E$101,Tabulacao!$BR:$BR,'1Emp'!$E128)</f>
        <v>0</v>
      </c>
      <c r="G128" s="53">
        <f t="shared" si="24"/>
        <v>0</v>
      </c>
      <c r="H128" s="48"/>
      <c r="I128" s="48"/>
      <c r="J128" s="48"/>
      <c r="K128" s="48"/>
      <c r="L128" s="48"/>
      <c r="M128" s="119"/>
      <c r="N128" s="119"/>
      <c r="O128" s="119"/>
      <c r="P128" s="119"/>
      <c r="Q128" s="119"/>
      <c r="R128" s="48"/>
      <c r="S128" s="48"/>
      <c r="T128" s="48"/>
      <c r="U128" s="48"/>
      <c r="V128" s="48"/>
      <c r="W128" s="48"/>
      <c r="X128" s="48"/>
      <c r="Y128" s="48"/>
      <c r="Z128" s="48"/>
      <c r="AA128" s="48"/>
      <c r="AB128" s="48"/>
      <c r="AC128" s="48"/>
      <c r="AD128" s="48"/>
      <c r="AE128" s="48"/>
      <c r="AF128" s="163" t="s">
        <v>121</v>
      </c>
      <c r="AG128" s="164">
        <v>420</v>
      </c>
      <c r="AH128" s="162"/>
      <c r="AI128" s="162"/>
      <c r="AJ128" s="162"/>
      <c r="AK128" s="162"/>
      <c r="AL128" s="162"/>
      <c r="AM128" s="48"/>
      <c r="AN128" s="48"/>
      <c r="AO128" s="186" t="s">
        <v>989</v>
      </c>
      <c r="AP128" s="187" t="s">
        <v>131</v>
      </c>
      <c r="AQ128" s="187" t="s">
        <v>132</v>
      </c>
      <c r="AR128" s="48"/>
      <c r="AS128" s="48"/>
      <c r="AT128" s="48"/>
      <c r="AU128" s="48"/>
      <c r="AV128" s="48"/>
      <c r="AW128" s="48"/>
      <c r="AX128" s="48"/>
      <c r="AY128" s="48"/>
    </row>
    <row r="129" spans="2:51" x14ac:dyDescent="0.2">
      <c r="B129" s="152"/>
      <c r="C129" s="152"/>
      <c r="D129" s="87"/>
      <c r="E129" s="51" t="s">
        <v>323</v>
      </c>
      <c r="F129" s="52">
        <f>COUNTIFS(Tabulacao!$BP:$BP,'1Emp'!$E$101,Tabulacao!$BR:$BR,'1Emp'!$E129)</f>
        <v>1</v>
      </c>
      <c r="G129" s="53">
        <f t="shared" si="24"/>
        <v>6.1349693251533744E-3</v>
      </c>
      <c r="H129" s="48"/>
      <c r="I129" s="48"/>
      <c r="J129" s="48"/>
      <c r="K129" s="48"/>
      <c r="L129" s="48"/>
      <c r="M129" s="119"/>
      <c r="N129" s="119"/>
      <c r="O129" s="119"/>
      <c r="P129" s="119"/>
      <c r="Q129" s="119"/>
      <c r="R129" s="48"/>
      <c r="S129" s="48"/>
      <c r="T129" s="48"/>
      <c r="U129" s="48"/>
      <c r="V129" s="48"/>
      <c r="W129" s="48"/>
      <c r="X129" s="48"/>
      <c r="Y129" s="48"/>
      <c r="Z129" s="48"/>
      <c r="AA129" s="48"/>
      <c r="AB129" s="48"/>
      <c r="AC129" s="48"/>
      <c r="AD129" s="48"/>
      <c r="AE129" s="48"/>
      <c r="AF129" s="163" t="s">
        <v>121</v>
      </c>
      <c r="AG129" s="164">
        <v>890</v>
      </c>
      <c r="AH129" s="162"/>
      <c r="AI129" s="162"/>
      <c r="AJ129" s="162"/>
      <c r="AK129" s="162"/>
      <c r="AL129" s="162"/>
      <c r="AM129" s="48"/>
      <c r="AN129" s="48"/>
      <c r="AO129" s="60" t="str">
        <f>AO105</f>
        <v>Sim</v>
      </c>
      <c r="AP129" s="52">
        <f>IFERROR(COUNTIFS(Respostas_Formatadas!$C:$C,$AO$127,Respostas_Formatadas!$AL:$AL,'1Emp'!$AO129),"-")</f>
        <v>11</v>
      </c>
      <c r="AQ129" s="53">
        <f>IFERROR(AP129/SUM($AP$129:$AP$130),"-")</f>
        <v>0.61111111111111116</v>
      </c>
      <c r="AR129" s="48"/>
      <c r="AS129" s="48"/>
      <c r="AT129" s="48"/>
      <c r="AU129" s="48"/>
      <c r="AV129" s="48"/>
      <c r="AW129" s="48"/>
      <c r="AX129" s="48"/>
      <c r="AY129" s="48"/>
    </row>
    <row r="130" spans="2:51" x14ac:dyDescent="0.2">
      <c r="B130" s="152"/>
      <c r="C130" s="152"/>
      <c r="D130" s="87"/>
      <c r="E130" s="51" t="s">
        <v>334</v>
      </c>
      <c r="F130" s="52">
        <f>COUNTIFS(Tabulacao!$BP:$BP,'1Emp'!$E$101,Tabulacao!$BR:$BR,'1Emp'!$E130)</f>
        <v>0</v>
      </c>
      <c r="G130" s="53">
        <f t="shared" si="24"/>
        <v>0</v>
      </c>
      <c r="H130" s="48"/>
      <c r="I130" s="48"/>
      <c r="J130" s="48"/>
      <c r="K130" s="48"/>
      <c r="L130" s="48"/>
      <c r="M130" s="119"/>
      <c r="N130" s="119"/>
      <c r="O130" s="119"/>
      <c r="P130" s="119"/>
      <c r="Q130" s="119"/>
      <c r="R130" s="48"/>
      <c r="S130" s="48"/>
      <c r="T130" s="48"/>
      <c r="U130" s="48"/>
      <c r="V130" s="48"/>
      <c r="W130" s="48"/>
      <c r="X130" s="48"/>
      <c r="Y130" s="48"/>
      <c r="Z130" s="48"/>
      <c r="AA130" s="48"/>
      <c r="AB130" s="48"/>
      <c r="AC130" s="48"/>
      <c r="AD130" s="48"/>
      <c r="AE130" s="48"/>
      <c r="AF130" s="163" t="s">
        <v>121</v>
      </c>
      <c r="AG130" s="164">
        <v>400</v>
      </c>
      <c r="AH130" s="162"/>
      <c r="AI130" s="162"/>
      <c r="AJ130" s="162"/>
      <c r="AK130" s="162"/>
      <c r="AL130" s="162"/>
      <c r="AM130" s="48"/>
      <c r="AN130" s="48"/>
      <c r="AO130" s="60" t="str">
        <f>AO106</f>
        <v>Não</v>
      </c>
      <c r="AP130" s="52">
        <f>IFERROR(COUNTIFS(Respostas_Formatadas!$C:$C,$AO$127,Respostas_Formatadas!$AL:$AL,'1Emp'!$AO130),"-")</f>
        <v>7</v>
      </c>
      <c r="AQ130" s="53">
        <f>IFERROR(AP130/SUM($AP$129:$AP$130),"-")</f>
        <v>0.3888888888888889</v>
      </c>
      <c r="AR130" s="48"/>
      <c r="AS130" s="48"/>
      <c r="AT130" s="48"/>
      <c r="AU130" s="48"/>
      <c r="AV130" s="48"/>
      <c r="AW130" s="48"/>
      <c r="AX130" s="48"/>
      <c r="AY130" s="48"/>
    </row>
    <row r="131" spans="2:51" x14ac:dyDescent="0.2">
      <c r="B131" s="152"/>
      <c r="C131" s="152"/>
      <c r="D131" s="87"/>
      <c r="E131" s="51" t="s">
        <v>352</v>
      </c>
      <c r="F131" s="52">
        <f>COUNTIFS(Tabulacao!$BP:$BP,'1Emp'!$E$101,Tabulacao!$BR:$BR,'1Emp'!$E131)</f>
        <v>0</v>
      </c>
      <c r="G131" s="53">
        <f t="shared" si="24"/>
        <v>0</v>
      </c>
      <c r="H131" s="48"/>
      <c r="I131" s="48"/>
      <c r="J131" s="48"/>
      <c r="K131" s="48"/>
      <c r="L131" s="48"/>
      <c r="M131" s="119"/>
      <c r="N131" s="119"/>
      <c r="O131" s="119"/>
      <c r="P131" s="119"/>
      <c r="Q131" s="119"/>
      <c r="R131" s="48"/>
      <c r="S131" s="48"/>
      <c r="T131" s="48"/>
      <c r="U131" s="48"/>
      <c r="V131" s="48"/>
      <c r="W131" s="48"/>
      <c r="X131" s="48"/>
      <c r="Y131" s="48"/>
      <c r="Z131" s="48"/>
      <c r="AA131" s="48"/>
      <c r="AB131" s="48"/>
      <c r="AC131" s="48"/>
      <c r="AD131" s="48"/>
      <c r="AE131" s="48"/>
      <c r="AF131" s="163" t="s">
        <v>121</v>
      </c>
      <c r="AG131" s="164">
        <v>954</v>
      </c>
      <c r="AH131" s="162"/>
      <c r="AI131" s="162"/>
      <c r="AJ131" s="162"/>
      <c r="AK131" s="162"/>
      <c r="AL131" s="162"/>
      <c r="AM131" s="48"/>
      <c r="AN131" s="48"/>
      <c r="AO131" s="191" t="s">
        <v>621</v>
      </c>
      <c r="AP131" s="192">
        <f>SUM(AP129:AP130)</f>
        <v>18</v>
      </c>
      <c r="AQ131" s="193">
        <f>SUM(AQ129:AQ130)</f>
        <v>1</v>
      </c>
      <c r="AR131" s="48"/>
      <c r="AS131" s="48"/>
      <c r="AT131" s="48"/>
      <c r="AU131" s="48"/>
      <c r="AV131" s="48"/>
      <c r="AW131" s="48"/>
      <c r="AX131" s="48"/>
      <c r="AY131" s="48"/>
    </row>
    <row r="132" spans="2:51" x14ac:dyDescent="0.2">
      <c r="B132" s="152"/>
      <c r="C132" s="152"/>
      <c r="D132" s="87"/>
      <c r="E132" s="51" t="s">
        <v>1115</v>
      </c>
      <c r="F132" s="52">
        <f>COUNTIFS(Tabulacao!$BP:$BP,'1Emp'!$E$101,Tabulacao!$BR:$BR,'1Emp'!$E132)</f>
        <v>0</v>
      </c>
      <c r="G132" s="53">
        <f t="shared" si="24"/>
        <v>0</v>
      </c>
      <c r="H132" s="48"/>
      <c r="I132" s="48"/>
      <c r="J132" s="48"/>
      <c r="K132" s="48"/>
      <c r="L132" s="48"/>
      <c r="M132" s="119"/>
      <c r="N132" s="119"/>
      <c r="O132" s="119"/>
      <c r="P132" s="119"/>
      <c r="Q132" s="119"/>
      <c r="R132" s="48"/>
      <c r="S132" s="48"/>
      <c r="T132" s="48"/>
      <c r="U132" s="48"/>
      <c r="V132" s="48"/>
      <c r="W132" s="48"/>
      <c r="X132" s="48"/>
      <c r="Y132" s="48"/>
      <c r="Z132" s="48"/>
      <c r="AA132" s="48"/>
      <c r="AB132" s="48"/>
      <c r="AC132" s="48"/>
      <c r="AD132" s="48"/>
      <c r="AE132" s="48"/>
      <c r="AF132" s="163" t="s">
        <v>130</v>
      </c>
      <c r="AG132" s="164">
        <v>1500</v>
      </c>
      <c r="AH132" s="162"/>
      <c r="AI132" s="162"/>
      <c r="AJ132" s="162"/>
      <c r="AK132" s="162"/>
      <c r="AL132" s="162"/>
      <c r="AM132" s="48"/>
      <c r="AN132" s="48"/>
      <c r="AO132" s="48"/>
      <c r="AP132" s="48"/>
      <c r="AQ132" s="48"/>
      <c r="AR132" s="48"/>
      <c r="AS132" s="48"/>
      <c r="AT132" s="48"/>
      <c r="AU132" s="48"/>
      <c r="AV132" s="48"/>
      <c r="AW132" s="48"/>
      <c r="AX132" s="48"/>
      <c r="AY132" s="48"/>
    </row>
    <row r="133" spans="2:51" x14ac:dyDescent="0.2">
      <c r="B133" s="152"/>
      <c r="C133" s="152"/>
      <c r="D133" s="87"/>
      <c r="E133" s="51" t="s">
        <v>1118</v>
      </c>
      <c r="F133" s="52">
        <f>COUNTIFS(Tabulacao!$BP:$BP,'1Emp'!$E$101,Tabulacao!$BR:$BR,'1Emp'!$E133)</f>
        <v>0</v>
      </c>
      <c r="G133" s="53">
        <f t="shared" si="24"/>
        <v>0</v>
      </c>
      <c r="H133" s="48"/>
      <c r="I133" s="48"/>
      <c r="J133" s="48"/>
      <c r="K133" s="48"/>
      <c r="L133" s="48"/>
      <c r="M133" s="119"/>
      <c r="N133" s="119"/>
      <c r="O133" s="119"/>
      <c r="P133" s="119"/>
      <c r="Q133" s="119"/>
      <c r="R133" s="48"/>
      <c r="S133" s="48"/>
      <c r="T133" s="48"/>
      <c r="U133" s="48"/>
      <c r="V133" s="48"/>
      <c r="W133" s="48"/>
      <c r="X133" s="48"/>
      <c r="Y133" s="48"/>
      <c r="Z133" s="48"/>
      <c r="AA133" s="48"/>
      <c r="AB133" s="48"/>
      <c r="AC133" s="48"/>
      <c r="AD133" s="48"/>
      <c r="AE133" s="48"/>
      <c r="AF133" s="163" t="s">
        <v>130</v>
      </c>
      <c r="AG133" s="164">
        <v>1300</v>
      </c>
      <c r="AH133" s="162"/>
      <c r="AI133" s="162"/>
      <c r="AJ133" s="162"/>
      <c r="AK133" s="162"/>
      <c r="AL133" s="162"/>
      <c r="AM133" s="48"/>
      <c r="AN133" s="48"/>
      <c r="AO133" s="48"/>
      <c r="AP133" s="48"/>
      <c r="AQ133" s="48"/>
      <c r="AR133" s="48"/>
      <c r="AS133" s="48"/>
      <c r="AT133" s="48"/>
      <c r="AU133" s="48"/>
      <c r="AV133" s="48"/>
      <c r="AW133" s="48"/>
      <c r="AX133" s="48"/>
      <c r="AY133" s="48"/>
    </row>
    <row r="134" spans="2:51" x14ac:dyDescent="0.2">
      <c r="B134" s="152"/>
      <c r="C134" s="152"/>
      <c r="D134" s="87"/>
      <c r="E134" s="51" t="s">
        <v>409</v>
      </c>
      <c r="F134" s="52">
        <f>COUNTIFS(Tabulacao!$BP:$BP,'1Emp'!$E$101,Tabulacao!$BR:$BR,'1Emp'!$E134)</f>
        <v>0</v>
      </c>
      <c r="G134" s="53">
        <f t="shared" si="24"/>
        <v>0</v>
      </c>
      <c r="H134" s="48"/>
      <c r="I134" s="48"/>
      <c r="J134" s="48"/>
      <c r="K134" s="48"/>
      <c r="L134" s="48"/>
      <c r="M134" s="119"/>
      <c r="N134" s="119"/>
      <c r="O134" s="119"/>
      <c r="P134" s="119"/>
      <c r="Q134" s="119"/>
      <c r="R134" s="48"/>
      <c r="S134" s="48"/>
      <c r="T134" s="48"/>
      <c r="U134" s="48"/>
      <c r="V134" s="48"/>
      <c r="W134" s="48"/>
      <c r="X134" s="48"/>
      <c r="Y134" s="48"/>
      <c r="Z134" s="48"/>
      <c r="AA134" s="48"/>
      <c r="AB134" s="48"/>
      <c r="AC134" s="48"/>
      <c r="AD134" s="48"/>
      <c r="AE134" s="48"/>
      <c r="AF134" s="163" t="s">
        <v>130</v>
      </c>
      <c r="AG134" s="164">
        <v>1700</v>
      </c>
      <c r="AH134" s="162"/>
      <c r="AI134" s="162"/>
      <c r="AJ134" s="162"/>
      <c r="AK134" s="162"/>
      <c r="AL134" s="162"/>
      <c r="AM134" s="48"/>
      <c r="AN134" s="48"/>
      <c r="AO134" s="48"/>
      <c r="AP134" s="48"/>
      <c r="AQ134" s="48"/>
      <c r="AR134" s="48"/>
      <c r="AS134" s="48"/>
      <c r="AT134" s="48"/>
      <c r="AU134" s="48"/>
      <c r="AV134" s="48"/>
      <c r="AW134" s="48"/>
      <c r="AX134" s="48"/>
      <c r="AY134" s="48"/>
    </row>
    <row r="135" spans="2:51" x14ac:dyDescent="0.2">
      <c r="B135" s="152"/>
      <c r="C135" s="152"/>
      <c r="D135" s="87"/>
      <c r="E135" s="51" t="s">
        <v>1112</v>
      </c>
      <c r="F135" s="52">
        <f>COUNTIFS(Tabulacao!$BP:$BP,'1Emp'!$E$101,Tabulacao!$BR:$BR,'1Emp'!$E135)</f>
        <v>0</v>
      </c>
      <c r="G135" s="53">
        <f t="shared" ref="G135:G166" si="25">F135/$F$97</f>
        <v>0</v>
      </c>
      <c r="H135" s="48"/>
      <c r="I135" s="48"/>
      <c r="J135" s="48"/>
      <c r="K135" s="48"/>
      <c r="L135" s="48"/>
      <c r="M135" s="119"/>
      <c r="N135" s="119"/>
      <c r="O135" s="119"/>
      <c r="P135" s="119"/>
      <c r="Q135" s="119"/>
      <c r="R135" s="48"/>
      <c r="S135" s="48"/>
      <c r="T135" s="48"/>
      <c r="U135" s="48"/>
      <c r="V135" s="48"/>
      <c r="W135" s="48"/>
      <c r="X135" s="48"/>
      <c r="Y135" s="48"/>
      <c r="Z135" s="48"/>
      <c r="AA135" s="48"/>
      <c r="AB135" s="48"/>
      <c r="AC135" s="48"/>
      <c r="AD135" s="48"/>
      <c r="AE135" s="48"/>
      <c r="AF135" s="163" t="s">
        <v>130</v>
      </c>
      <c r="AG135" s="164">
        <v>2193</v>
      </c>
      <c r="AH135" s="162"/>
      <c r="AI135" s="162"/>
      <c r="AJ135" s="162"/>
      <c r="AK135" s="162"/>
      <c r="AL135" s="162"/>
      <c r="AM135" s="48"/>
      <c r="AN135" s="48"/>
      <c r="AO135" s="48"/>
      <c r="AP135" s="48"/>
      <c r="AQ135" s="48"/>
      <c r="AR135" s="48"/>
      <c r="AS135" s="48"/>
      <c r="AT135" s="48"/>
      <c r="AU135" s="48"/>
      <c r="AV135" s="48"/>
      <c r="AW135" s="48"/>
      <c r="AX135" s="48"/>
      <c r="AY135" s="48"/>
    </row>
    <row r="136" spans="2:51" x14ac:dyDescent="0.2">
      <c r="B136" s="152"/>
      <c r="C136" s="152"/>
      <c r="D136" s="87"/>
      <c r="E136" s="51" t="s">
        <v>414</v>
      </c>
      <c r="F136" s="52">
        <f>COUNTIFS(Tabulacao!$BP:$BP,'1Emp'!$E$101,Tabulacao!$BR:$BR,'1Emp'!$E136)</f>
        <v>1</v>
      </c>
      <c r="G136" s="53">
        <f t="shared" si="25"/>
        <v>6.1349693251533744E-3</v>
      </c>
      <c r="H136" s="48"/>
      <c r="I136" s="48"/>
      <c r="J136" s="48"/>
      <c r="K136" s="48"/>
      <c r="L136" s="48"/>
      <c r="M136" s="119"/>
      <c r="N136" s="119"/>
      <c r="O136" s="119"/>
      <c r="P136" s="119"/>
      <c r="Q136" s="119"/>
      <c r="R136" s="48"/>
      <c r="S136" s="48"/>
      <c r="T136" s="48"/>
      <c r="U136" s="48"/>
      <c r="V136" s="48"/>
      <c r="W136" s="48"/>
      <c r="X136" s="48"/>
      <c r="Y136" s="48"/>
      <c r="Z136" s="48"/>
      <c r="AA136" s="48"/>
      <c r="AB136" s="48"/>
      <c r="AC136" s="48"/>
      <c r="AD136" s="48"/>
      <c r="AE136" s="48"/>
      <c r="AF136" s="163" t="s">
        <v>130</v>
      </c>
      <c r="AG136" s="164">
        <v>3100</v>
      </c>
      <c r="AH136" s="162"/>
      <c r="AI136" s="162"/>
      <c r="AJ136" s="162"/>
      <c r="AK136" s="162"/>
      <c r="AL136" s="162"/>
      <c r="AM136" s="48"/>
      <c r="AN136" s="48"/>
      <c r="AO136" s="48"/>
      <c r="AP136" s="48"/>
      <c r="AQ136" s="48"/>
      <c r="AR136" s="48"/>
      <c r="AS136" s="48"/>
      <c r="AT136" s="48"/>
      <c r="AU136" s="48"/>
      <c r="AV136" s="48"/>
      <c r="AW136" s="48"/>
      <c r="AX136" s="48"/>
      <c r="AY136" s="48"/>
    </row>
    <row r="137" spans="2:51" x14ac:dyDescent="0.2">
      <c r="B137" s="152"/>
      <c r="C137" s="152"/>
      <c r="D137" s="87"/>
      <c r="E137" s="51" t="s">
        <v>1119</v>
      </c>
      <c r="F137" s="52">
        <f>COUNTIFS(Tabulacao!$BP:$BP,'1Emp'!$E$101,Tabulacao!$BR:$BR,'1Emp'!$E137)</f>
        <v>0</v>
      </c>
      <c r="G137" s="53">
        <f t="shared" si="25"/>
        <v>0</v>
      </c>
      <c r="H137" s="48"/>
      <c r="I137" s="48"/>
      <c r="J137" s="48"/>
      <c r="K137" s="48"/>
      <c r="L137" s="48"/>
      <c r="M137" s="119"/>
      <c r="N137" s="119"/>
      <c r="O137" s="119"/>
      <c r="P137" s="119"/>
      <c r="Q137" s="119"/>
      <c r="R137" s="48"/>
      <c r="S137" s="48"/>
      <c r="T137" s="48"/>
      <c r="U137" s="48"/>
      <c r="V137" s="48"/>
      <c r="W137" s="48"/>
      <c r="X137" s="48"/>
      <c r="Y137" s="48"/>
      <c r="Z137" s="48"/>
      <c r="AA137" s="48"/>
      <c r="AB137" s="48"/>
      <c r="AC137" s="48"/>
      <c r="AD137" s="48"/>
      <c r="AE137" s="48"/>
      <c r="AF137" s="163" t="s">
        <v>129</v>
      </c>
      <c r="AG137" s="164">
        <v>1000</v>
      </c>
      <c r="AH137" s="162"/>
      <c r="AI137" s="162"/>
      <c r="AJ137" s="162"/>
      <c r="AK137" s="162"/>
      <c r="AL137" s="162"/>
      <c r="AM137" s="48"/>
      <c r="AN137" s="48"/>
      <c r="AO137" s="48"/>
      <c r="AP137" s="48"/>
      <c r="AQ137" s="48"/>
      <c r="AR137" s="48"/>
      <c r="AS137" s="48"/>
      <c r="AT137" s="48"/>
      <c r="AU137" s="48"/>
      <c r="AV137" s="48"/>
      <c r="AW137" s="48"/>
      <c r="AX137" s="48"/>
      <c r="AY137" s="48"/>
    </row>
    <row r="138" spans="2:51" x14ac:dyDescent="0.2">
      <c r="B138" s="152"/>
      <c r="C138" s="152"/>
      <c r="D138" s="87"/>
      <c r="E138" s="51" t="s">
        <v>439</v>
      </c>
      <c r="F138" s="52">
        <f>COUNTIFS(Tabulacao!$BP:$BP,'1Emp'!$E$101,Tabulacao!$BR:$BR,'1Emp'!$E138)</f>
        <v>0</v>
      </c>
      <c r="G138" s="53">
        <f t="shared" si="25"/>
        <v>0</v>
      </c>
      <c r="H138" s="48"/>
      <c r="I138" s="48"/>
      <c r="J138" s="48"/>
      <c r="K138" s="48"/>
      <c r="L138" s="48"/>
      <c r="M138" s="119"/>
      <c r="N138" s="119"/>
      <c r="O138" s="119"/>
      <c r="P138" s="119"/>
      <c r="Q138" s="119"/>
      <c r="R138" s="48"/>
      <c r="S138" s="48"/>
      <c r="T138" s="48"/>
      <c r="U138" s="48"/>
      <c r="V138" s="48"/>
      <c r="W138" s="48"/>
      <c r="X138" s="48"/>
      <c r="Y138" s="48"/>
      <c r="Z138" s="48"/>
      <c r="AA138" s="48"/>
      <c r="AB138" s="48"/>
      <c r="AC138" s="48"/>
      <c r="AD138" s="48"/>
      <c r="AE138" s="48"/>
      <c r="AF138" s="163" t="s">
        <v>129</v>
      </c>
      <c r="AG138" s="164">
        <v>954</v>
      </c>
      <c r="AH138" s="162"/>
      <c r="AI138" s="162"/>
      <c r="AJ138" s="162"/>
      <c r="AK138" s="162"/>
      <c r="AL138" s="162"/>
      <c r="AM138" s="48"/>
      <c r="AN138" s="48"/>
      <c r="AO138" s="48"/>
      <c r="AP138" s="48"/>
      <c r="AQ138" s="48"/>
      <c r="AR138" s="48"/>
      <c r="AS138" s="48"/>
      <c r="AT138" s="48"/>
      <c r="AU138" s="48"/>
      <c r="AV138" s="48"/>
      <c r="AW138" s="48"/>
      <c r="AX138" s="48"/>
      <c r="AY138" s="48"/>
    </row>
    <row r="139" spans="2:51" x14ac:dyDescent="0.2">
      <c r="B139" s="152"/>
      <c r="C139" s="152"/>
      <c r="D139" s="87"/>
      <c r="E139" s="51" t="s">
        <v>1120</v>
      </c>
      <c r="F139" s="52">
        <f>COUNTIFS(Tabulacao!$BP:$BP,'1Emp'!$E$101,Tabulacao!$BR:$BR,'1Emp'!$E139)</f>
        <v>0</v>
      </c>
      <c r="G139" s="53">
        <f t="shared" si="25"/>
        <v>0</v>
      </c>
      <c r="H139" s="48"/>
      <c r="I139" s="48"/>
      <c r="J139" s="48"/>
      <c r="K139" s="48"/>
      <c r="L139" s="48"/>
      <c r="M139" s="119"/>
      <c r="N139" s="119"/>
      <c r="O139" s="119"/>
      <c r="P139" s="119"/>
      <c r="Q139" s="119"/>
      <c r="R139" s="48"/>
      <c r="S139" s="48"/>
      <c r="T139" s="48"/>
      <c r="U139" s="48"/>
      <c r="V139" s="48"/>
      <c r="W139" s="48"/>
      <c r="X139" s="48"/>
      <c r="Y139" s="48"/>
      <c r="Z139" s="48"/>
      <c r="AA139" s="48"/>
      <c r="AB139" s="48"/>
      <c r="AC139" s="48"/>
      <c r="AD139" s="48"/>
      <c r="AE139" s="48"/>
      <c r="AF139" s="163" t="s">
        <v>126</v>
      </c>
      <c r="AG139" s="164">
        <v>2000</v>
      </c>
      <c r="AH139" s="162"/>
      <c r="AI139" s="162"/>
      <c r="AJ139" s="162"/>
      <c r="AK139" s="162"/>
      <c r="AL139" s="162"/>
      <c r="AM139" s="48"/>
      <c r="AN139" s="48"/>
      <c r="AO139" s="48"/>
      <c r="AP139" s="48"/>
      <c r="AQ139" s="48"/>
      <c r="AR139" s="48"/>
      <c r="AS139" s="48"/>
      <c r="AT139" s="48"/>
      <c r="AU139" s="48"/>
      <c r="AV139" s="48"/>
      <c r="AW139" s="48"/>
      <c r="AX139" s="48"/>
      <c r="AY139" s="48"/>
    </row>
    <row r="140" spans="2:51" x14ac:dyDescent="0.2">
      <c r="B140" s="152"/>
      <c r="C140" s="152"/>
      <c r="D140" s="87"/>
      <c r="E140" s="51" t="s">
        <v>452</v>
      </c>
      <c r="F140" s="52">
        <f>COUNTIFS(Tabulacao!$BP:$BP,'1Emp'!$E$101,Tabulacao!$BR:$BR,'1Emp'!$E140)</f>
        <v>1</v>
      </c>
      <c r="G140" s="53">
        <f t="shared" si="25"/>
        <v>6.1349693251533744E-3</v>
      </c>
      <c r="H140" s="48"/>
      <c r="I140" s="48"/>
      <c r="J140" s="48"/>
      <c r="K140" s="48"/>
      <c r="L140" s="48"/>
      <c r="M140" s="119"/>
      <c r="N140" s="119"/>
      <c r="O140" s="119"/>
      <c r="P140" s="119"/>
      <c r="Q140" s="119"/>
      <c r="R140" s="48"/>
      <c r="S140" s="48"/>
      <c r="T140" s="48"/>
      <c r="U140" s="48"/>
      <c r="V140" s="48"/>
      <c r="W140" s="48"/>
      <c r="X140" s="48"/>
      <c r="Y140" s="48"/>
      <c r="Z140" s="48"/>
      <c r="AA140" s="48"/>
      <c r="AB140" s="48"/>
      <c r="AC140" s="48"/>
      <c r="AD140" s="48"/>
      <c r="AE140" s="48"/>
      <c r="AF140" s="163" t="s">
        <v>126</v>
      </c>
      <c r="AG140" s="164">
        <v>2500</v>
      </c>
      <c r="AH140" s="162"/>
      <c r="AI140" s="162"/>
      <c r="AJ140" s="162"/>
      <c r="AK140" s="162"/>
      <c r="AL140" s="162"/>
      <c r="AM140" s="48"/>
      <c r="AN140" s="48"/>
      <c r="AO140" s="48"/>
      <c r="AP140" s="48"/>
      <c r="AQ140" s="48"/>
      <c r="AR140" s="48"/>
      <c r="AS140" s="48"/>
      <c r="AT140" s="48"/>
      <c r="AU140" s="48"/>
      <c r="AV140" s="48"/>
      <c r="AW140" s="48"/>
      <c r="AX140" s="48"/>
      <c r="AY140" s="48"/>
    </row>
    <row r="141" spans="2:51" x14ac:dyDescent="0.2">
      <c r="B141" s="152"/>
      <c r="C141" s="152"/>
      <c r="D141" s="87"/>
      <c r="E141" s="51" t="s">
        <v>1121</v>
      </c>
      <c r="F141" s="52">
        <f>COUNTIFS(Tabulacao!$BP:$BP,'1Emp'!$E$101,Tabulacao!$BR:$BR,'1Emp'!$E141)</f>
        <v>0</v>
      </c>
      <c r="G141" s="53">
        <f t="shared" si="25"/>
        <v>0</v>
      </c>
      <c r="H141" s="48"/>
      <c r="I141" s="48"/>
      <c r="J141" s="48"/>
      <c r="K141" s="48"/>
      <c r="L141" s="48"/>
      <c r="M141" s="119"/>
      <c r="N141" s="119"/>
      <c r="O141" s="119"/>
      <c r="P141" s="119"/>
      <c r="Q141" s="119"/>
      <c r="R141" s="48"/>
      <c r="S141" s="48"/>
      <c r="T141" s="48"/>
      <c r="U141" s="48"/>
      <c r="V141" s="48"/>
      <c r="W141" s="48"/>
      <c r="X141" s="48"/>
      <c r="Y141" s="48"/>
      <c r="Z141" s="48"/>
      <c r="AA141" s="48"/>
      <c r="AB141" s="48"/>
      <c r="AC141" s="48"/>
      <c r="AD141" s="48"/>
      <c r="AE141" s="48"/>
      <c r="AF141" s="163" t="s">
        <v>126</v>
      </c>
      <c r="AG141" s="164">
        <v>954</v>
      </c>
      <c r="AH141" s="162"/>
      <c r="AI141" s="162"/>
      <c r="AJ141" s="162"/>
      <c r="AK141" s="162"/>
      <c r="AL141" s="162"/>
      <c r="AM141" s="48"/>
      <c r="AN141" s="48"/>
      <c r="AO141" s="48"/>
      <c r="AP141" s="48"/>
      <c r="AQ141" s="48"/>
      <c r="AR141" s="48"/>
      <c r="AS141" s="48"/>
      <c r="AT141" s="48"/>
      <c r="AU141" s="48"/>
      <c r="AV141" s="48"/>
      <c r="AW141" s="48"/>
      <c r="AX141" s="48"/>
      <c r="AY141" s="48"/>
    </row>
    <row r="142" spans="2:51" x14ac:dyDescent="0.2">
      <c r="B142" s="152"/>
      <c r="C142" s="152"/>
      <c r="D142" s="87"/>
      <c r="E142" s="51" t="s">
        <v>1122</v>
      </c>
      <c r="F142" s="52">
        <f>COUNTIFS(Tabulacao!$BP:$BP,'1Emp'!$E$101,Tabulacao!$BR:$BR,'1Emp'!$E142)</f>
        <v>0</v>
      </c>
      <c r="G142" s="53">
        <f t="shared" si="25"/>
        <v>0</v>
      </c>
      <c r="H142" s="48"/>
      <c r="I142" s="48"/>
      <c r="J142" s="48"/>
      <c r="K142" s="48"/>
      <c r="L142" s="48"/>
      <c r="M142" s="119"/>
      <c r="N142" s="119"/>
      <c r="O142" s="119"/>
      <c r="P142" s="119"/>
      <c r="Q142" s="119"/>
      <c r="R142" s="48"/>
      <c r="S142" s="48"/>
      <c r="T142" s="48"/>
      <c r="U142" s="48"/>
      <c r="V142" s="48"/>
      <c r="W142" s="48"/>
      <c r="X142" s="48"/>
      <c r="Y142" s="48"/>
      <c r="Z142" s="48"/>
      <c r="AA142" s="48"/>
      <c r="AB142" s="48"/>
      <c r="AC142" s="48"/>
      <c r="AD142" s="48"/>
      <c r="AE142" s="48"/>
      <c r="AF142" s="163" t="s">
        <v>126</v>
      </c>
      <c r="AG142" s="164">
        <v>2700</v>
      </c>
      <c r="AH142" s="162"/>
      <c r="AI142" s="162"/>
      <c r="AJ142" s="162"/>
      <c r="AK142" s="162"/>
      <c r="AL142" s="162"/>
      <c r="AM142" s="48"/>
      <c r="AN142" s="48"/>
      <c r="AO142" s="48"/>
      <c r="AP142" s="48"/>
      <c r="AQ142" s="48"/>
      <c r="AR142" s="48"/>
      <c r="AS142" s="48"/>
      <c r="AT142" s="48"/>
      <c r="AU142" s="48"/>
      <c r="AV142" s="48"/>
      <c r="AW142" s="48"/>
      <c r="AX142" s="48"/>
      <c r="AY142" s="48"/>
    </row>
    <row r="143" spans="2:51" x14ac:dyDescent="0.2">
      <c r="B143" s="152"/>
      <c r="C143" s="152"/>
      <c r="D143" s="87"/>
      <c r="E143" s="51" t="s">
        <v>1123</v>
      </c>
      <c r="F143" s="52">
        <f>COUNTIFS(Tabulacao!$BP:$BP,'1Emp'!$E$101,Tabulacao!$BR:$BR,'1Emp'!$E143)</f>
        <v>0</v>
      </c>
      <c r="G143" s="53">
        <f t="shared" si="25"/>
        <v>0</v>
      </c>
      <c r="H143" s="48"/>
      <c r="I143" s="48"/>
      <c r="J143" s="48"/>
      <c r="K143" s="48"/>
      <c r="L143" s="48"/>
      <c r="M143" s="119"/>
      <c r="N143" s="119"/>
      <c r="O143" s="119"/>
      <c r="P143" s="119"/>
      <c r="Q143" s="119"/>
      <c r="R143" s="48"/>
      <c r="S143" s="48"/>
      <c r="T143" s="48"/>
      <c r="U143" s="48"/>
      <c r="V143" s="48"/>
      <c r="W143" s="48"/>
      <c r="X143" s="48"/>
      <c r="Y143" s="48"/>
      <c r="Z143" s="48"/>
      <c r="AA143" s="48"/>
      <c r="AB143" s="48"/>
      <c r="AC143" s="48"/>
      <c r="AD143" s="48"/>
      <c r="AE143" s="48"/>
      <c r="AF143" s="163" t="s">
        <v>126</v>
      </c>
      <c r="AG143" s="164">
        <v>1500</v>
      </c>
      <c r="AH143" s="162"/>
      <c r="AI143" s="162"/>
      <c r="AJ143" s="162"/>
      <c r="AK143" s="162"/>
      <c r="AL143" s="162"/>
      <c r="AM143" s="48"/>
      <c r="AN143" s="48"/>
      <c r="AO143" s="48"/>
      <c r="AP143" s="48"/>
      <c r="AQ143" s="48"/>
      <c r="AR143" s="48"/>
      <c r="AS143" s="48"/>
      <c r="AT143" s="48"/>
      <c r="AU143" s="48"/>
      <c r="AV143" s="48"/>
      <c r="AW143" s="48"/>
      <c r="AX143" s="48"/>
      <c r="AY143" s="48"/>
    </row>
    <row r="144" spans="2:51" x14ac:dyDescent="0.2">
      <c r="B144" s="152"/>
      <c r="C144" s="152"/>
      <c r="D144" s="87"/>
      <c r="E144" s="51" t="s">
        <v>505</v>
      </c>
      <c r="F144" s="52">
        <f>COUNTIFS(Tabulacao!$BP:$BP,'1Emp'!$E$101,Tabulacao!$BR:$BR,'1Emp'!$E144)</f>
        <v>0</v>
      </c>
      <c r="G144" s="53">
        <f t="shared" si="25"/>
        <v>0</v>
      </c>
      <c r="H144" s="48"/>
      <c r="I144" s="48"/>
      <c r="J144" s="48"/>
      <c r="K144" s="48"/>
      <c r="L144" s="48"/>
      <c r="M144" s="119"/>
      <c r="N144" s="119"/>
      <c r="O144" s="119"/>
      <c r="P144" s="119"/>
      <c r="Q144" s="119"/>
      <c r="R144" s="48"/>
      <c r="S144" s="48"/>
      <c r="T144" s="48"/>
      <c r="U144" s="48"/>
      <c r="V144" s="48"/>
      <c r="W144" s="48"/>
      <c r="X144" s="48"/>
      <c r="Y144" s="48"/>
      <c r="Z144" s="48"/>
      <c r="AA144" s="48"/>
      <c r="AB144" s="48"/>
      <c r="AC144" s="48"/>
      <c r="AD144" s="48"/>
      <c r="AE144" s="48"/>
      <c r="AF144" s="163" t="s">
        <v>126</v>
      </c>
      <c r="AG144" s="164">
        <v>1500</v>
      </c>
      <c r="AH144" s="162"/>
      <c r="AI144" s="162"/>
      <c r="AJ144" s="162"/>
      <c r="AK144" s="162"/>
      <c r="AL144" s="162"/>
      <c r="AM144" s="48"/>
      <c r="AN144" s="48"/>
      <c r="AO144" s="48"/>
      <c r="AP144" s="48"/>
      <c r="AQ144" s="48"/>
      <c r="AR144" s="48"/>
      <c r="AS144" s="48"/>
      <c r="AT144" s="48"/>
      <c r="AU144" s="48"/>
      <c r="AV144" s="48"/>
      <c r="AW144" s="48"/>
      <c r="AX144" s="48"/>
      <c r="AY144" s="48"/>
    </row>
    <row r="145" spans="2:51" x14ac:dyDescent="0.2">
      <c r="B145" s="152"/>
      <c r="C145" s="152"/>
      <c r="D145" s="87"/>
      <c r="E145" s="51" t="s">
        <v>518</v>
      </c>
      <c r="F145" s="52">
        <f>COUNTIFS(Tabulacao!$BP:$BP,'1Emp'!$E$101,Tabulacao!$BR:$BR,'1Emp'!$E145)</f>
        <v>0</v>
      </c>
      <c r="G145" s="53">
        <f t="shared" si="25"/>
        <v>0</v>
      </c>
      <c r="H145" s="48"/>
      <c r="I145" s="48"/>
      <c r="J145" s="48"/>
      <c r="K145" s="48"/>
      <c r="L145" s="48"/>
      <c r="M145" s="119"/>
      <c r="N145" s="119"/>
      <c r="O145" s="119"/>
      <c r="P145" s="119"/>
      <c r="Q145" s="119"/>
      <c r="R145" s="48"/>
      <c r="S145" s="48"/>
      <c r="T145" s="48"/>
      <c r="U145" s="48"/>
      <c r="V145" s="48"/>
      <c r="W145" s="48"/>
      <c r="X145" s="48"/>
      <c r="Y145" s="48"/>
      <c r="Z145" s="48"/>
      <c r="AA145" s="48"/>
      <c r="AB145" s="48"/>
      <c r="AC145" s="48"/>
      <c r="AD145" s="48"/>
      <c r="AE145" s="48"/>
      <c r="AF145" s="163" t="s">
        <v>126</v>
      </c>
      <c r="AG145" s="164">
        <v>800</v>
      </c>
      <c r="AH145" s="162"/>
      <c r="AI145" s="162"/>
      <c r="AJ145" s="162"/>
      <c r="AK145" s="162"/>
      <c r="AL145" s="162"/>
      <c r="AM145" s="48"/>
      <c r="AN145" s="48"/>
      <c r="AO145" s="48"/>
      <c r="AP145" s="48"/>
      <c r="AQ145" s="48"/>
      <c r="AR145" s="48"/>
      <c r="AS145" s="48"/>
      <c r="AT145" s="48"/>
      <c r="AU145" s="48"/>
      <c r="AV145" s="48"/>
      <c r="AW145" s="48"/>
      <c r="AX145" s="48"/>
      <c r="AY145" s="48"/>
    </row>
    <row r="146" spans="2:51" x14ac:dyDescent="0.2">
      <c r="B146" s="152"/>
      <c r="C146" s="152"/>
      <c r="D146" s="87"/>
      <c r="E146" s="51" t="s">
        <v>521</v>
      </c>
      <c r="F146" s="52">
        <f>COUNTIFS(Tabulacao!$BP:$BP,'1Emp'!$E$101,Tabulacao!$BR:$BR,'1Emp'!$E146)</f>
        <v>0</v>
      </c>
      <c r="G146" s="53">
        <f t="shared" si="25"/>
        <v>0</v>
      </c>
      <c r="H146" s="48"/>
      <c r="I146" s="48"/>
      <c r="J146" s="48"/>
      <c r="K146" s="48"/>
      <c r="L146" s="48"/>
      <c r="M146" s="119"/>
      <c r="N146" s="119"/>
      <c r="O146" s="119"/>
      <c r="P146" s="119"/>
      <c r="Q146" s="119"/>
      <c r="R146" s="48"/>
      <c r="S146" s="48"/>
      <c r="T146" s="48"/>
      <c r="U146" s="48"/>
      <c r="V146" s="48"/>
      <c r="W146" s="48"/>
      <c r="X146" s="48"/>
      <c r="Y146" s="48"/>
      <c r="Z146" s="48"/>
      <c r="AA146" s="48"/>
      <c r="AB146" s="48"/>
      <c r="AC146" s="48"/>
      <c r="AD146" s="48"/>
      <c r="AE146" s="48"/>
      <c r="AF146" s="163" t="s">
        <v>126</v>
      </c>
      <c r="AG146" s="164">
        <v>3000</v>
      </c>
      <c r="AH146" s="162"/>
      <c r="AI146" s="162"/>
      <c r="AJ146" s="162"/>
      <c r="AK146" s="162"/>
      <c r="AL146" s="162"/>
      <c r="AM146" s="48"/>
      <c r="AN146" s="48"/>
      <c r="AO146" s="48"/>
      <c r="AP146" s="48"/>
      <c r="AQ146" s="48"/>
      <c r="AR146" s="48"/>
      <c r="AS146" s="48"/>
      <c r="AT146" s="48"/>
      <c r="AU146" s="48"/>
      <c r="AV146" s="48"/>
      <c r="AW146" s="48"/>
      <c r="AX146" s="48"/>
      <c r="AY146" s="48"/>
    </row>
    <row r="147" spans="2:51" x14ac:dyDescent="0.2">
      <c r="B147" s="152"/>
      <c r="C147" s="152"/>
      <c r="D147" s="87"/>
      <c r="E147" s="51" t="s">
        <v>545</v>
      </c>
      <c r="F147" s="52">
        <f>COUNTIFS(Tabulacao!$BP:$BP,'1Emp'!$E$101,Tabulacao!$BR:$BR,'1Emp'!$E147)</f>
        <v>0</v>
      </c>
      <c r="G147" s="53">
        <f t="shared" si="25"/>
        <v>0</v>
      </c>
      <c r="H147" s="48"/>
      <c r="I147" s="48"/>
      <c r="J147" s="48"/>
      <c r="K147" s="48"/>
      <c r="L147" s="48"/>
      <c r="M147" s="119"/>
      <c r="N147" s="119"/>
      <c r="O147" s="119"/>
      <c r="P147" s="119"/>
      <c r="Q147" s="119"/>
      <c r="R147" s="48"/>
      <c r="S147" s="48"/>
      <c r="T147" s="48"/>
      <c r="U147" s="48"/>
      <c r="V147" s="48"/>
      <c r="W147" s="48"/>
      <c r="X147" s="48"/>
      <c r="Y147" s="48"/>
      <c r="Z147" s="48"/>
      <c r="AA147" s="48"/>
      <c r="AB147" s="48"/>
      <c r="AC147" s="48"/>
      <c r="AD147" s="48"/>
      <c r="AE147" s="48"/>
      <c r="AF147" s="163" t="s">
        <v>126</v>
      </c>
      <c r="AG147" s="164">
        <v>800</v>
      </c>
      <c r="AH147" s="162"/>
      <c r="AI147" s="162"/>
      <c r="AJ147" s="162"/>
      <c r="AK147" s="162"/>
      <c r="AL147" s="162"/>
      <c r="AM147" s="48"/>
      <c r="AN147" s="48"/>
      <c r="AO147" s="48"/>
      <c r="AP147" s="48"/>
      <c r="AQ147" s="48"/>
      <c r="AR147" s="48"/>
      <c r="AS147" s="48"/>
      <c r="AT147" s="48"/>
      <c r="AU147" s="48"/>
      <c r="AV147" s="48"/>
      <c r="AW147" s="48"/>
      <c r="AX147" s="48"/>
      <c r="AY147" s="48"/>
    </row>
    <row r="148" spans="2:51" x14ac:dyDescent="0.2">
      <c r="B148" s="152"/>
      <c r="C148" s="152"/>
      <c r="D148" s="87"/>
      <c r="E148" s="51" t="s">
        <v>1125</v>
      </c>
      <c r="F148" s="52">
        <f>COUNTIFS(Tabulacao!$BP:$BP,'1Emp'!$E$101,Tabulacao!$BR:$BR,'1Emp'!$E148)</f>
        <v>1</v>
      </c>
      <c r="G148" s="53">
        <f t="shared" si="25"/>
        <v>6.1349693251533744E-3</v>
      </c>
      <c r="H148" s="48"/>
      <c r="I148" s="48"/>
      <c r="J148" s="48"/>
      <c r="K148" s="48"/>
      <c r="L148" s="48"/>
      <c r="M148" s="119"/>
      <c r="N148" s="119"/>
      <c r="O148" s="119"/>
      <c r="P148" s="119"/>
      <c r="Q148" s="119"/>
      <c r="R148" s="48"/>
      <c r="S148" s="48"/>
      <c r="T148" s="48"/>
      <c r="U148" s="48"/>
      <c r="V148" s="48"/>
      <c r="W148" s="48"/>
      <c r="X148" s="48"/>
      <c r="Y148" s="48"/>
      <c r="Z148" s="48"/>
      <c r="AA148" s="48"/>
      <c r="AB148" s="48"/>
      <c r="AC148" s="48"/>
      <c r="AD148" s="48"/>
      <c r="AE148" s="48"/>
      <c r="AF148" s="163" t="s">
        <v>126</v>
      </c>
      <c r="AG148" s="164">
        <v>2500</v>
      </c>
      <c r="AH148" s="162"/>
      <c r="AI148" s="162"/>
      <c r="AJ148" s="162"/>
      <c r="AK148" s="162"/>
      <c r="AL148" s="162"/>
      <c r="AM148" s="48"/>
      <c r="AN148" s="48"/>
      <c r="AO148" s="133">
        <v>29</v>
      </c>
      <c r="AP148" s="48"/>
      <c r="AQ148" s="48"/>
      <c r="AR148" s="48"/>
      <c r="AS148" s="48"/>
      <c r="AT148" s="48"/>
      <c r="AU148" s="48"/>
      <c r="AV148" s="48"/>
      <c r="AW148" s="48"/>
      <c r="AX148" s="48"/>
      <c r="AY148" s="48"/>
    </row>
    <row r="149" spans="2:51" x14ac:dyDescent="0.2">
      <c r="B149" s="152"/>
      <c r="C149" s="152"/>
      <c r="D149" s="87"/>
      <c r="E149" s="51" t="s">
        <v>1126</v>
      </c>
      <c r="F149" s="52">
        <f>COUNTIFS(Tabulacao!$BP:$BP,'1Emp'!$E$101,Tabulacao!$BR:$BR,'1Emp'!$E149)</f>
        <v>0</v>
      </c>
      <c r="G149" s="53">
        <f t="shared" si="25"/>
        <v>0</v>
      </c>
      <c r="H149" s="48"/>
      <c r="I149" s="48"/>
      <c r="J149" s="48"/>
      <c r="K149" s="48"/>
      <c r="L149" s="48"/>
      <c r="M149" s="119"/>
      <c r="N149" s="119"/>
      <c r="O149" s="119"/>
      <c r="P149" s="119"/>
      <c r="Q149" s="119"/>
      <c r="R149" s="48"/>
      <c r="S149" s="48"/>
      <c r="T149" s="48"/>
      <c r="U149" s="48"/>
      <c r="V149" s="48"/>
      <c r="W149" s="48"/>
      <c r="X149" s="48"/>
      <c r="Y149" s="48"/>
      <c r="Z149" s="48"/>
      <c r="AA149" s="48"/>
      <c r="AB149" s="48"/>
      <c r="AC149" s="48"/>
      <c r="AD149" s="48"/>
      <c r="AE149" s="48"/>
      <c r="AF149" s="163" t="s">
        <v>126</v>
      </c>
      <c r="AG149" s="164">
        <v>4000</v>
      </c>
      <c r="AH149" s="162"/>
      <c r="AI149" s="162"/>
      <c r="AJ149" s="162"/>
      <c r="AK149" s="162"/>
      <c r="AL149" s="162"/>
      <c r="AM149" s="48"/>
      <c r="AN149" s="48"/>
      <c r="AO149" s="48"/>
      <c r="AP149" s="48"/>
      <c r="AQ149" s="48"/>
      <c r="AR149" s="48"/>
      <c r="AS149" s="48"/>
      <c r="AT149" s="48"/>
      <c r="AU149" s="48"/>
      <c r="AV149" s="48"/>
      <c r="AW149" s="48"/>
      <c r="AX149" s="48"/>
      <c r="AY149" s="48"/>
    </row>
    <row r="150" spans="2:51" ht="25.5" x14ac:dyDescent="0.2">
      <c r="B150" s="152"/>
      <c r="C150" s="152"/>
      <c r="D150" s="87"/>
      <c r="E150" s="51" t="s">
        <v>575</v>
      </c>
      <c r="F150" s="52">
        <f>COUNTIFS(Tabulacao!$BP:$BP,'1Emp'!$E$101,Tabulacao!$BR:$BR,'1Emp'!$E150)</f>
        <v>0</v>
      </c>
      <c r="G150" s="53">
        <f t="shared" si="25"/>
        <v>0</v>
      </c>
      <c r="H150" s="48"/>
      <c r="I150" s="48"/>
      <c r="J150" s="48"/>
      <c r="K150" s="48"/>
      <c r="L150" s="48"/>
      <c r="M150" s="119"/>
      <c r="N150" s="119"/>
      <c r="O150" s="119"/>
      <c r="P150" s="119"/>
      <c r="Q150" s="119"/>
      <c r="R150" s="48"/>
      <c r="S150" s="48"/>
      <c r="T150" s="48"/>
      <c r="U150" s="48"/>
      <c r="V150" s="48"/>
      <c r="W150" s="48"/>
      <c r="X150" s="48"/>
      <c r="Y150" s="48"/>
      <c r="Z150" s="48"/>
      <c r="AA150" s="48"/>
      <c r="AB150" s="48"/>
      <c r="AC150" s="48"/>
      <c r="AD150" s="48"/>
      <c r="AE150" s="48"/>
      <c r="AF150" s="163" t="s">
        <v>125</v>
      </c>
      <c r="AG150" s="164">
        <v>1300</v>
      </c>
      <c r="AH150" s="162"/>
      <c r="AI150" s="162"/>
      <c r="AJ150" s="162"/>
      <c r="AK150" s="162"/>
      <c r="AL150" s="162"/>
      <c r="AM150" s="48"/>
      <c r="AN150" s="48"/>
      <c r="AO150" s="137" t="str">
        <f>Tabulacao!CP2</f>
        <v>Aproximadamente, durante quanto tempo você permaneceu no seu primeiro emprego?</v>
      </c>
      <c r="AP150" s="48"/>
      <c r="AQ150" s="48"/>
      <c r="AR150" s="48"/>
      <c r="AS150" s="48"/>
      <c r="AT150" s="48"/>
      <c r="AU150" s="48"/>
      <c r="AV150" s="48"/>
      <c r="AW150" s="48"/>
      <c r="AX150" s="48"/>
      <c r="AY150" s="48"/>
    </row>
    <row r="151" spans="2:51" x14ac:dyDescent="0.2">
      <c r="B151" s="152"/>
      <c r="C151" s="152"/>
      <c r="D151" s="87"/>
      <c r="E151" s="51" t="s">
        <v>1127</v>
      </c>
      <c r="F151" s="52">
        <f>COUNTIFS(Tabulacao!$BP:$BP,'1Emp'!$E$101,Tabulacao!$BR:$BR,'1Emp'!$E151)</f>
        <v>0</v>
      </c>
      <c r="G151" s="53">
        <f t="shared" si="25"/>
        <v>0</v>
      </c>
      <c r="H151" s="48"/>
      <c r="I151" s="48"/>
      <c r="J151" s="48"/>
      <c r="K151" s="48"/>
      <c r="L151" s="48"/>
      <c r="M151" s="119"/>
      <c r="N151" s="119"/>
      <c r="O151" s="119"/>
      <c r="P151" s="119"/>
      <c r="Q151" s="119"/>
      <c r="R151" s="48"/>
      <c r="S151" s="48"/>
      <c r="T151" s="48"/>
      <c r="U151" s="48"/>
      <c r="V151" s="48"/>
      <c r="W151" s="48"/>
      <c r="X151" s="48"/>
      <c r="Y151" s="48"/>
      <c r="Z151" s="48"/>
      <c r="AA151" s="48"/>
      <c r="AB151" s="48"/>
      <c r="AC151" s="48"/>
      <c r="AD151" s="48"/>
      <c r="AE151" s="48"/>
      <c r="AF151" s="163" t="s">
        <v>125</v>
      </c>
      <c r="AG151" s="164">
        <v>730</v>
      </c>
      <c r="AH151" s="162"/>
      <c r="AI151" s="162"/>
      <c r="AJ151" s="162"/>
      <c r="AK151" s="162"/>
      <c r="AL151" s="162"/>
      <c r="AM151" s="48"/>
      <c r="AN151" s="48"/>
      <c r="AO151" s="48"/>
      <c r="AP151" s="48"/>
      <c r="AQ151" s="48"/>
      <c r="AR151" s="48"/>
      <c r="AS151" s="48"/>
      <c r="AT151" s="48"/>
      <c r="AU151" s="48"/>
      <c r="AV151" s="48"/>
      <c r="AW151" s="48"/>
      <c r="AX151" s="48"/>
      <c r="AY151" s="48"/>
    </row>
    <row r="152" spans="2:51" x14ac:dyDescent="0.2">
      <c r="B152" s="152"/>
      <c r="C152" s="152"/>
      <c r="D152" s="87"/>
      <c r="E152" s="51" t="s">
        <v>1128</v>
      </c>
      <c r="F152" s="52">
        <f>COUNTIFS(Tabulacao!$BP:$BP,'1Emp'!$E$101,Tabulacao!$BR:$BR,'1Emp'!$E152)</f>
        <v>1</v>
      </c>
      <c r="G152" s="53">
        <f t="shared" si="25"/>
        <v>6.1349693251533744E-3</v>
      </c>
      <c r="H152" s="48"/>
      <c r="I152" s="48"/>
      <c r="J152" s="48"/>
      <c r="K152" s="48"/>
      <c r="L152" s="48"/>
      <c r="M152" s="119"/>
      <c r="N152" s="119"/>
      <c r="O152" s="119"/>
      <c r="P152" s="119"/>
      <c r="Q152" s="119"/>
      <c r="R152" s="48"/>
      <c r="S152" s="48"/>
      <c r="T152" s="48"/>
      <c r="U152" s="48"/>
      <c r="V152" s="48"/>
      <c r="W152" s="48"/>
      <c r="X152" s="48"/>
      <c r="Y152" s="48"/>
      <c r="Z152" s="48"/>
      <c r="AA152" s="48"/>
      <c r="AB152" s="48"/>
      <c r="AC152" s="48"/>
      <c r="AD152" s="48"/>
      <c r="AE152" s="48"/>
      <c r="AF152" s="163" t="s">
        <v>125</v>
      </c>
      <c r="AG152" s="164">
        <v>1000</v>
      </c>
      <c r="AH152" s="162"/>
      <c r="AI152" s="162"/>
      <c r="AJ152" s="162"/>
      <c r="AK152" s="162"/>
      <c r="AL152" s="162"/>
      <c r="AM152" s="48"/>
      <c r="AN152" s="48"/>
      <c r="AO152" s="160" t="s">
        <v>990</v>
      </c>
      <c r="AP152" s="138" t="s">
        <v>131</v>
      </c>
      <c r="AQ152" s="138" t="s">
        <v>132</v>
      </c>
      <c r="AR152" s="48"/>
      <c r="AS152" s="48"/>
      <c r="AT152" s="48"/>
      <c r="AU152" s="48"/>
      <c r="AV152" s="48"/>
      <c r="AW152" s="48"/>
      <c r="AX152" s="48"/>
      <c r="AY152" s="48"/>
    </row>
    <row r="153" spans="2:51" x14ac:dyDescent="0.2">
      <c r="B153" s="152"/>
      <c r="C153" s="152"/>
      <c r="D153" s="87"/>
      <c r="E153" s="51" t="s">
        <v>563</v>
      </c>
      <c r="F153" s="52">
        <f>COUNTIFS(Tabulacao!$BP:$BP,'1Emp'!$E$101,Tabulacao!$BR:$BR,'1Emp'!$E153)</f>
        <v>0</v>
      </c>
      <c r="G153" s="53">
        <f t="shared" si="25"/>
        <v>0</v>
      </c>
      <c r="H153" s="48"/>
      <c r="I153" s="48"/>
      <c r="J153" s="48"/>
      <c r="K153" s="48"/>
      <c r="L153" s="48"/>
      <c r="M153" s="119"/>
      <c r="N153" s="119"/>
      <c r="O153" s="119"/>
      <c r="P153" s="119"/>
      <c r="Q153" s="119"/>
      <c r="R153" s="48"/>
      <c r="S153" s="48"/>
      <c r="T153" s="48"/>
      <c r="U153" s="48"/>
      <c r="V153" s="48"/>
      <c r="W153" s="48"/>
      <c r="X153" s="48"/>
      <c r="Y153" s="48"/>
      <c r="Z153" s="48"/>
      <c r="AA153" s="48"/>
      <c r="AB153" s="48"/>
      <c r="AC153" s="48"/>
      <c r="AD153" s="48"/>
      <c r="AE153" s="48"/>
      <c r="AF153" s="163" t="s">
        <v>125</v>
      </c>
      <c r="AG153" s="164">
        <v>4452</v>
      </c>
      <c r="AH153" s="162"/>
      <c r="AI153" s="162"/>
      <c r="AJ153" s="162"/>
      <c r="AK153" s="162"/>
      <c r="AL153" s="162"/>
      <c r="AM153" s="48"/>
      <c r="AN153" s="48"/>
      <c r="AO153" s="60" t="str">
        <f>Tabulacao!CP4</f>
        <v>Até 6 meses</v>
      </c>
      <c r="AP153" s="52">
        <f>Tabulacao!CQ4</f>
        <v>14</v>
      </c>
      <c r="AQ153" s="53">
        <f>AP153/$AP$157</f>
        <v>0.17721518987341772</v>
      </c>
      <c r="AR153" s="48"/>
      <c r="AS153" s="48"/>
      <c r="AT153" s="48"/>
      <c r="AU153" s="48"/>
      <c r="AV153" s="48"/>
      <c r="AW153" s="48"/>
      <c r="AX153" s="48"/>
      <c r="AY153" s="48"/>
    </row>
    <row r="154" spans="2:51" x14ac:dyDescent="0.2">
      <c r="B154" s="152"/>
      <c r="C154" s="152"/>
      <c r="D154" s="87"/>
      <c r="E154" s="51" t="s">
        <v>1129</v>
      </c>
      <c r="F154" s="52">
        <f>COUNTIFS(Tabulacao!$BP:$BP,'1Emp'!$E$101,Tabulacao!$BR:$BR,'1Emp'!$E154)</f>
        <v>0</v>
      </c>
      <c r="G154" s="53">
        <f t="shared" si="25"/>
        <v>0</v>
      </c>
      <c r="H154" s="48"/>
      <c r="I154" s="48"/>
      <c r="J154" s="48"/>
      <c r="K154" s="48"/>
      <c r="L154" s="48"/>
      <c r="M154" s="119"/>
      <c r="N154" s="119"/>
      <c r="O154" s="119"/>
      <c r="P154" s="119"/>
      <c r="Q154" s="119"/>
      <c r="R154" s="48"/>
      <c r="S154" s="48"/>
      <c r="T154" s="48"/>
      <c r="U154" s="48"/>
      <c r="V154" s="48"/>
      <c r="W154" s="48"/>
      <c r="X154" s="48"/>
      <c r="Y154" s="48"/>
      <c r="Z154" s="48"/>
      <c r="AA154" s="48"/>
      <c r="AB154" s="48"/>
      <c r="AC154" s="48"/>
      <c r="AD154" s="48"/>
      <c r="AE154" s="48"/>
      <c r="AF154" s="163" t="s">
        <v>125</v>
      </c>
      <c r="AG154" s="164">
        <v>2500</v>
      </c>
      <c r="AH154" s="162"/>
      <c r="AI154" s="162"/>
      <c r="AJ154" s="162"/>
      <c r="AK154" s="162"/>
      <c r="AL154" s="162"/>
      <c r="AM154" s="48"/>
      <c r="AN154" s="48"/>
      <c r="AO154" s="60" t="str">
        <f>Tabulacao!CP5</f>
        <v>De 6 meses a 1 ano</v>
      </c>
      <c r="AP154" s="52">
        <f>Tabulacao!CQ5</f>
        <v>19</v>
      </c>
      <c r="AQ154" s="53">
        <f t="shared" ref="AQ154:AQ156" si="26">AP154/$AP$157</f>
        <v>0.24050632911392406</v>
      </c>
      <c r="AR154" s="48"/>
      <c r="AS154" s="48"/>
      <c r="AT154" s="48"/>
      <c r="AU154" s="48"/>
      <c r="AV154" s="48"/>
      <c r="AW154" s="48"/>
      <c r="AX154" s="48"/>
      <c r="AY154" s="48"/>
    </row>
    <row r="155" spans="2:51" x14ac:dyDescent="0.2">
      <c r="B155" s="152"/>
      <c r="C155" s="152"/>
      <c r="D155" s="87"/>
      <c r="E155" s="51" t="s">
        <v>391</v>
      </c>
      <c r="F155" s="52">
        <f>COUNTIFS(Tabulacao!$BP:$BP,'1Emp'!$E$101,Tabulacao!$BR:$BR,'1Emp'!$E155)</f>
        <v>0</v>
      </c>
      <c r="G155" s="53">
        <f t="shared" si="25"/>
        <v>0</v>
      </c>
      <c r="H155" s="48"/>
      <c r="I155" s="48"/>
      <c r="J155" s="48"/>
      <c r="K155" s="48"/>
      <c r="L155" s="48"/>
      <c r="M155" s="119"/>
      <c r="N155" s="119"/>
      <c r="O155" s="119"/>
      <c r="P155" s="119"/>
      <c r="Q155" s="119"/>
      <c r="R155" s="48"/>
      <c r="S155" s="48"/>
      <c r="T155" s="48"/>
      <c r="U155" s="48"/>
      <c r="V155" s="48"/>
      <c r="W155" s="48"/>
      <c r="X155" s="48"/>
      <c r="Y155" s="48"/>
      <c r="Z155" s="48"/>
      <c r="AA155" s="48"/>
      <c r="AB155" s="48"/>
      <c r="AC155" s="48"/>
      <c r="AD155" s="48"/>
      <c r="AE155" s="48"/>
      <c r="AF155" s="163" t="s">
        <v>125</v>
      </c>
      <c r="AG155" s="164">
        <v>500</v>
      </c>
      <c r="AH155" s="162"/>
      <c r="AI155" s="162"/>
      <c r="AJ155" s="162"/>
      <c r="AK155" s="162"/>
      <c r="AL155" s="162"/>
      <c r="AM155" s="48"/>
      <c r="AN155" s="48"/>
      <c r="AO155" s="60" t="str">
        <f>Tabulacao!CP6</f>
        <v>De 1 a 2 anos</v>
      </c>
      <c r="AP155" s="52">
        <f>Tabulacao!CQ6</f>
        <v>21</v>
      </c>
      <c r="AQ155" s="53">
        <f t="shared" si="26"/>
        <v>0.26582278481012656</v>
      </c>
      <c r="AR155" s="48"/>
      <c r="AS155" s="48"/>
      <c r="AT155" s="48"/>
      <c r="AU155" s="48"/>
      <c r="AV155" s="48"/>
      <c r="AW155" s="48"/>
      <c r="AX155" s="48"/>
      <c r="AY155" s="48"/>
    </row>
    <row r="156" spans="2:51" x14ac:dyDescent="0.2">
      <c r="B156" s="152"/>
      <c r="C156" s="152"/>
      <c r="D156" s="87"/>
      <c r="E156" s="51" t="s">
        <v>1130</v>
      </c>
      <c r="F156" s="52">
        <f>COUNTIFS(Tabulacao!$BP:$BP,'1Emp'!$E$101,Tabulacao!$BR:$BR,'1Emp'!$E156)</f>
        <v>1</v>
      </c>
      <c r="G156" s="53">
        <f t="shared" si="25"/>
        <v>6.1349693251533744E-3</v>
      </c>
      <c r="H156" s="48"/>
      <c r="I156" s="48"/>
      <c r="J156" s="48"/>
      <c r="K156" s="48"/>
      <c r="L156" s="48"/>
      <c r="M156" s="119"/>
      <c r="N156" s="119"/>
      <c r="O156" s="119"/>
      <c r="P156" s="119"/>
      <c r="Q156" s="119"/>
      <c r="R156" s="48"/>
      <c r="S156" s="48"/>
      <c r="T156" s="48"/>
      <c r="U156" s="48"/>
      <c r="V156" s="48"/>
      <c r="W156" s="48"/>
      <c r="X156" s="48"/>
      <c r="Y156" s="48"/>
      <c r="Z156" s="48"/>
      <c r="AA156" s="48"/>
      <c r="AB156" s="48"/>
      <c r="AC156" s="48"/>
      <c r="AD156" s="48"/>
      <c r="AE156" s="48"/>
      <c r="AF156" s="163" t="s">
        <v>125</v>
      </c>
      <c r="AG156" s="164">
        <v>980</v>
      </c>
      <c r="AH156" s="162"/>
      <c r="AI156" s="162"/>
      <c r="AJ156" s="162"/>
      <c r="AK156" s="162"/>
      <c r="AL156" s="162"/>
      <c r="AM156" s="48"/>
      <c r="AN156" s="48"/>
      <c r="AO156" s="60" t="str">
        <f>Tabulacao!CP7</f>
        <v>Mais de 2 anos</v>
      </c>
      <c r="AP156" s="52">
        <f>Tabulacao!CQ7</f>
        <v>25</v>
      </c>
      <c r="AQ156" s="53">
        <f t="shared" si="26"/>
        <v>0.31645569620253167</v>
      </c>
      <c r="AR156" s="48"/>
      <c r="AS156" s="48"/>
      <c r="AT156" s="48"/>
      <c r="AU156" s="48"/>
      <c r="AV156" s="48"/>
      <c r="AW156" s="48"/>
      <c r="AX156" s="48"/>
      <c r="AY156" s="48"/>
    </row>
    <row r="157" spans="2:51" x14ac:dyDescent="0.2">
      <c r="B157" s="152"/>
      <c r="C157" s="152"/>
      <c r="D157" s="87"/>
      <c r="E157" s="51" t="s">
        <v>1132</v>
      </c>
      <c r="F157" s="52">
        <f>COUNTIFS(Tabulacao!$BP:$BP,'1Emp'!$E$101,Tabulacao!$BR:$BR,'1Emp'!$E157)</f>
        <v>0</v>
      </c>
      <c r="G157" s="53">
        <f t="shared" si="25"/>
        <v>0</v>
      </c>
      <c r="H157" s="48"/>
      <c r="I157" s="48"/>
      <c r="J157" s="48"/>
      <c r="K157" s="48"/>
      <c r="L157" s="48"/>
      <c r="M157" s="119"/>
      <c r="N157" s="119"/>
      <c r="O157" s="119"/>
      <c r="P157" s="119"/>
      <c r="Q157" s="119"/>
      <c r="R157" s="48"/>
      <c r="S157" s="48"/>
      <c r="T157" s="48"/>
      <c r="U157" s="48"/>
      <c r="V157" s="48"/>
      <c r="W157" s="48"/>
      <c r="X157" s="48"/>
      <c r="Y157" s="48"/>
      <c r="Z157" s="48"/>
      <c r="AA157" s="48"/>
      <c r="AB157" s="48"/>
      <c r="AC157" s="48"/>
      <c r="AD157" s="48"/>
      <c r="AE157" s="48"/>
      <c r="AF157" s="163" t="s">
        <v>125</v>
      </c>
      <c r="AG157" s="164">
        <v>750</v>
      </c>
      <c r="AH157" s="162"/>
      <c r="AI157" s="162"/>
      <c r="AJ157" s="162"/>
      <c r="AK157" s="162"/>
      <c r="AL157" s="162"/>
      <c r="AM157" s="48"/>
      <c r="AN157" s="48"/>
      <c r="AO157" s="93" t="s">
        <v>621</v>
      </c>
      <c r="AP157" s="94">
        <f>SUM(AP153:AP156)</f>
        <v>79</v>
      </c>
      <c r="AQ157" s="95">
        <f>SUM(AQ153:AQ156)</f>
        <v>1</v>
      </c>
      <c r="AR157" s="48"/>
      <c r="AS157" s="48"/>
      <c r="AT157" s="48"/>
      <c r="AU157" s="48"/>
      <c r="AV157" s="48"/>
      <c r="AW157" s="48"/>
      <c r="AX157" s="48"/>
      <c r="AY157" s="48"/>
    </row>
    <row r="158" spans="2:51" x14ac:dyDescent="0.2">
      <c r="B158" s="152"/>
      <c r="C158" s="152"/>
      <c r="D158" s="87"/>
      <c r="E158" s="51" t="s">
        <v>1134</v>
      </c>
      <c r="F158" s="52">
        <f>COUNTIFS(Tabulacao!$BP:$BP,'1Emp'!$E$101,Tabulacao!$BR:$BR,'1Emp'!$E158)</f>
        <v>0</v>
      </c>
      <c r="G158" s="53">
        <f t="shared" si="25"/>
        <v>0</v>
      </c>
      <c r="H158" s="48"/>
      <c r="I158" s="48"/>
      <c r="J158" s="48"/>
      <c r="K158" s="48"/>
      <c r="L158" s="48"/>
      <c r="M158" s="119"/>
      <c r="N158" s="119"/>
      <c r="O158" s="119"/>
      <c r="P158" s="119"/>
      <c r="Q158" s="119"/>
      <c r="R158" s="48"/>
      <c r="S158" s="48"/>
      <c r="T158" s="48"/>
      <c r="U158" s="48"/>
      <c r="V158" s="48"/>
      <c r="W158" s="48"/>
      <c r="X158" s="48"/>
      <c r="Y158" s="48"/>
      <c r="Z158" s="48"/>
      <c r="AA158" s="48"/>
      <c r="AB158" s="48"/>
      <c r="AC158" s="48"/>
      <c r="AD158" s="48"/>
      <c r="AE158" s="48"/>
      <c r="AF158" s="163" t="s">
        <v>125</v>
      </c>
      <c r="AG158" s="164">
        <v>800</v>
      </c>
      <c r="AH158" s="162"/>
      <c r="AI158" s="162"/>
      <c r="AJ158" s="162"/>
      <c r="AK158" s="162"/>
      <c r="AL158" s="162"/>
      <c r="AM158" s="48"/>
      <c r="AN158" s="48"/>
      <c r="AO158" s="48"/>
      <c r="AP158" s="48"/>
      <c r="AQ158" s="48"/>
      <c r="AR158" s="48"/>
      <c r="AS158" s="48"/>
      <c r="AT158" s="48"/>
      <c r="AU158" s="48"/>
      <c r="AV158" s="48"/>
      <c r="AW158" s="48"/>
      <c r="AX158" s="48"/>
      <c r="AY158" s="48"/>
    </row>
    <row r="159" spans="2:51" x14ac:dyDescent="0.2">
      <c r="B159" s="152"/>
      <c r="C159" s="152"/>
      <c r="D159" s="87"/>
      <c r="E159" s="51" t="s">
        <v>1135</v>
      </c>
      <c r="F159" s="52">
        <f>COUNTIFS(Tabulacao!$BP:$BP,'1Emp'!$E$101,Tabulacao!$BR:$BR,'1Emp'!$E159)</f>
        <v>0</v>
      </c>
      <c r="G159" s="53">
        <f t="shared" si="25"/>
        <v>0</v>
      </c>
      <c r="H159" s="48"/>
      <c r="I159" s="48"/>
      <c r="J159" s="48"/>
      <c r="K159" s="48"/>
      <c r="L159" s="48"/>
      <c r="M159" s="119"/>
      <c r="N159" s="119"/>
      <c r="O159" s="119"/>
      <c r="P159" s="119"/>
      <c r="Q159" s="119"/>
      <c r="R159" s="48"/>
      <c r="S159" s="48"/>
      <c r="T159" s="48"/>
      <c r="U159" s="48"/>
      <c r="V159" s="48"/>
      <c r="W159" s="48"/>
      <c r="X159" s="48"/>
      <c r="Y159" s="48"/>
      <c r="Z159" s="48"/>
      <c r="AA159" s="48"/>
      <c r="AB159" s="48"/>
      <c r="AC159" s="48"/>
      <c r="AD159" s="48"/>
      <c r="AE159" s="48"/>
      <c r="AF159" s="163" t="s">
        <v>125</v>
      </c>
      <c r="AG159" s="164">
        <v>1000</v>
      </c>
      <c r="AH159" s="162"/>
      <c r="AI159" s="162"/>
      <c r="AJ159" s="162"/>
      <c r="AK159" s="162"/>
      <c r="AL159" s="162"/>
      <c r="AM159" s="48"/>
      <c r="AN159" s="48"/>
      <c r="AO159" s="48"/>
      <c r="AP159" s="48"/>
      <c r="AQ159" s="48"/>
      <c r="AR159" s="48"/>
      <c r="AS159" s="48"/>
      <c r="AT159" s="48"/>
      <c r="AU159" s="48"/>
      <c r="AV159" s="48"/>
      <c r="AW159" s="48"/>
      <c r="AX159" s="48"/>
      <c r="AY159" s="48"/>
    </row>
    <row r="160" spans="2:51" x14ac:dyDescent="0.2">
      <c r="B160" s="152"/>
      <c r="C160" s="152"/>
      <c r="D160" s="87"/>
      <c r="E160" s="51" t="s">
        <v>676</v>
      </c>
      <c r="F160" s="52">
        <f>COUNTIFS(Tabulacao!$BP:$BP,'1Emp'!$E$101,Tabulacao!$BR:$BR,'1Emp'!$E160)</f>
        <v>0</v>
      </c>
      <c r="G160" s="53">
        <f t="shared" si="25"/>
        <v>0</v>
      </c>
      <c r="H160" s="48"/>
      <c r="I160" s="48"/>
      <c r="J160" s="48"/>
      <c r="K160" s="48"/>
      <c r="L160" s="48"/>
      <c r="M160" s="119"/>
      <c r="N160" s="119"/>
      <c r="O160" s="119"/>
      <c r="P160" s="119"/>
      <c r="Q160" s="119"/>
      <c r="R160" s="48"/>
      <c r="S160" s="48"/>
      <c r="T160" s="48"/>
      <c r="U160" s="48"/>
      <c r="V160" s="48"/>
      <c r="W160" s="48"/>
      <c r="X160" s="48"/>
      <c r="Y160" s="48"/>
      <c r="Z160" s="48"/>
      <c r="AA160" s="48"/>
      <c r="AB160" s="48"/>
      <c r="AC160" s="48"/>
      <c r="AD160" s="48"/>
      <c r="AE160" s="48"/>
      <c r="AF160" s="163" t="s">
        <v>125</v>
      </c>
      <c r="AG160" s="164">
        <v>1000</v>
      </c>
      <c r="AH160" s="162"/>
      <c r="AI160" s="162"/>
      <c r="AJ160" s="162"/>
      <c r="AK160" s="162"/>
      <c r="AL160" s="162"/>
      <c r="AM160" s="48"/>
      <c r="AN160" s="48"/>
      <c r="AO160" s="48"/>
      <c r="AP160" s="48"/>
      <c r="AQ160" s="48"/>
      <c r="AR160" s="48"/>
      <c r="AS160" s="48"/>
      <c r="AT160" s="48"/>
      <c r="AU160" s="48"/>
      <c r="AV160" s="48"/>
      <c r="AW160" s="48"/>
      <c r="AX160" s="48"/>
      <c r="AY160" s="48"/>
    </row>
    <row r="161" spans="2:51" x14ac:dyDescent="0.2">
      <c r="B161" s="152"/>
      <c r="C161" s="152"/>
      <c r="D161" s="87"/>
      <c r="E161" s="51" t="s">
        <v>680</v>
      </c>
      <c r="F161" s="52">
        <f>COUNTIFS(Tabulacao!$BP:$BP,'1Emp'!$E$101,Tabulacao!$BR:$BR,'1Emp'!$E161)</f>
        <v>0</v>
      </c>
      <c r="G161" s="53">
        <f t="shared" si="25"/>
        <v>0</v>
      </c>
      <c r="H161" s="48"/>
      <c r="I161" s="48"/>
      <c r="J161" s="48"/>
      <c r="K161" s="48"/>
      <c r="L161" s="48"/>
      <c r="M161" s="119"/>
      <c r="N161" s="119"/>
      <c r="O161" s="119"/>
      <c r="P161" s="119"/>
      <c r="Q161" s="119"/>
      <c r="R161" s="48"/>
      <c r="S161" s="48"/>
      <c r="T161" s="48"/>
      <c r="U161" s="48"/>
      <c r="V161" s="48"/>
      <c r="W161" s="48"/>
      <c r="X161" s="48"/>
      <c r="Y161" s="48"/>
      <c r="Z161" s="48"/>
      <c r="AA161" s="48"/>
      <c r="AB161" s="48"/>
      <c r="AC161" s="48"/>
      <c r="AD161" s="48"/>
      <c r="AE161" s="48"/>
      <c r="AF161" s="163" t="s">
        <v>125</v>
      </c>
      <c r="AG161" s="164">
        <v>1200</v>
      </c>
      <c r="AH161" s="162"/>
      <c r="AI161" s="162"/>
      <c r="AJ161" s="162"/>
      <c r="AK161" s="162"/>
      <c r="AL161" s="162"/>
      <c r="AM161" s="48"/>
      <c r="AN161" s="48"/>
      <c r="AO161" s="48"/>
      <c r="AP161" s="48"/>
      <c r="AQ161" s="48"/>
      <c r="AR161" s="48"/>
      <c r="AS161" s="48"/>
      <c r="AT161" s="48"/>
      <c r="AU161" s="48"/>
      <c r="AV161" s="48"/>
      <c r="AW161" s="48"/>
      <c r="AX161" s="48"/>
      <c r="AY161" s="48"/>
    </row>
    <row r="162" spans="2:51" x14ac:dyDescent="0.2">
      <c r="B162" s="152"/>
      <c r="C162" s="152"/>
      <c r="D162" s="87"/>
      <c r="E162" s="51" t="s">
        <v>1117</v>
      </c>
      <c r="F162" s="52">
        <f>COUNTIFS(Tabulacao!$BP:$BP,'1Emp'!$E$101,Tabulacao!$BR:$BR,'1Emp'!$E162)</f>
        <v>0</v>
      </c>
      <c r="G162" s="53">
        <f t="shared" si="25"/>
        <v>0</v>
      </c>
      <c r="H162" s="48"/>
      <c r="I162" s="48"/>
      <c r="J162" s="48"/>
      <c r="K162" s="48"/>
      <c r="L162" s="48"/>
      <c r="M162" s="119"/>
      <c r="N162" s="119"/>
      <c r="O162" s="119"/>
      <c r="P162" s="119"/>
      <c r="Q162" s="119"/>
      <c r="R162" s="48"/>
      <c r="S162" s="48"/>
      <c r="T162" s="48"/>
      <c r="U162" s="48"/>
      <c r="V162" s="48"/>
      <c r="W162" s="48"/>
      <c r="X162" s="48"/>
      <c r="Y162" s="48"/>
      <c r="Z162" s="48"/>
      <c r="AA162" s="48"/>
      <c r="AB162" s="48"/>
      <c r="AC162" s="48"/>
      <c r="AD162" s="48"/>
      <c r="AE162" s="48"/>
      <c r="AF162" s="163" t="s">
        <v>125</v>
      </c>
      <c r="AG162" s="164">
        <v>790</v>
      </c>
      <c r="AH162" s="162"/>
      <c r="AI162" s="162"/>
      <c r="AJ162" s="162"/>
      <c r="AK162" s="162"/>
      <c r="AL162" s="162"/>
      <c r="AM162" s="48"/>
      <c r="AN162" s="48"/>
      <c r="AO162" s="48"/>
      <c r="AP162" s="48"/>
      <c r="AQ162" s="48"/>
      <c r="AR162" s="48"/>
      <c r="AS162" s="48"/>
      <c r="AT162" s="48"/>
      <c r="AU162" s="48"/>
      <c r="AV162" s="48"/>
      <c r="AW162" s="48"/>
      <c r="AX162" s="48"/>
      <c r="AY162" s="48"/>
    </row>
    <row r="163" spans="2:51" x14ac:dyDescent="0.2">
      <c r="B163" s="152"/>
      <c r="C163" s="152"/>
      <c r="D163" s="87"/>
      <c r="E163" s="51" t="s">
        <v>699</v>
      </c>
      <c r="F163" s="52">
        <f>COUNTIFS(Tabulacao!$BP:$BP,'1Emp'!$E$101,Tabulacao!$BR:$BR,'1Emp'!$E163)</f>
        <v>0</v>
      </c>
      <c r="G163" s="53">
        <f t="shared" si="25"/>
        <v>0</v>
      </c>
      <c r="H163" s="48"/>
      <c r="I163" s="48"/>
      <c r="J163" s="48"/>
      <c r="K163" s="48"/>
      <c r="L163" s="48"/>
      <c r="M163" s="119"/>
      <c r="N163" s="119"/>
      <c r="O163" s="119"/>
      <c r="P163" s="119"/>
      <c r="Q163" s="119"/>
      <c r="R163" s="48"/>
      <c r="S163" s="48"/>
      <c r="T163" s="48"/>
      <c r="U163" s="48"/>
      <c r="V163" s="48"/>
      <c r="W163" s="48"/>
      <c r="X163" s="48"/>
      <c r="Y163" s="48"/>
      <c r="Z163" s="48"/>
      <c r="AA163" s="48"/>
      <c r="AB163" s="48"/>
      <c r="AC163" s="48"/>
      <c r="AD163" s="48"/>
      <c r="AE163" s="48"/>
      <c r="AF163" s="163" t="s">
        <v>125</v>
      </c>
      <c r="AG163" s="164">
        <v>1769</v>
      </c>
      <c r="AH163" s="162"/>
      <c r="AI163" s="162"/>
      <c r="AJ163" s="162"/>
      <c r="AK163" s="162"/>
      <c r="AL163" s="162"/>
      <c r="AM163" s="48"/>
      <c r="AN163" s="48"/>
      <c r="AO163" s="48"/>
      <c r="AP163" s="48"/>
      <c r="AQ163" s="48"/>
      <c r="AR163" s="48"/>
      <c r="AS163" s="48"/>
      <c r="AT163" s="48"/>
      <c r="AU163" s="48"/>
      <c r="AV163" s="48"/>
      <c r="AW163" s="48"/>
      <c r="AX163" s="48"/>
      <c r="AY163" s="48"/>
    </row>
    <row r="164" spans="2:51" x14ac:dyDescent="0.2">
      <c r="B164" s="152"/>
      <c r="C164" s="152"/>
      <c r="D164" s="87"/>
      <c r="E164" s="51" t="s">
        <v>1136</v>
      </c>
      <c r="F164" s="52">
        <f>COUNTIFS(Tabulacao!$BP:$BP,'1Emp'!$E$101,Tabulacao!$BR:$BR,'1Emp'!$E164)</f>
        <v>0</v>
      </c>
      <c r="G164" s="53">
        <f t="shared" si="25"/>
        <v>0</v>
      </c>
      <c r="H164" s="48"/>
      <c r="I164" s="48"/>
      <c r="J164" s="48"/>
      <c r="K164" s="48"/>
      <c r="L164" s="48"/>
      <c r="M164" s="119"/>
      <c r="N164" s="119"/>
      <c r="O164" s="119"/>
      <c r="P164" s="119"/>
      <c r="Q164" s="119"/>
      <c r="R164" s="48"/>
      <c r="S164" s="48"/>
      <c r="T164" s="48"/>
      <c r="U164" s="48"/>
      <c r="V164" s="48"/>
      <c r="W164" s="48"/>
      <c r="X164" s="48"/>
      <c r="Y164" s="48"/>
      <c r="Z164" s="48"/>
      <c r="AA164" s="48"/>
      <c r="AB164" s="48"/>
      <c r="AC164" s="48"/>
      <c r="AD164" s="48"/>
      <c r="AE164" s="48"/>
      <c r="AF164" s="163" t="s">
        <v>125</v>
      </c>
      <c r="AG164" s="164">
        <v>1500</v>
      </c>
      <c r="AH164" s="162"/>
      <c r="AI164" s="162"/>
      <c r="AJ164" s="162"/>
      <c r="AK164" s="162"/>
      <c r="AL164" s="162"/>
      <c r="AM164" s="48"/>
      <c r="AN164" s="48"/>
      <c r="AO164" s="48"/>
      <c r="AP164" s="48"/>
      <c r="AQ164" s="48"/>
      <c r="AR164" s="48"/>
      <c r="AS164" s="48"/>
      <c r="AT164" s="48"/>
      <c r="AU164" s="48"/>
      <c r="AV164" s="48"/>
      <c r="AW164" s="48"/>
      <c r="AX164" s="48"/>
      <c r="AY164" s="48"/>
    </row>
    <row r="165" spans="2:51" x14ac:dyDescent="0.2">
      <c r="B165" s="152"/>
      <c r="C165" s="152"/>
      <c r="D165" s="87"/>
      <c r="E165" s="51" t="s">
        <v>1137</v>
      </c>
      <c r="F165" s="52">
        <f>COUNTIFS(Tabulacao!$BP:$BP,'1Emp'!$E$101,Tabulacao!$BR:$BR,'1Emp'!$E165)</f>
        <v>0</v>
      </c>
      <c r="G165" s="53">
        <f t="shared" si="25"/>
        <v>0</v>
      </c>
      <c r="H165" s="48"/>
      <c r="I165" s="48"/>
      <c r="J165" s="48"/>
      <c r="K165" s="48"/>
      <c r="L165" s="48"/>
      <c r="M165" s="119"/>
      <c r="N165" s="119"/>
      <c r="O165" s="119"/>
      <c r="P165" s="119"/>
      <c r="Q165" s="119"/>
      <c r="R165" s="48"/>
      <c r="S165" s="48"/>
      <c r="T165" s="48"/>
      <c r="U165" s="48"/>
      <c r="V165" s="48"/>
      <c r="W165" s="48"/>
      <c r="X165" s="48"/>
      <c r="Y165" s="48"/>
      <c r="Z165" s="48"/>
      <c r="AA165" s="48"/>
      <c r="AB165" s="48"/>
      <c r="AC165" s="48"/>
      <c r="AD165" s="48"/>
      <c r="AE165" s="48"/>
      <c r="AF165" s="163" t="s">
        <v>125</v>
      </c>
      <c r="AG165" s="164">
        <v>850</v>
      </c>
      <c r="AH165" s="162"/>
      <c r="AI165" s="162"/>
      <c r="AJ165" s="162"/>
      <c r="AK165" s="162"/>
      <c r="AL165" s="162"/>
      <c r="AM165" s="48"/>
      <c r="AN165" s="48"/>
      <c r="AO165" s="48"/>
      <c r="AP165" s="48"/>
      <c r="AQ165" s="48"/>
      <c r="AR165" s="48"/>
      <c r="AS165" s="48"/>
      <c r="AT165" s="48"/>
      <c r="AU165" s="48"/>
      <c r="AV165" s="48"/>
      <c r="AW165" s="48"/>
      <c r="AX165" s="48"/>
      <c r="AY165" s="48"/>
    </row>
    <row r="166" spans="2:51" x14ac:dyDescent="0.2">
      <c r="B166" s="152"/>
      <c r="C166" s="152"/>
      <c r="D166" s="87"/>
      <c r="E166" s="51" t="s">
        <v>739</v>
      </c>
      <c r="F166" s="52">
        <f>COUNTIFS(Tabulacao!$BP:$BP,'1Emp'!$E$101,Tabulacao!$BR:$BR,'1Emp'!$E166)</f>
        <v>0</v>
      </c>
      <c r="G166" s="53">
        <f t="shared" si="25"/>
        <v>0</v>
      </c>
      <c r="H166" s="48"/>
      <c r="I166" s="48"/>
      <c r="J166" s="48"/>
      <c r="K166" s="48"/>
      <c r="L166" s="48"/>
      <c r="M166" s="119"/>
      <c r="N166" s="119"/>
      <c r="O166" s="119"/>
      <c r="P166" s="119"/>
      <c r="Q166" s="119"/>
      <c r="R166" s="48"/>
      <c r="S166" s="48"/>
      <c r="T166" s="48"/>
      <c r="U166" s="48"/>
      <c r="V166" s="48"/>
      <c r="W166" s="48"/>
      <c r="X166" s="48"/>
      <c r="Y166" s="48"/>
      <c r="Z166" s="48"/>
      <c r="AA166" s="48"/>
      <c r="AB166" s="48"/>
      <c r="AC166" s="48"/>
      <c r="AD166" s="48"/>
      <c r="AE166" s="48"/>
      <c r="AF166" s="163" t="s">
        <v>125</v>
      </c>
      <c r="AG166" s="164">
        <v>1025</v>
      </c>
      <c r="AH166" s="162"/>
      <c r="AI166" s="162"/>
      <c r="AJ166" s="162"/>
      <c r="AK166" s="162"/>
      <c r="AL166" s="162"/>
      <c r="AM166" s="48"/>
      <c r="AN166" s="48"/>
      <c r="AO166" s="48"/>
      <c r="AP166" s="48"/>
      <c r="AQ166" s="48"/>
      <c r="AR166" s="48"/>
      <c r="AS166" s="48"/>
      <c r="AT166" s="48"/>
      <c r="AU166" s="48"/>
      <c r="AV166" s="48"/>
      <c r="AW166" s="48"/>
      <c r="AX166" s="48"/>
      <c r="AY166" s="48"/>
    </row>
    <row r="167" spans="2:51" x14ac:dyDescent="0.2">
      <c r="B167" s="152"/>
      <c r="C167" s="152"/>
      <c r="D167" s="87"/>
      <c r="E167" s="51" t="s">
        <v>1139</v>
      </c>
      <c r="F167" s="52">
        <f>COUNTIFS(Tabulacao!$BP:$BP,'1Emp'!$E$101,Tabulacao!$BR:$BR,'1Emp'!$E167)</f>
        <v>1</v>
      </c>
      <c r="G167" s="53">
        <f t="shared" ref="G167:G190" si="27">F167/$F$97</f>
        <v>6.1349693251533744E-3</v>
      </c>
      <c r="H167" s="48"/>
      <c r="I167" s="48"/>
      <c r="J167" s="48"/>
      <c r="K167" s="48"/>
      <c r="L167" s="48"/>
      <c r="M167" s="119"/>
      <c r="N167" s="119"/>
      <c r="O167" s="119"/>
      <c r="P167" s="119"/>
      <c r="Q167" s="119"/>
      <c r="R167" s="48"/>
      <c r="S167" s="48"/>
      <c r="T167" s="48"/>
      <c r="U167" s="48"/>
      <c r="V167" s="48"/>
      <c r="W167" s="48"/>
      <c r="X167" s="48"/>
      <c r="Y167" s="48"/>
      <c r="Z167" s="48"/>
      <c r="AA167" s="48"/>
      <c r="AB167" s="48"/>
      <c r="AC167" s="48"/>
      <c r="AD167" s="48"/>
      <c r="AE167" s="48"/>
      <c r="AF167" s="163" t="s">
        <v>125</v>
      </c>
      <c r="AG167" s="164">
        <v>1000</v>
      </c>
      <c r="AH167" s="162"/>
      <c r="AI167" s="162"/>
      <c r="AJ167" s="162"/>
      <c r="AK167" s="162"/>
      <c r="AL167" s="162"/>
      <c r="AM167" s="48"/>
      <c r="AN167" s="48"/>
      <c r="AO167" s="48"/>
      <c r="AP167" s="48"/>
      <c r="AQ167" s="48"/>
      <c r="AR167" s="48"/>
      <c r="AS167" s="48"/>
      <c r="AT167" s="48"/>
      <c r="AU167" s="48"/>
      <c r="AV167" s="48"/>
      <c r="AW167" s="48"/>
      <c r="AX167" s="48"/>
      <c r="AY167" s="48"/>
    </row>
    <row r="168" spans="2:51" ht="25.5" x14ac:dyDescent="0.2">
      <c r="B168" s="152"/>
      <c r="C168" s="152"/>
      <c r="D168" s="87"/>
      <c r="E168" s="51" t="s">
        <v>791</v>
      </c>
      <c r="F168" s="52">
        <f>COUNTIFS(Tabulacao!$BP:$BP,'1Emp'!$E$101,Tabulacao!$BR:$BR,'1Emp'!$E168)</f>
        <v>0</v>
      </c>
      <c r="G168" s="53">
        <f t="shared" si="27"/>
        <v>0</v>
      </c>
      <c r="H168" s="48"/>
      <c r="I168" s="48"/>
      <c r="J168" s="48"/>
      <c r="K168" s="48"/>
      <c r="L168" s="48"/>
      <c r="M168" s="119"/>
      <c r="N168" s="119"/>
      <c r="O168" s="119"/>
      <c r="P168" s="119"/>
      <c r="Q168" s="119"/>
      <c r="R168" s="48"/>
      <c r="S168" s="48"/>
      <c r="T168" s="48"/>
      <c r="U168" s="48"/>
      <c r="V168" s="48"/>
      <c r="W168" s="48"/>
      <c r="X168" s="48"/>
      <c r="Y168" s="48"/>
      <c r="Z168" s="48"/>
      <c r="AA168" s="48"/>
      <c r="AB168" s="48"/>
      <c r="AC168" s="48"/>
      <c r="AD168" s="48"/>
      <c r="AE168" s="48"/>
      <c r="AF168" s="163" t="s">
        <v>125</v>
      </c>
      <c r="AG168" s="164">
        <v>950</v>
      </c>
      <c r="AH168" s="162"/>
      <c r="AI168" s="162"/>
      <c r="AJ168" s="162"/>
      <c r="AK168" s="162"/>
      <c r="AL168" s="162"/>
      <c r="AM168" s="48"/>
      <c r="AN168" s="48"/>
      <c r="AO168" s="156" t="s">
        <v>1184</v>
      </c>
      <c r="AP168" s="48"/>
      <c r="AQ168" s="48"/>
      <c r="AR168" s="48"/>
      <c r="AS168" s="48"/>
      <c r="AT168" s="48"/>
      <c r="AU168" s="48"/>
      <c r="AV168" s="48"/>
      <c r="AW168" s="48"/>
      <c r="AX168" s="48"/>
      <c r="AY168" s="48"/>
    </row>
    <row r="169" spans="2:51" x14ac:dyDescent="0.2">
      <c r="B169" s="152"/>
      <c r="C169" s="152"/>
      <c r="D169" s="87"/>
      <c r="E169" s="51" t="s">
        <v>1140</v>
      </c>
      <c r="F169" s="52">
        <f>COUNTIFS(Tabulacao!$BP:$BP,'1Emp'!$E$101,Tabulacao!$BR:$BR,'1Emp'!$E169)</f>
        <v>0</v>
      </c>
      <c r="G169" s="53">
        <f t="shared" si="27"/>
        <v>0</v>
      </c>
      <c r="H169" s="48"/>
      <c r="I169" s="48"/>
      <c r="J169" s="48"/>
      <c r="K169" s="48"/>
      <c r="L169" s="48"/>
      <c r="M169" s="119"/>
      <c r="N169" s="119"/>
      <c r="O169" s="119"/>
      <c r="P169" s="119"/>
      <c r="Q169" s="119"/>
      <c r="R169" s="48"/>
      <c r="S169" s="48"/>
      <c r="T169" s="48"/>
      <c r="U169" s="48"/>
      <c r="V169" s="48"/>
      <c r="W169" s="48"/>
      <c r="X169" s="48"/>
      <c r="Y169" s="48"/>
      <c r="Z169" s="48"/>
      <c r="AA169" s="48"/>
      <c r="AB169" s="48"/>
      <c r="AC169" s="48"/>
      <c r="AD169" s="48"/>
      <c r="AE169" s="48"/>
      <c r="AF169" s="163" t="s">
        <v>125</v>
      </c>
      <c r="AG169" s="164">
        <v>900</v>
      </c>
      <c r="AH169" s="162"/>
      <c r="AI169" s="162"/>
      <c r="AJ169" s="162"/>
      <c r="AK169" s="162"/>
      <c r="AL169" s="162"/>
      <c r="AM169" s="48"/>
      <c r="AN169" s="48"/>
      <c r="AO169" s="48"/>
      <c r="AP169" s="48"/>
      <c r="AQ169" s="48"/>
      <c r="AR169" s="48"/>
      <c r="AS169" s="48"/>
      <c r="AT169" s="48"/>
      <c r="AU169" s="48"/>
      <c r="AV169" s="48"/>
      <c r="AW169" s="48"/>
      <c r="AX169" s="48"/>
      <c r="AY169" s="48"/>
    </row>
    <row r="170" spans="2:51" x14ac:dyDescent="0.2">
      <c r="B170" s="152"/>
      <c r="C170" s="152"/>
      <c r="D170" s="87"/>
      <c r="E170" s="51" t="s">
        <v>769</v>
      </c>
      <c r="F170" s="52">
        <f>COUNTIFS(Tabulacao!$BP:$BP,'1Emp'!$E$101,Tabulacao!$BR:$BR,'1Emp'!$E170)</f>
        <v>0</v>
      </c>
      <c r="G170" s="53">
        <f t="shared" si="27"/>
        <v>0</v>
      </c>
      <c r="H170" s="48"/>
      <c r="I170" s="48"/>
      <c r="J170" s="48"/>
      <c r="K170" s="48"/>
      <c r="L170" s="48"/>
      <c r="M170" s="119"/>
      <c r="N170" s="119"/>
      <c r="O170" s="119"/>
      <c r="P170" s="119"/>
      <c r="Q170" s="119"/>
      <c r="R170" s="48"/>
      <c r="S170" s="48"/>
      <c r="T170" s="48"/>
      <c r="U170" s="48"/>
      <c r="V170" s="48"/>
      <c r="W170" s="48"/>
      <c r="X170" s="48"/>
      <c r="Y170" s="48"/>
      <c r="Z170" s="48"/>
      <c r="AA170" s="48"/>
      <c r="AB170" s="48"/>
      <c r="AC170" s="48"/>
      <c r="AD170" s="48"/>
      <c r="AE170" s="48"/>
      <c r="AF170" s="163" t="s">
        <v>128</v>
      </c>
      <c r="AG170" s="164">
        <v>1200</v>
      </c>
      <c r="AH170" s="162"/>
      <c r="AI170" s="162"/>
      <c r="AJ170" s="162"/>
      <c r="AK170" s="162"/>
      <c r="AL170" s="162"/>
      <c r="AM170" s="273"/>
      <c r="AN170" s="341" t="s">
        <v>1159</v>
      </c>
      <c r="AO170" s="261" t="s">
        <v>120</v>
      </c>
      <c r="AP170" s="48"/>
      <c r="AQ170" s="48"/>
      <c r="AR170" s="48"/>
      <c r="AS170" s="48"/>
      <c r="AT170" s="48"/>
      <c r="AU170" s="48"/>
      <c r="AV170" s="48"/>
      <c r="AW170" s="48"/>
      <c r="AX170" s="48"/>
      <c r="AY170" s="48"/>
    </row>
    <row r="171" spans="2:51" ht="38.25" x14ac:dyDescent="0.2">
      <c r="B171" s="152"/>
      <c r="C171" s="152"/>
      <c r="D171" s="87"/>
      <c r="E171" s="51" t="s">
        <v>1141</v>
      </c>
      <c r="F171" s="52">
        <f>COUNTIFS(Tabulacao!$BP:$BP,'1Emp'!$E$101,Tabulacao!$BR:$BR,'1Emp'!$E171)</f>
        <v>0</v>
      </c>
      <c r="G171" s="53">
        <f t="shared" si="27"/>
        <v>0</v>
      </c>
      <c r="H171" s="48"/>
      <c r="I171" s="48"/>
      <c r="J171" s="48"/>
      <c r="K171" s="48"/>
      <c r="L171" s="48"/>
      <c r="M171" s="119"/>
      <c r="N171" s="119"/>
      <c r="O171" s="119"/>
      <c r="P171" s="119"/>
      <c r="Q171" s="119"/>
      <c r="R171" s="48"/>
      <c r="S171" s="48"/>
      <c r="T171" s="48"/>
      <c r="U171" s="48"/>
      <c r="V171" s="48"/>
      <c r="W171" s="48"/>
      <c r="X171" s="48"/>
      <c r="Y171" s="48"/>
      <c r="Z171" s="48"/>
      <c r="AA171" s="48"/>
      <c r="AB171" s="48"/>
      <c r="AC171" s="48"/>
      <c r="AD171" s="48"/>
      <c r="AE171" s="48"/>
      <c r="AF171" s="163" t="s">
        <v>128</v>
      </c>
      <c r="AG171" s="164">
        <v>1000</v>
      </c>
      <c r="AH171" s="162"/>
      <c r="AI171" s="162"/>
      <c r="AJ171" s="162"/>
      <c r="AK171" s="162"/>
      <c r="AL171" s="162"/>
      <c r="AM171" s="48"/>
      <c r="AN171" s="48"/>
      <c r="AO171" s="186" t="s">
        <v>990</v>
      </c>
      <c r="AP171" s="187" t="str">
        <f>AO170</f>
        <v>Bacharelado em Sistemas de Informação</v>
      </c>
      <c r="AQ171" s="187" t="str">
        <f>AP171</f>
        <v>Bacharelado em Sistemas de Informação</v>
      </c>
      <c r="AR171" s="187" t="s">
        <v>156</v>
      </c>
      <c r="AS171" s="187" t="s">
        <v>156</v>
      </c>
      <c r="AT171" s="48"/>
      <c r="AU171" s="48"/>
      <c r="AV171" s="48"/>
      <c r="AW171" s="48"/>
      <c r="AX171" s="48"/>
      <c r="AY171" s="48"/>
    </row>
    <row r="172" spans="2:51" x14ac:dyDescent="0.2">
      <c r="B172" s="152"/>
      <c r="C172" s="152"/>
      <c r="D172" s="87"/>
      <c r="E172" s="51" t="s">
        <v>1142</v>
      </c>
      <c r="F172" s="52">
        <f>COUNTIFS(Tabulacao!$BP:$BP,'1Emp'!$E$101,Tabulacao!$BR:$BR,'1Emp'!$E172)</f>
        <v>1</v>
      </c>
      <c r="G172" s="53">
        <f t="shared" si="27"/>
        <v>6.1349693251533744E-3</v>
      </c>
      <c r="H172" s="48"/>
      <c r="I172" s="48"/>
      <c r="J172" s="48"/>
      <c r="K172" s="48"/>
      <c r="L172" s="48"/>
      <c r="M172" s="119"/>
      <c r="N172" s="119"/>
      <c r="O172" s="119"/>
      <c r="P172" s="119"/>
      <c r="Q172" s="119"/>
      <c r="R172" s="48"/>
      <c r="S172" s="48"/>
      <c r="T172" s="48"/>
      <c r="U172" s="48"/>
      <c r="V172" s="48"/>
      <c r="W172" s="48"/>
      <c r="X172" s="48"/>
      <c r="Y172" s="48"/>
      <c r="Z172" s="48"/>
      <c r="AA172" s="48"/>
      <c r="AB172" s="48"/>
      <c r="AC172" s="48"/>
      <c r="AD172" s="48"/>
      <c r="AE172" s="48"/>
      <c r="AF172" s="163" t="s">
        <v>128</v>
      </c>
      <c r="AG172" s="164">
        <v>2350</v>
      </c>
      <c r="AH172" s="162"/>
      <c r="AI172" s="162"/>
      <c r="AJ172" s="162"/>
      <c r="AK172" s="162"/>
      <c r="AL172" s="162"/>
      <c r="AM172" s="48"/>
      <c r="AN172" s="48"/>
      <c r="AO172" s="60" t="str">
        <f>AO153</f>
        <v>Até 6 meses</v>
      </c>
      <c r="AP172" s="52">
        <f>IFERROR(COUNTIFS(Respostas_Formatadas!$C:$C,$AO$170,Respostas_Formatadas!$AM:$AM,'1Emp'!$AO172),"-")</f>
        <v>0</v>
      </c>
      <c r="AQ172" s="53">
        <f>IFERROR(AP172/$AP$176,"-")</f>
        <v>0</v>
      </c>
      <c r="AR172" s="52">
        <f t="shared" ref="AR172:AS175" si="28">AP153</f>
        <v>14</v>
      </c>
      <c r="AS172" s="53">
        <f t="shared" si="28"/>
        <v>0.17721518987341772</v>
      </c>
      <c r="AT172" s="48"/>
      <c r="AU172" s="48"/>
      <c r="AV172" s="48"/>
      <c r="AW172" s="48"/>
      <c r="AX172" s="48"/>
      <c r="AY172" s="48"/>
    </row>
    <row r="173" spans="2:51" x14ac:dyDescent="0.2">
      <c r="B173" s="152"/>
      <c r="C173" s="152"/>
      <c r="D173" s="87"/>
      <c r="E173" s="51" t="s">
        <v>789</v>
      </c>
      <c r="F173" s="52">
        <f>COUNTIFS(Tabulacao!$BP:$BP,'1Emp'!$E$101,Tabulacao!$BR:$BR,'1Emp'!$E173)</f>
        <v>0</v>
      </c>
      <c r="G173" s="53">
        <f t="shared" si="27"/>
        <v>0</v>
      </c>
      <c r="H173" s="48"/>
      <c r="I173" s="48"/>
      <c r="J173" s="48"/>
      <c r="K173" s="48"/>
      <c r="L173" s="48"/>
      <c r="M173" s="119"/>
      <c r="N173" s="119"/>
      <c r="O173" s="119"/>
      <c r="P173" s="119"/>
      <c r="Q173" s="119"/>
      <c r="R173" s="48"/>
      <c r="S173" s="48"/>
      <c r="T173" s="48"/>
      <c r="U173" s="48"/>
      <c r="V173" s="48"/>
      <c r="W173" s="48"/>
      <c r="X173" s="48"/>
      <c r="Y173" s="48"/>
      <c r="Z173" s="48"/>
      <c r="AA173" s="48"/>
      <c r="AB173" s="48"/>
      <c r="AC173" s="48"/>
      <c r="AD173" s="48"/>
      <c r="AE173" s="48"/>
      <c r="AF173" s="163" t="s">
        <v>128</v>
      </c>
      <c r="AG173" s="164">
        <v>932</v>
      </c>
      <c r="AH173" s="162"/>
      <c r="AI173" s="162"/>
      <c r="AJ173" s="162"/>
      <c r="AK173" s="162"/>
      <c r="AL173" s="162"/>
      <c r="AM173" s="48"/>
      <c r="AN173" s="48"/>
      <c r="AO173" s="60" t="str">
        <f>AO154</f>
        <v>De 6 meses a 1 ano</v>
      </c>
      <c r="AP173" s="52">
        <f>IFERROR(COUNTIFS(Respostas_Formatadas!$C:$C,$AO$170,Respostas_Formatadas!$AM:$AM,'1Emp'!$AO173),"-")</f>
        <v>4</v>
      </c>
      <c r="AQ173" s="53">
        <f t="shared" ref="AQ173:AQ175" si="29">IFERROR(AP173/$AP$176,"-")</f>
        <v>0.5714285714285714</v>
      </c>
      <c r="AR173" s="52">
        <f t="shared" si="28"/>
        <v>19</v>
      </c>
      <c r="AS173" s="53">
        <f t="shared" si="28"/>
        <v>0.24050632911392406</v>
      </c>
      <c r="AT173" s="48"/>
      <c r="AU173" s="48"/>
      <c r="AV173" s="48"/>
      <c r="AW173" s="48"/>
      <c r="AX173" s="48"/>
      <c r="AY173" s="48"/>
    </row>
    <row r="174" spans="2:51" x14ac:dyDescent="0.2">
      <c r="B174" s="152"/>
      <c r="C174" s="152"/>
      <c r="D174" s="87"/>
      <c r="E174" s="51" t="s">
        <v>1143</v>
      </c>
      <c r="F174" s="52">
        <f>COUNTIFS(Tabulacao!$BP:$BP,'1Emp'!$E$101,Tabulacao!$BR:$BR,'1Emp'!$E174)</f>
        <v>0</v>
      </c>
      <c r="G174" s="53">
        <f t="shared" si="27"/>
        <v>0</v>
      </c>
      <c r="H174" s="48"/>
      <c r="I174" s="48"/>
      <c r="J174" s="48"/>
      <c r="K174" s="48"/>
      <c r="L174" s="48"/>
      <c r="M174" s="119"/>
      <c r="N174" s="119"/>
      <c r="O174" s="119"/>
      <c r="P174" s="119"/>
      <c r="Q174" s="119"/>
      <c r="R174" s="48"/>
      <c r="S174" s="48"/>
      <c r="T174" s="48"/>
      <c r="U174" s="48"/>
      <c r="V174" s="48"/>
      <c r="W174" s="48"/>
      <c r="X174" s="48"/>
      <c r="Y174" s="48"/>
      <c r="Z174" s="48"/>
      <c r="AA174" s="48"/>
      <c r="AB174" s="48"/>
      <c r="AC174" s="48"/>
      <c r="AD174" s="48"/>
      <c r="AE174" s="48"/>
      <c r="AF174" s="163" t="s">
        <v>128</v>
      </c>
      <c r="AG174" s="164">
        <v>1100</v>
      </c>
      <c r="AH174" s="162"/>
      <c r="AI174" s="162"/>
      <c r="AJ174" s="162"/>
      <c r="AK174" s="162"/>
      <c r="AL174" s="162"/>
      <c r="AM174" s="48"/>
      <c r="AN174" s="48"/>
      <c r="AO174" s="60" t="str">
        <f>AO155</f>
        <v>De 1 a 2 anos</v>
      </c>
      <c r="AP174" s="52">
        <f>IFERROR(COUNTIFS(Respostas_Formatadas!$C:$C,$AO$170,Respostas_Formatadas!$AM:$AM,'1Emp'!$AO174),"-")</f>
        <v>2</v>
      </c>
      <c r="AQ174" s="53">
        <f t="shared" si="29"/>
        <v>0.2857142857142857</v>
      </c>
      <c r="AR174" s="52">
        <f t="shared" si="28"/>
        <v>21</v>
      </c>
      <c r="AS174" s="53">
        <f t="shared" si="28"/>
        <v>0.26582278481012656</v>
      </c>
      <c r="AT174" s="48"/>
      <c r="AU174" s="48"/>
      <c r="AV174" s="48"/>
      <c r="AW174" s="48"/>
      <c r="AX174" s="48"/>
      <c r="AY174" s="48"/>
    </row>
    <row r="175" spans="2:51" x14ac:dyDescent="0.2">
      <c r="B175" s="152"/>
      <c r="C175" s="152"/>
      <c r="D175" s="87"/>
      <c r="E175" s="51" t="s">
        <v>903</v>
      </c>
      <c r="F175" s="52">
        <f>COUNTIFS(Tabulacao!$BP:$BP,'1Emp'!$E$101,Tabulacao!$BR:$BR,'1Emp'!$E175)</f>
        <v>0</v>
      </c>
      <c r="G175" s="53">
        <f t="shared" si="27"/>
        <v>0</v>
      </c>
      <c r="H175" s="48"/>
      <c r="I175" s="48"/>
      <c r="J175" s="48"/>
      <c r="K175" s="48"/>
      <c r="L175" s="48"/>
      <c r="M175" s="119"/>
      <c r="N175" s="119"/>
      <c r="O175" s="119"/>
      <c r="P175" s="119"/>
      <c r="Q175" s="119"/>
      <c r="R175" s="48"/>
      <c r="S175" s="48"/>
      <c r="T175" s="48"/>
      <c r="U175" s="48"/>
      <c r="V175" s="48"/>
      <c r="W175" s="48"/>
      <c r="X175" s="48"/>
      <c r="Y175" s="48"/>
      <c r="Z175" s="48"/>
      <c r="AA175" s="48"/>
      <c r="AB175" s="48"/>
      <c r="AC175" s="48"/>
      <c r="AD175" s="48"/>
      <c r="AE175" s="48"/>
      <c r="AF175" s="163" t="s">
        <v>128</v>
      </c>
      <c r="AG175" s="164">
        <v>1200</v>
      </c>
      <c r="AH175" s="162"/>
      <c r="AI175" s="162"/>
      <c r="AJ175" s="162"/>
      <c r="AK175" s="162"/>
      <c r="AL175" s="162"/>
      <c r="AM175" s="48"/>
      <c r="AN175" s="48"/>
      <c r="AO175" s="60" t="str">
        <f>AO156</f>
        <v>Mais de 2 anos</v>
      </c>
      <c r="AP175" s="52">
        <f>IFERROR(COUNTIFS(Respostas_Formatadas!$C:$C,$AO$170,Respostas_Formatadas!$AM:$AM,'1Emp'!$AO175),"-")</f>
        <v>1</v>
      </c>
      <c r="AQ175" s="53">
        <f t="shared" si="29"/>
        <v>0.14285714285714285</v>
      </c>
      <c r="AR175" s="52">
        <f t="shared" si="28"/>
        <v>25</v>
      </c>
      <c r="AS175" s="53">
        <f t="shared" si="28"/>
        <v>0.31645569620253167</v>
      </c>
      <c r="AT175" s="48"/>
      <c r="AU175" s="48"/>
      <c r="AV175" s="48"/>
      <c r="AW175" s="48"/>
      <c r="AX175" s="48"/>
      <c r="AY175" s="48"/>
    </row>
    <row r="176" spans="2:51" x14ac:dyDescent="0.2">
      <c r="B176" s="152"/>
      <c r="C176" s="152"/>
      <c r="D176" s="87"/>
      <c r="E176" s="51" t="s">
        <v>1144</v>
      </c>
      <c r="F176" s="52">
        <f>COUNTIFS(Tabulacao!$BP:$BP,'1Emp'!$E$101,Tabulacao!$BR:$BR,'1Emp'!$E176)</f>
        <v>0</v>
      </c>
      <c r="G176" s="53">
        <f t="shared" si="27"/>
        <v>0</v>
      </c>
      <c r="H176" s="48"/>
      <c r="I176" s="48"/>
      <c r="J176" s="48"/>
      <c r="K176" s="48"/>
      <c r="L176" s="48"/>
      <c r="M176" s="119"/>
      <c r="N176" s="119"/>
      <c r="O176" s="119"/>
      <c r="P176" s="119"/>
      <c r="Q176" s="119"/>
      <c r="R176" s="48"/>
      <c r="S176" s="48"/>
      <c r="T176" s="48"/>
      <c r="U176" s="48"/>
      <c r="V176" s="48"/>
      <c r="W176" s="48"/>
      <c r="X176" s="48"/>
      <c r="Y176" s="48"/>
      <c r="Z176" s="48"/>
      <c r="AA176" s="48"/>
      <c r="AB176" s="48"/>
      <c r="AC176" s="48"/>
      <c r="AD176" s="48"/>
      <c r="AE176" s="48"/>
      <c r="AF176" s="163" t="s">
        <v>128</v>
      </c>
      <c r="AG176" s="164">
        <v>950</v>
      </c>
      <c r="AH176" s="162"/>
      <c r="AI176" s="162"/>
      <c r="AJ176" s="162"/>
      <c r="AK176" s="162"/>
      <c r="AL176" s="162"/>
      <c r="AM176" s="48"/>
      <c r="AN176" s="48"/>
      <c r="AO176" s="191" t="s">
        <v>621</v>
      </c>
      <c r="AP176" s="192">
        <f>SUM(AP172:AP175)</f>
        <v>7</v>
      </c>
      <c r="AQ176" s="193">
        <f>SUM(AQ172:AQ175)</f>
        <v>1</v>
      </c>
      <c r="AR176" s="192">
        <f>SUM(AR172:AR175)</f>
        <v>79</v>
      </c>
      <c r="AS176" s="193">
        <f>SUM(AS172:AS175)</f>
        <v>1</v>
      </c>
      <c r="AT176" s="48"/>
      <c r="AU176" s="48"/>
      <c r="AV176" s="48"/>
      <c r="AW176" s="48"/>
      <c r="AX176" s="48"/>
      <c r="AY176" s="48"/>
    </row>
    <row r="177" spans="2:51" x14ac:dyDescent="0.2">
      <c r="B177" s="152"/>
      <c r="C177" s="152"/>
      <c r="D177" s="87"/>
      <c r="E177" s="51" t="s">
        <v>822</v>
      </c>
      <c r="F177" s="52">
        <f>COUNTIFS(Tabulacao!$BP:$BP,'1Emp'!$E$101,Tabulacao!$BR:$BR,'1Emp'!$E177)</f>
        <v>0</v>
      </c>
      <c r="G177" s="53">
        <f t="shared" si="27"/>
        <v>0</v>
      </c>
      <c r="H177" s="48"/>
      <c r="I177" s="48"/>
      <c r="J177" s="48"/>
      <c r="K177" s="48"/>
      <c r="L177" s="48"/>
      <c r="M177" s="119"/>
      <c r="N177" s="119"/>
      <c r="O177" s="119"/>
      <c r="P177" s="119"/>
      <c r="Q177" s="119"/>
      <c r="R177" s="48"/>
      <c r="S177" s="48"/>
      <c r="T177" s="48"/>
      <c r="U177" s="48"/>
      <c r="V177" s="48"/>
      <c r="W177" s="48"/>
      <c r="X177" s="48"/>
      <c r="Y177" s="48"/>
      <c r="Z177" s="48"/>
      <c r="AA177" s="48"/>
      <c r="AB177" s="48"/>
      <c r="AC177" s="48"/>
      <c r="AD177" s="48"/>
      <c r="AE177" s="48"/>
      <c r="AF177" s="163" t="s">
        <v>128</v>
      </c>
      <c r="AG177" s="164">
        <v>400</v>
      </c>
      <c r="AH177" s="162"/>
      <c r="AI177" s="162"/>
      <c r="AJ177" s="162"/>
      <c r="AK177" s="162"/>
      <c r="AL177" s="162"/>
      <c r="AM177" s="48"/>
      <c r="AN177" s="48"/>
      <c r="AO177" s="48"/>
      <c r="AP177" s="48"/>
      <c r="AQ177" s="48"/>
      <c r="AR177" s="48"/>
      <c r="AS177" s="48"/>
      <c r="AT177" s="48"/>
      <c r="AU177" s="48"/>
      <c r="AV177" s="48"/>
      <c r="AW177" s="48"/>
      <c r="AX177" s="48"/>
      <c r="AY177" s="48"/>
    </row>
    <row r="178" spans="2:51" x14ac:dyDescent="0.2">
      <c r="B178" s="152"/>
      <c r="C178" s="152"/>
      <c r="D178" s="87"/>
      <c r="E178" s="51" t="s">
        <v>834</v>
      </c>
      <c r="F178" s="52">
        <f>COUNTIFS(Tabulacao!$BP:$BP,'1Emp'!$E$101,Tabulacao!$BR:$BR,'1Emp'!$E178)</f>
        <v>0</v>
      </c>
      <c r="G178" s="53">
        <f t="shared" si="27"/>
        <v>0</v>
      </c>
      <c r="H178" s="48"/>
      <c r="I178" s="48"/>
      <c r="J178" s="48"/>
      <c r="K178" s="48"/>
      <c r="L178" s="48"/>
      <c r="M178" s="119"/>
      <c r="N178" s="119"/>
      <c r="O178" s="119"/>
      <c r="P178" s="119"/>
      <c r="Q178" s="119"/>
      <c r="R178" s="48"/>
      <c r="S178" s="48"/>
      <c r="T178" s="48"/>
      <c r="U178" s="48"/>
      <c r="V178" s="48"/>
      <c r="W178" s="48"/>
      <c r="X178" s="48"/>
      <c r="Y178" s="48"/>
      <c r="Z178" s="48"/>
      <c r="AA178" s="48"/>
      <c r="AB178" s="48"/>
      <c r="AC178" s="48"/>
      <c r="AD178" s="48"/>
      <c r="AE178" s="48"/>
      <c r="AF178" s="163" t="s">
        <v>128</v>
      </c>
      <c r="AG178" s="164">
        <v>1000</v>
      </c>
      <c r="AH178" s="162"/>
      <c r="AI178" s="162"/>
      <c r="AJ178" s="162"/>
      <c r="AK178" s="162"/>
      <c r="AL178" s="162"/>
      <c r="AM178" s="48"/>
      <c r="AN178" s="48"/>
      <c r="AO178" s="48"/>
      <c r="AP178" s="48"/>
      <c r="AQ178" s="48"/>
      <c r="AR178" s="48"/>
      <c r="AS178" s="48"/>
      <c r="AT178" s="48"/>
      <c r="AU178" s="48"/>
      <c r="AV178" s="48"/>
      <c r="AW178" s="48"/>
      <c r="AX178" s="48"/>
      <c r="AY178" s="48"/>
    </row>
    <row r="179" spans="2:51" x14ac:dyDescent="0.2">
      <c r="B179" s="152"/>
      <c r="C179" s="152"/>
      <c r="D179" s="87"/>
      <c r="E179" s="51" t="s">
        <v>837</v>
      </c>
      <c r="F179" s="52">
        <f>COUNTIFS(Tabulacao!$BP:$BP,'1Emp'!$E$101,Tabulacao!$BR:$BR,'1Emp'!$E179)</f>
        <v>0</v>
      </c>
      <c r="G179" s="53">
        <f t="shared" si="27"/>
        <v>0</v>
      </c>
      <c r="H179" s="48"/>
      <c r="I179" s="48"/>
      <c r="J179" s="48"/>
      <c r="K179" s="48"/>
      <c r="L179" s="48"/>
      <c r="M179" s="119"/>
      <c r="N179" s="119"/>
      <c r="O179" s="119"/>
      <c r="P179" s="119"/>
      <c r="Q179" s="119"/>
      <c r="R179" s="48"/>
      <c r="S179" s="48"/>
      <c r="T179" s="48"/>
      <c r="U179" s="48"/>
      <c r="V179" s="48"/>
      <c r="W179" s="48"/>
      <c r="X179" s="48"/>
      <c r="Y179" s="48"/>
      <c r="Z179" s="48"/>
      <c r="AA179" s="48"/>
      <c r="AB179" s="48"/>
      <c r="AC179" s="48"/>
      <c r="AD179" s="48"/>
      <c r="AE179" s="48"/>
      <c r="AF179" s="163" t="s">
        <v>127</v>
      </c>
      <c r="AG179" s="164">
        <v>1200</v>
      </c>
      <c r="AH179" s="162"/>
      <c r="AI179" s="162"/>
      <c r="AJ179" s="162"/>
      <c r="AK179" s="162"/>
      <c r="AL179" s="162"/>
      <c r="AM179" s="48"/>
      <c r="AN179" s="48"/>
      <c r="AO179" s="48"/>
      <c r="AP179" s="48"/>
      <c r="AQ179" s="48"/>
      <c r="AR179" s="48"/>
      <c r="AS179" s="48"/>
      <c r="AT179" s="48"/>
      <c r="AU179" s="48"/>
      <c r="AV179" s="48"/>
      <c r="AW179" s="48"/>
      <c r="AX179" s="48"/>
      <c r="AY179" s="48"/>
    </row>
    <row r="180" spans="2:51" x14ac:dyDescent="0.2">
      <c r="B180" s="152"/>
      <c r="C180" s="152"/>
      <c r="D180" s="87"/>
      <c r="E180" s="51" t="s">
        <v>860</v>
      </c>
      <c r="F180" s="52">
        <f>COUNTIFS(Tabulacao!$BP:$BP,'1Emp'!$E$101,Tabulacao!$BR:$BR,'1Emp'!$E180)</f>
        <v>1</v>
      </c>
      <c r="G180" s="53">
        <f t="shared" si="27"/>
        <v>6.1349693251533744E-3</v>
      </c>
      <c r="H180" s="48"/>
      <c r="I180" s="48"/>
      <c r="J180" s="48"/>
      <c r="K180" s="48"/>
      <c r="L180" s="48"/>
      <c r="M180" s="119"/>
      <c r="N180" s="119"/>
      <c r="O180" s="119"/>
      <c r="P180" s="119"/>
      <c r="Q180" s="119"/>
      <c r="R180" s="48"/>
      <c r="S180" s="48"/>
      <c r="T180" s="48"/>
      <c r="U180" s="48"/>
      <c r="V180" s="48"/>
      <c r="W180" s="48"/>
      <c r="X180" s="48"/>
      <c r="Y180" s="48"/>
      <c r="Z180" s="48"/>
      <c r="AA180" s="48"/>
      <c r="AB180" s="48"/>
      <c r="AC180" s="48"/>
      <c r="AD180" s="48"/>
      <c r="AE180" s="48"/>
      <c r="AF180" s="163" t="s">
        <v>127</v>
      </c>
      <c r="AG180" s="164">
        <v>1500</v>
      </c>
      <c r="AH180" s="162"/>
      <c r="AI180" s="162"/>
      <c r="AJ180" s="162"/>
      <c r="AK180" s="162"/>
      <c r="AL180" s="162"/>
      <c r="AM180" s="48"/>
      <c r="AN180" s="48"/>
      <c r="AO180" s="48"/>
      <c r="AP180" s="48"/>
      <c r="AQ180" s="48"/>
      <c r="AR180" s="48"/>
      <c r="AS180" s="48"/>
      <c r="AT180" s="48"/>
      <c r="AU180" s="48"/>
      <c r="AV180" s="48"/>
      <c r="AW180" s="48"/>
      <c r="AX180" s="48"/>
      <c r="AY180" s="48"/>
    </row>
    <row r="181" spans="2:51" x14ac:dyDescent="0.2">
      <c r="B181" s="152"/>
      <c r="C181" s="152"/>
      <c r="D181" s="87"/>
      <c r="E181" s="51" t="s">
        <v>1145</v>
      </c>
      <c r="F181" s="52">
        <f>COUNTIFS(Tabulacao!$BP:$BP,'1Emp'!$E$101,Tabulacao!$BR:$BR,'1Emp'!$E181)</f>
        <v>0</v>
      </c>
      <c r="G181" s="53">
        <f t="shared" si="27"/>
        <v>0</v>
      </c>
      <c r="H181" s="48"/>
      <c r="I181" s="48"/>
      <c r="J181" s="48"/>
      <c r="K181" s="48"/>
      <c r="L181" s="48"/>
      <c r="M181" s="119"/>
      <c r="N181" s="119"/>
      <c r="O181" s="119"/>
      <c r="P181" s="119"/>
      <c r="Q181" s="119"/>
      <c r="R181" s="48"/>
      <c r="S181" s="48"/>
      <c r="T181" s="48"/>
      <c r="U181" s="48"/>
      <c r="V181" s="48"/>
      <c r="W181" s="48"/>
      <c r="X181" s="48"/>
      <c r="Y181" s="48"/>
      <c r="Z181" s="48"/>
      <c r="AA181" s="48"/>
      <c r="AB181" s="48"/>
      <c r="AC181" s="48"/>
      <c r="AD181" s="48"/>
      <c r="AE181" s="48"/>
      <c r="AF181" s="163" t="s">
        <v>127</v>
      </c>
      <c r="AG181" s="164">
        <v>1500</v>
      </c>
      <c r="AH181" s="162"/>
      <c r="AI181" s="162"/>
      <c r="AJ181" s="162"/>
      <c r="AK181" s="162"/>
      <c r="AL181" s="162"/>
      <c r="AM181" s="48"/>
      <c r="AN181" s="48"/>
      <c r="AO181" s="48"/>
      <c r="AP181" s="48"/>
      <c r="AQ181" s="48"/>
      <c r="AR181" s="48"/>
      <c r="AS181" s="48"/>
      <c r="AT181" s="48"/>
      <c r="AU181" s="48"/>
      <c r="AV181" s="48"/>
      <c r="AW181" s="48"/>
      <c r="AX181" s="48"/>
      <c r="AY181" s="48"/>
    </row>
    <row r="182" spans="2:51" x14ac:dyDescent="0.2">
      <c r="B182" s="152"/>
      <c r="C182" s="152"/>
      <c r="D182" s="87"/>
      <c r="E182" s="51" t="s">
        <v>1114</v>
      </c>
      <c r="F182" s="52">
        <f>COUNTIFS(Tabulacao!$BP:$BP,'1Emp'!$E$101,Tabulacao!$BR:$BR,'1Emp'!$E182)</f>
        <v>0</v>
      </c>
      <c r="G182" s="53">
        <f t="shared" si="27"/>
        <v>0</v>
      </c>
      <c r="H182" s="48"/>
      <c r="I182" s="48"/>
      <c r="J182" s="48"/>
      <c r="K182" s="48"/>
      <c r="L182" s="48"/>
      <c r="M182" s="119"/>
      <c r="N182" s="119"/>
      <c r="O182" s="119"/>
      <c r="P182" s="119"/>
      <c r="Q182" s="119"/>
      <c r="R182" s="48"/>
      <c r="S182" s="48"/>
      <c r="T182" s="48"/>
      <c r="U182" s="48"/>
      <c r="V182" s="48"/>
      <c r="W182" s="48"/>
      <c r="X182" s="48"/>
      <c r="Y182" s="48"/>
      <c r="Z182" s="48"/>
      <c r="AA182" s="48"/>
      <c r="AB182" s="48"/>
      <c r="AC182" s="48"/>
      <c r="AD182" s="48"/>
      <c r="AE182" s="48"/>
      <c r="AF182" s="163" t="s">
        <v>127</v>
      </c>
      <c r="AG182" s="164">
        <v>1800</v>
      </c>
      <c r="AH182" s="162"/>
      <c r="AI182" s="162"/>
      <c r="AJ182" s="162"/>
      <c r="AK182" s="162"/>
      <c r="AL182" s="162"/>
      <c r="AM182" s="48"/>
      <c r="AN182" s="48"/>
      <c r="AO182" s="48"/>
      <c r="AP182" s="48"/>
      <c r="AQ182" s="48"/>
      <c r="AR182" s="48"/>
      <c r="AS182" s="48"/>
      <c r="AT182" s="48"/>
      <c r="AU182" s="48"/>
      <c r="AV182" s="48"/>
      <c r="AW182" s="48"/>
      <c r="AX182" s="48"/>
      <c r="AY182" s="48"/>
    </row>
    <row r="183" spans="2:51" x14ac:dyDescent="0.2">
      <c r="B183" s="152"/>
      <c r="C183" s="152"/>
      <c r="D183" s="87"/>
      <c r="E183" s="51" t="s">
        <v>1146</v>
      </c>
      <c r="F183" s="52">
        <f>COUNTIFS(Tabulacao!$BP:$BP,'1Emp'!$E$101,Tabulacao!$BR:$BR,'1Emp'!$E183)</f>
        <v>0</v>
      </c>
      <c r="G183" s="53">
        <f t="shared" si="27"/>
        <v>0</v>
      </c>
      <c r="H183" s="48"/>
      <c r="I183" s="48"/>
      <c r="J183" s="48"/>
      <c r="K183" s="48"/>
      <c r="L183" s="48"/>
      <c r="M183" s="119"/>
      <c r="N183" s="119"/>
      <c r="O183" s="119"/>
      <c r="P183" s="119"/>
      <c r="Q183" s="119"/>
      <c r="R183" s="48"/>
      <c r="S183" s="48"/>
      <c r="T183" s="48"/>
      <c r="U183" s="48"/>
      <c r="V183" s="48"/>
      <c r="W183" s="48"/>
      <c r="X183" s="48"/>
      <c r="Y183" s="48"/>
      <c r="Z183" s="48"/>
      <c r="AA183" s="48"/>
      <c r="AB183" s="48"/>
      <c r="AC183" s="48"/>
      <c r="AD183" s="48"/>
      <c r="AE183" s="48"/>
      <c r="AF183" s="163" t="s">
        <v>127</v>
      </c>
      <c r="AG183" s="164">
        <v>880</v>
      </c>
      <c r="AH183" s="162"/>
      <c r="AI183" s="162"/>
      <c r="AJ183" s="162"/>
      <c r="AK183" s="162"/>
      <c r="AL183" s="162"/>
      <c r="AM183" s="48"/>
      <c r="AN183" s="48"/>
      <c r="AO183" s="48"/>
      <c r="AP183" s="48"/>
      <c r="AQ183" s="48"/>
      <c r="AR183" s="48"/>
      <c r="AS183" s="48"/>
      <c r="AT183" s="48"/>
      <c r="AU183" s="48"/>
      <c r="AV183" s="48"/>
      <c r="AW183" s="48"/>
      <c r="AX183" s="48"/>
      <c r="AY183" s="48"/>
    </row>
    <row r="184" spans="2:51" x14ac:dyDescent="0.2">
      <c r="B184" s="152"/>
      <c r="C184" s="152"/>
      <c r="D184" s="87"/>
      <c r="E184" s="51" t="s">
        <v>901</v>
      </c>
      <c r="F184" s="52">
        <f>COUNTIFS(Tabulacao!$BP:$BP,'1Emp'!$E$101,Tabulacao!$BR:$BR,'1Emp'!$E184)</f>
        <v>0</v>
      </c>
      <c r="G184" s="53">
        <f t="shared" si="27"/>
        <v>0</v>
      </c>
      <c r="H184" s="48"/>
      <c r="I184" s="48"/>
      <c r="J184" s="48"/>
      <c r="K184" s="48"/>
      <c r="L184" s="48"/>
      <c r="M184" s="119"/>
      <c r="N184" s="119"/>
      <c r="O184" s="119"/>
      <c r="P184" s="119"/>
      <c r="Q184" s="119"/>
      <c r="R184" s="48"/>
      <c r="S184" s="48"/>
      <c r="T184" s="48"/>
      <c r="U184" s="48"/>
      <c r="V184" s="48"/>
      <c r="W184" s="48"/>
      <c r="X184" s="48"/>
      <c r="Y184" s="48"/>
      <c r="Z184" s="48"/>
      <c r="AA184" s="48"/>
      <c r="AB184" s="48"/>
      <c r="AC184" s="48"/>
      <c r="AD184" s="48"/>
      <c r="AE184" s="48"/>
      <c r="AF184" s="163" t="s">
        <v>127</v>
      </c>
      <c r="AG184" s="164">
        <v>3500</v>
      </c>
      <c r="AH184" s="162"/>
      <c r="AI184" s="162"/>
      <c r="AJ184" s="162"/>
      <c r="AK184" s="162"/>
      <c r="AL184" s="162"/>
      <c r="AM184" s="48"/>
      <c r="AN184" s="48"/>
      <c r="AO184" s="48"/>
      <c r="AP184" s="48"/>
      <c r="AQ184" s="48"/>
      <c r="AR184" s="48"/>
      <c r="AS184" s="48"/>
      <c r="AT184" s="48"/>
      <c r="AU184" s="48"/>
      <c r="AV184" s="48"/>
      <c r="AW184" s="48"/>
      <c r="AX184" s="48"/>
      <c r="AY184" s="48"/>
    </row>
    <row r="185" spans="2:51" x14ac:dyDescent="0.2">
      <c r="B185" s="152"/>
      <c r="C185" s="152"/>
      <c r="D185" s="87"/>
      <c r="E185" s="51" t="s">
        <v>1147</v>
      </c>
      <c r="F185" s="52">
        <f>COUNTIFS(Tabulacao!$BP:$BP,'1Emp'!$E$101,Tabulacao!$BR:$BR,'1Emp'!$E185)</f>
        <v>0</v>
      </c>
      <c r="G185" s="53">
        <f t="shared" si="27"/>
        <v>0</v>
      </c>
      <c r="H185" s="48"/>
      <c r="I185" s="48"/>
      <c r="J185" s="48"/>
      <c r="K185" s="48"/>
      <c r="L185" s="48"/>
      <c r="M185" s="119"/>
      <c r="N185" s="119"/>
      <c r="O185" s="119"/>
      <c r="P185" s="119"/>
      <c r="Q185" s="119"/>
      <c r="R185" s="48"/>
      <c r="S185" s="48"/>
      <c r="T185" s="48"/>
      <c r="U185" s="48"/>
      <c r="V185" s="48"/>
      <c r="W185" s="48"/>
      <c r="X185" s="48"/>
      <c r="Y185" s="48"/>
      <c r="Z185" s="48"/>
      <c r="AA185" s="48"/>
      <c r="AB185" s="48"/>
      <c r="AC185" s="48"/>
      <c r="AD185" s="48"/>
      <c r="AE185" s="48"/>
      <c r="AF185" s="163" t="s">
        <v>127</v>
      </c>
      <c r="AG185" s="164">
        <v>1100</v>
      </c>
      <c r="AH185" s="162"/>
      <c r="AI185" s="162"/>
      <c r="AJ185" s="162"/>
      <c r="AK185" s="162"/>
      <c r="AL185" s="162"/>
      <c r="AM185" s="48"/>
      <c r="AN185" s="48"/>
      <c r="AO185" s="48"/>
      <c r="AP185" s="48"/>
      <c r="AQ185" s="48"/>
      <c r="AR185" s="48"/>
      <c r="AS185" s="48"/>
      <c r="AT185" s="48"/>
      <c r="AU185" s="48"/>
      <c r="AV185" s="48"/>
      <c r="AW185" s="48"/>
      <c r="AX185" s="48"/>
      <c r="AY185" s="48"/>
    </row>
    <row r="186" spans="2:51" x14ac:dyDescent="0.2">
      <c r="B186" s="152"/>
      <c r="C186" s="152"/>
      <c r="D186" s="87"/>
      <c r="E186" s="51" t="s">
        <v>925</v>
      </c>
      <c r="F186" s="52">
        <f>COUNTIFS(Tabulacao!$BP:$BP,'1Emp'!$E$101,Tabulacao!$BR:$BR,'1Emp'!$E186)</f>
        <v>0</v>
      </c>
      <c r="G186" s="53">
        <f t="shared" si="27"/>
        <v>0</v>
      </c>
      <c r="H186" s="48"/>
      <c r="I186" s="48"/>
      <c r="J186" s="48"/>
      <c r="K186" s="48"/>
      <c r="L186" s="48"/>
      <c r="M186" s="119"/>
      <c r="N186" s="119"/>
      <c r="O186" s="119"/>
      <c r="P186" s="119"/>
      <c r="Q186" s="119"/>
      <c r="R186" s="48"/>
      <c r="S186" s="48"/>
      <c r="T186" s="48"/>
      <c r="U186" s="48"/>
      <c r="V186" s="48"/>
      <c r="W186" s="48"/>
      <c r="X186" s="48"/>
      <c r="Y186" s="48"/>
      <c r="Z186" s="48"/>
      <c r="AA186" s="48"/>
      <c r="AB186" s="48"/>
      <c r="AC186" s="48"/>
      <c r="AD186" s="48"/>
      <c r="AE186" s="48"/>
      <c r="AF186" s="163" t="s">
        <v>127</v>
      </c>
      <c r="AG186" s="164">
        <v>1005</v>
      </c>
      <c r="AH186" s="162"/>
      <c r="AI186" s="162"/>
      <c r="AJ186" s="162"/>
      <c r="AK186" s="162"/>
      <c r="AL186" s="162"/>
      <c r="AM186" s="48"/>
      <c r="AN186" s="48"/>
      <c r="AO186" s="48"/>
      <c r="AP186" s="48"/>
      <c r="AQ186" s="48"/>
      <c r="AR186" s="48"/>
      <c r="AS186" s="48"/>
      <c r="AT186" s="48"/>
      <c r="AU186" s="48"/>
      <c r="AV186" s="48"/>
      <c r="AW186" s="48"/>
      <c r="AX186" s="48"/>
      <c r="AY186" s="48"/>
    </row>
    <row r="187" spans="2:51" x14ac:dyDescent="0.2">
      <c r="B187" s="152"/>
      <c r="C187" s="152"/>
      <c r="D187" s="87"/>
      <c r="E187" s="51" t="s">
        <v>1148</v>
      </c>
      <c r="F187" s="52">
        <f>COUNTIFS(Tabulacao!$BP:$BP,'1Emp'!$E$101,Tabulacao!$BR:$BR,'1Emp'!$E187)</f>
        <v>0</v>
      </c>
      <c r="G187" s="53">
        <f t="shared" si="27"/>
        <v>0</v>
      </c>
      <c r="H187" s="48"/>
      <c r="I187" s="48"/>
      <c r="J187" s="48"/>
      <c r="K187" s="48"/>
      <c r="L187" s="48"/>
      <c r="M187" s="119"/>
      <c r="N187" s="119"/>
      <c r="O187" s="119"/>
      <c r="P187" s="119"/>
      <c r="Q187" s="119"/>
      <c r="R187" s="48"/>
      <c r="S187" s="48"/>
      <c r="T187" s="48"/>
      <c r="U187" s="48"/>
      <c r="V187" s="48"/>
      <c r="W187" s="48"/>
      <c r="X187" s="48"/>
      <c r="Y187" s="48"/>
      <c r="Z187" s="48"/>
      <c r="AA187" s="48"/>
      <c r="AB187" s="48"/>
      <c r="AC187" s="48"/>
      <c r="AD187" s="48"/>
      <c r="AE187" s="48"/>
      <c r="AF187" s="163" t="s">
        <v>127</v>
      </c>
      <c r="AG187" s="164">
        <v>1100</v>
      </c>
      <c r="AH187" s="162"/>
      <c r="AI187" s="162"/>
      <c r="AJ187" s="162"/>
      <c r="AK187" s="162"/>
      <c r="AL187" s="162"/>
      <c r="AM187" s="48"/>
      <c r="AN187" s="48"/>
      <c r="AO187" s="48"/>
      <c r="AP187" s="48"/>
      <c r="AQ187" s="48"/>
      <c r="AR187" s="48"/>
      <c r="AS187" s="48"/>
      <c r="AT187" s="48"/>
      <c r="AU187" s="48"/>
      <c r="AV187" s="48"/>
      <c r="AW187" s="48"/>
      <c r="AX187" s="48"/>
      <c r="AY187" s="48"/>
    </row>
    <row r="188" spans="2:51" x14ac:dyDescent="0.2">
      <c r="B188" s="152"/>
      <c r="C188" s="152"/>
      <c r="D188" s="87"/>
      <c r="E188" s="51" t="s">
        <v>340</v>
      </c>
      <c r="F188" s="52">
        <f>COUNTIFS(Tabulacao!$BP:$BP,'1Emp'!$E$101,Tabulacao!$BR:$BR,'1Emp'!$E188)</f>
        <v>0</v>
      </c>
      <c r="G188" s="53">
        <f t="shared" si="27"/>
        <v>0</v>
      </c>
      <c r="H188" s="48"/>
      <c r="I188" s="48"/>
      <c r="J188" s="48"/>
      <c r="K188" s="48"/>
      <c r="L188" s="48"/>
      <c r="M188" s="119"/>
      <c r="N188" s="119"/>
      <c r="O188" s="119"/>
      <c r="P188" s="119"/>
      <c r="Q188" s="119"/>
      <c r="R188" s="48"/>
      <c r="S188" s="48"/>
      <c r="T188" s="48"/>
      <c r="U188" s="48"/>
      <c r="V188" s="48"/>
      <c r="W188" s="48"/>
      <c r="X188" s="48"/>
      <c r="Y188" s="48"/>
      <c r="Z188" s="48"/>
      <c r="AA188" s="48"/>
      <c r="AB188" s="48"/>
      <c r="AC188" s="48"/>
      <c r="AD188" s="48"/>
      <c r="AE188" s="48"/>
      <c r="AF188" s="163" t="s">
        <v>124</v>
      </c>
      <c r="AG188" s="164">
        <v>5000</v>
      </c>
      <c r="AH188" s="162"/>
      <c r="AI188" s="162"/>
      <c r="AJ188" s="162"/>
      <c r="AK188" s="162"/>
      <c r="AL188" s="162"/>
      <c r="AM188" s="48"/>
      <c r="AN188" s="48"/>
      <c r="AO188" s="48"/>
      <c r="AP188" s="48"/>
      <c r="AQ188" s="48"/>
      <c r="AR188" s="48"/>
      <c r="AS188" s="48"/>
      <c r="AT188" s="48"/>
      <c r="AU188" s="48"/>
      <c r="AV188" s="48"/>
      <c r="AW188" s="48"/>
      <c r="AX188" s="48"/>
      <c r="AY188" s="48"/>
    </row>
    <row r="189" spans="2:51" x14ac:dyDescent="0.2">
      <c r="B189" s="152"/>
      <c r="C189" s="152"/>
      <c r="D189" s="87"/>
      <c r="E189" s="51" t="s">
        <v>1116</v>
      </c>
      <c r="F189" s="52">
        <f>COUNTIFS(Tabulacao!$BP:$BP,'1Emp'!$E$101,Tabulacao!$BR:$BR,'1Emp'!$E189)</f>
        <v>0</v>
      </c>
      <c r="G189" s="53">
        <f t="shared" si="27"/>
        <v>0</v>
      </c>
      <c r="H189" s="48"/>
      <c r="I189" s="48"/>
      <c r="J189" s="48"/>
      <c r="K189" s="48"/>
      <c r="L189" s="48"/>
      <c r="M189" s="119"/>
      <c r="N189" s="119"/>
      <c r="O189" s="119"/>
      <c r="P189" s="119"/>
      <c r="Q189" s="119"/>
      <c r="R189" s="48"/>
      <c r="S189" s="48"/>
      <c r="T189" s="48"/>
      <c r="U189" s="48"/>
      <c r="V189" s="48"/>
      <c r="W189" s="48"/>
      <c r="X189" s="48"/>
      <c r="Y189" s="48"/>
      <c r="Z189" s="48"/>
      <c r="AA189" s="48"/>
      <c r="AB189" s="48"/>
      <c r="AC189" s="48"/>
      <c r="AD189" s="48"/>
      <c r="AE189" s="48"/>
      <c r="AF189" s="163" t="s">
        <v>124</v>
      </c>
      <c r="AG189" s="164">
        <v>1500</v>
      </c>
      <c r="AH189" s="162"/>
      <c r="AI189" s="162"/>
      <c r="AJ189" s="162"/>
      <c r="AK189" s="162"/>
      <c r="AL189" s="162"/>
      <c r="AM189" s="48"/>
      <c r="AN189" s="48"/>
      <c r="AO189" s="48"/>
      <c r="AP189" s="48"/>
      <c r="AQ189" s="48"/>
      <c r="AR189" s="48"/>
      <c r="AS189" s="48"/>
      <c r="AT189" s="48"/>
      <c r="AU189" s="48"/>
      <c r="AV189" s="48"/>
      <c r="AW189" s="48"/>
      <c r="AX189" s="48"/>
      <c r="AY189" s="48"/>
    </row>
    <row r="190" spans="2:51" x14ac:dyDescent="0.2">
      <c r="B190" s="152"/>
      <c r="C190" s="152"/>
      <c r="D190" s="87"/>
      <c r="E190" s="51" t="s">
        <v>1138</v>
      </c>
      <c r="F190" s="52">
        <f>COUNTIFS(Tabulacao!$BP:$BP,'1Emp'!$E$101,Tabulacao!$BR:$BR,'1Emp'!$E190)</f>
        <v>0</v>
      </c>
      <c r="G190" s="53">
        <f t="shared" si="27"/>
        <v>0</v>
      </c>
      <c r="H190" s="48"/>
      <c r="I190" s="48"/>
      <c r="J190" s="48"/>
      <c r="K190" s="48"/>
      <c r="L190" s="48"/>
      <c r="M190" s="119"/>
      <c r="N190" s="119"/>
      <c r="O190" s="119"/>
      <c r="P190" s="119"/>
      <c r="Q190" s="119"/>
      <c r="R190" s="48"/>
      <c r="S190" s="48"/>
      <c r="T190" s="48"/>
      <c r="U190" s="48"/>
      <c r="V190" s="48"/>
      <c r="W190" s="48"/>
      <c r="X190" s="48"/>
      <c r="Y190" s="48"/>
      <c r="Z190" s="48"/>
      <c r="AA190" s="48"/>
      <c r="AB190" s="48"/>
      <c r="AC190" s="48"/>
      <c r="AD190" s="48"/>
      <c r="AE190" s="48"/>
      <c r="AF190" s="163" t="s">
        <v>124</v>
      </c>
      <c r="AG190" s="164">
        <v>965</v>
      </c>
      <c r="AH190" s="162"/>
      <c r="AI190" s="162"/>
      <c r="AJ190" s="162"/>
      <c r="AK190" s="162"/>
      <c r="AL190" s="162"/>
      <c r="AM190" s="48"/>
      <c r="AN190" s="48"/>
      <c r="AO190" s="48"/>
      <c r="AP190" s="48"/>
      <c r="AQ190" s="48"/>
      <c r="AR190" s="48"/>
      <c r="AS190" s="48"/>
      <c r="AT190" s="48"/>
      <c r="AU190" s="48"/>
      <c r="AV190" s="48"/>
      <c r="AW190" s="48"/>
      <c r="AX190" s="48"/>
      <c r="AY190" s="48"/>
    </row>
    <row r="191" spans="2:51" x14ac:dyDescent="0.2">
      <c r="B191" s="152"/>
      <c r="C191" s="152"/>
      <c r="D191" s="48"/>
      <c r="E191" s="143" t="s">
        <v>621</v>
      </c>
      <c r="F191" s="94">
        <f>SUM(F103:F190)</f>
        <v>25</v>
      </c>
      <c r="G191" s="95">
        <f>SUM(G103:G190)</f>
        <v>0.15337423312883436</v>
      </c>
      <c r="H191" s="48"/>
      <c r="I191" s="48"/>
      <c r="J191" s="48"/>
      <c r="K191" s="48"/>
      <c r="L191" s="48"/>
      <c r="M191" s="119"/>
      <c r="N191" s="119"/>
      <c r="O191" s="119"/>
      <c r="P191" s="119"/>
      <c r="Q191" s="119"/>
      <c r="R191" s="48"/>
      <c r="S191" s="48"/>
      <c r="T191" s="48"/>
      <c r="U191" s="48"/>
      <c r="V191" s="48"/>
      <c r="W191" s="48"/>
      <c r="X191" s="48"/>
      <c r="Y191" s="48"/>
      <c r="Z191" s="48"/>
      <c r="AA191" s="48"/>
      <c r="AB191" s="48"/>
      <c r="AC191" s="48"/>
      <c r="AD191" s="48"/>
      <c r="AE191" s="48"/>
      <c r="AF191" s="163" t="s">
        <v>124</v>
      </c>
      <c r="AG191" s="164">
        <v>1200</v>
      </c>
      <c r="AH191" s="162"/>
      <c r="AI191" s="162"/>
      <c r="AJ191" s="162"/>
      <c r="AK191" s="162"/>
      <c r="AL191" s="162"/>
      <c r="AM191" s="48"/>
      <c r="AN191" s="48"/>
      <c r="AO191" s="48"/>
      <c r="AP191" s="48"/>
      <c r="AQ191" s="48"/>
      <c r="AR191" s="48"/>
      <c r="AS191" s="48"/>
      <c r="AT191" s="48"/>
      <c r="AU191" s="48"/>
      <c r="AV191" s="48"/>
      <c r="AW191" s="48"/>
      <c r="AX191" s="48"/>
      <c r="AY191" s="48"/>
    </row>
    <row r="192" spans="2:51" x14ac:dyDescent="0.2">
      <c r="B192" s="152"/>
      <c r="C192" s="152"/>
      <c r="D192" s="48"/>
      <c r="E192" s="48"/>
      <c r="F192" s="48"/>
      <c r="G192" s="48"/>
      <c r="H192" s="48"/>
      <c r="I192" s="48"/>
      <c r="J192" s="48"/>
      <c r="K192" s="48"/>
      <c r="L192" s="48"/>
      <c r="M192" s="48"/>
      <c r="N192" s="48"/>
      <c r="O192" s="48"/>
      <c r="P192" s="48"/>
      <c r="Q192" s="48"/>
      <c r="R192" s="48"/>
      <c r="S192" s="48"/>
      <c r="T192" s="48"/>
      <c r="U192" s="48"/>
      <c r="V192" s="48"/>
      <c r="W192" s="48"/>
      <c r="X192" s="48"/>
      <c r="Y192" s="48"/>
      <c r="Z192" s="48"/>
      <c r="AA192" s="48"/>
      <c r="AB192" s="48"/>
      <c r="AC192" s="48"/>
      <c r="AD192" s="48"/>
      <c r="AE192" s="48"/>
      <c r="AF192" s="163" t="s">
        <v>124</v>
      </c>
      <c r="AG192" s="164">
        <v>2300</v>
      </c>
      <c r="AH192" s="162"/>
      <c r="AI192" s="162"/>
      <c r="AJ192" s="162"/>
      <c r="AK192" s="162"/>
      <c r="AL192" s="162"/>
      <c r="AM192" s="48"/>
      <c r="AN192" s="48"/>
      <c r="AO192" s="48"/>
      <c r="AP192" s="48"/>
      <c r="AQ192" s="48"/>
      <c r="AR192" s="48"/>
      <c r="AS192" s="48"/>
      <c r="AT192" s="48"/>
      <c r="AU192" s="48"/>
      <c r="AV192" s="48"/>
      <c r="AW192" s="48"/>
      <c r="AX192" s="48"/>
      <c r="AY192" s="48"/>
    </row>
    <row r="193" spans="2:51" x14ac:dyDescent="0.2">
      <c r="B193" s="152"/>
      <c r="C193" s="152"/>
      <c r="D193" s="48"/>
      <c r="E193" s="48"/>
      <c r="F193" s="48"/>
      <c r="G193" s="48"/>
      <c r="H193" s="48"/>
      <c r="I193" s="48"/>
      <c r="J193" s="48"/>
      <c r="K193" s="48"/>
      <c r="L193" s="48"/>
      <c r="M193" s="48"/>
      <c r="N193" s="48"/>
      <c r="O193" s="48"/>
      <c r="P193" s="48"/>
      <c r="Q193" s="48"/>
      <c r="R193" s="48"/>
      <c r="S193" s="48"/>
      <c r="T193" s="48"/>
      <c r="U193" s="48"/>
      <c r="V193" s="48"/>
      <c r="W193" s="48"/>
      <c r="X193" s="48"/>
      <c r="Y193" s="48"/>
      <c r="Z193" s="48"/>
      <c r="AA193" s="48"/>
      <c r="AB193" s="48"/>
      <c r="AC193" s="48"/>
      <c r="AD193" s="48"/>
      <c r="AE193" s="48"/>
      <c r="AF193" s="163" t="s">
        <v>124</v>
      </c>
      <c r="AG193" s="164">
        <v>850</v>
      </c>
      <c r="AH193" s="162"/>
      <c r="AI193" s="162"/>
      <c r="AJ193" s="162"/>
      <c r="AK193" s="162"/>
      <c r="AL193" s="162"/>
      <c r="AM193" s="48"/>
      <c r="AN193" s="48"/>
      <c r="AO193" s="48"/>
      <c r="AP193" s="48"/>
      <c r="AQ193" s="48"/>
      <c r="AR193" s="48"/>
      <c r="AS193" s="48"/>
      <c r="AT193" s="48"/>
      <c r="AU193" s="48"/>
      <c r="AV193" s="48"/>
      <c r="AW193" s="48"/>
      <c r="AX193" s="48"/>
      <c r="AY193" s="48"/>
    </row>
    <row r="194" spans="2:51" x14ac:dyDescent="0.2">
      <c r="B194" s="48"/>
      <c r="C194" s="48"/>
      <c r="D194" s="48"/>
      <c r="E194" s="48"/>
      <c r="F194" s="48"/>
      <c r="G194" s="48"/>
      <c r="H194" s="48"/>
      <c r="I194" s="48"/>
      <c r="J194" s="48"/>
      <c r="K194" s="48"/>
      <c r="L194" s="48"/>
      <c r="M194" s="48"/>
      <c r="N194" s="48"/>
      <c r="O194" s="48"/>
      <c r="P194" s="48"/>
      <c r="Q194" s="48"/>
      <c r="R194" s="48"/>
      <c r="S194" s="48"/>
      <c r="T194" s="48"/>
      <c r="U194" s="48"/>
      <c r="V194" s="48"/>
      <c r="W194" s="48"/>
      <c r="X194" s="48"/>
      <c r="Y194" s="48"/>
      <c r="Z194" s="48"/>
      <c r="AA194" s="48"/>
      <c r="AB194" s="48"/>
      <c r="AC194" s="48"/>
      <c r="AD194" s="48"/>
      <c r="AE194" s="48"/>
      <c r="AF194" s="163" t="s">
        <v>124</v>
      </c>
      <c r="AG194" s="164">
        <v>2100</v>
      </c>
      <c r="AH194" s="162"/>
      <c r="AI194" s="162"/>
      <c r="AJ194" s="162"/>
      <c r="AK194" s="162"/>
      <c r="AL194" s="162"/>
      <c r="AM194" s="48"/>
      <c r="AN194" s="48"/>
      <c r="AO194" s="48"/>
      <c r="AP194" s="48"/>
      <c r="AQ194" s="48"/>
      <c r="AR194" s="48"/>
      <c r="AS194" s="48"/>
      <c r="AT194" s="48"/>
      <c r="AU194" s="48"/>
      <c r="AV194" s="48"/>
      <c r="AW194" s="48"/>
      <c r="AX194" s="48"/>
      <c r="AY194" s="48"/>
    </row>
    <row r="195" spans="2:51" x14ac:dyDescent="0.2">
      <c r="B195" s="48"/>
      <c r="C195" s="48"/>
      <c r="D195" s="48"/>
      <c r="E195" s="48"/>
      <c r="F195" s="48"/>
      <c r="G195" s="48"/>
      <c r="H195" s="48"/>
      <c r="I195" s="48"/>
      <c r="J195" s="48"/>
      <c r="K195" s="48"/>
      <c r="L195" s="48"/>
      <c r="M195" s="48"/>
      <c r="N195" s="48"/>
      <c r="O195" s="48"/>
      <c r="P195" s="48"/>
      <c r="Q195" s="48"/>
      <c r="R195" s="48"/>
      <c r="S195" s="48"/>
      <c r="T195" s="48"/>
      <c r="U195" s="48"/>
      <c r="V195" s="48"/>
      <c r="W195" s="48"/>
      <c r="X195" s="48"/>
      <c r="Y195" s="48"/>
      <c r="Z195" s="48"/>
      <c r="AA195" s="48"/>
      <c r="AB195" s="48"/>
      <c r="AC195" s="48"/>
      <c r="AD195" s="48"/>
      <c r="AE195" s="48"/>
      <c r="AF195" s="163" t="s">
        <v>124</v>
      </c>
      <c r="AG195" s="164">
        <v>4200</v>
      </c>
      <c r="AH195" s="162"/>
      <c r="AI195" s="162"/>
      <c r="AJ195" s="162"/>
      <c r="AK195" s="162"/>
      <c r="AL195" s="162"/>
      <c r="AM195" s="48"/>
      <c r="AN195" s="48"/>
      <c r="AO195" s="48"/>
      <c r="AP195" s="48"/>
      <c r="AQ195" s="48"/>
      <c r="AR195" s="48"/>
      <c r="AS195" s="48"/>
      <c r="AT195" s="48"/>
      <c r="AU195" s="48"/>
      <c r="AV195" s="48"/>
      <c r="AW195" s="48"/>
      <c r="AX195" s="48"/>
      <c r="AY195" s="48"/>
    </row>
    <row r="196" spans="2:51" x14ac:dyDescent="0.2">
      <c r="B196" s="48"/>
      <c r="C196" s="48"/>
      <c r="D196" s="48"/>
      <c r="E196" s="48"/>
      <c r="F196" s="48"/>
      <c r="G196" s="48"/>
      <c r="H196" s="48"/>
      <c r="I196" s="48"/>
      <c r="J196" s="48"/>
      <c r="K196" s="48"/>
      <c r="L196" s="48"/>
      <c r="M196" s="48"/>
      <c r="N196" s="48"/>
      <c r="O196" s="48"/>
      <c r="P196" s="48"/>
      <c r="Q196" s="48"/>
      <c r="R196" s="48"/>
      <c r="S196" s="48"/>
      <c r="T196" s="48"/>
      <c r="U196" s="48"/>
      <c r="V196" s="48"/>
      <c r="W196" s="48"/>
      <c r="X196" s="48"/>
      <c r="Y196" s="48"/>
      <c r="Z196" s="48"/>
      <c r="AA196" s="48"/>
      <c r="AB196" s="48"/>
      <c r="AC196" s="48"/>
      <c r="AD196" s="48"/>
      <c r="AE196" s="48"/>
      <c r="AF196" s="163" t="s">
        <v>124</v>
      </c>
      <c r="AG196" s="164">
        <v>1200</v>
      </c>
      <c r="AH196" s="162"/>
      <c r="AI196" s="162"/>
      <c r="AJ196" s="162"/>
      <c r="AK196" s="162"/>
      <c r="AL196" s="162"/>
      <c r="AM196" s="48"/>
      <c r="AN196" s="48"/>
      <c r="AO196" s="48"/>
      <c r="AP196" s="48"/>
      <c r="AQ196" s="48"/>
      <c r="AR196" s="48"/>
      <c r="AS196" s="48"/>
      <c r="AT196" s="48"/>
      <c r="AU196" s="48"/>
      <c r="AV196" s="48"/>
      <c r="AW196" s="48"/>
      <c r="AX196" s="48"/>
      <c r="AY196" s="48"/>
    </row>
    <row r="197" spans="2:51" x14ac:dyDescent="0.2">
      <c r="B197" s="48"/>
      <c r="C197" s="48"/>
      <c r="D197" s="48"/>
      <c r="E197" s="48"/>
      <c r="F197" s="48"/>
      <c r="G197" s="48"/>
      <c r="H197" s="48"/>
      <c r="I197" s="48"/>
      <c r="J197" s="48"/>
      <c r="K197" s="48"/>
      <c r="L197" s="48"/>
      <c r="M197" s="48"/>
      <c r="N197" s="48"/>
      <c r="O197" s="48"/>
      <c r="P197" s="48"/>
      <c r="Q197" s="48"/>
      <c r="R197" s="48"/>
      <c r="S197" s="48"/>
      <c r="T197" s="48"/>
      <c r="U197" s="48"/>
      <c r="V197" s="48"/>
      <c r="W197" s="48"/>
      <c r="X197" s="48"/>
      <c r="Y197" s="48"/>
      <c r="Z197" s="48"/>
      <c r="AA197" s="48"/>
      <c r="AB197" s="48"/>
      <c r="AC197" s="48"/>
      <c r="AD197" s="48"/>
      <c r="AE197" s="48"/>
      <c r="AF197" s="163" t="s">
        <v>124</v>
      </c>
      <c r="AG197" s="164">
        <v>800</v>
      </c>
      <c r="AH197" s="162"/>
      <c r="AI197" s="162"/>
      <c r="AJ197" s="162"/>
      <c r="AK197" s="162"/>
      <c r="AL197" s="162"/>
      <c r="AM197" s="48"/>
      <c r="AN197" s="48"/>
      <c r="AO197" s="48"/>
      <c r="AP197" s="48"/>
      <c r="AQ197" s="48"/>
      <c r="AR197" s="48"/>
      <c r="AS197" s="48"/>
      <c r="AT197" s="48"/>
      <c r="AU197" s="48"/>
      <c r="AV197" s="48"/>
      <c r="AW197" s="48"/>
      <c r="AX197" s="48"/>
      <c r="AY197" s="48"/>
    </row>
    <row r="198" spans="2:51" x14ac:dyDescent="0.2">
      <c r="B198" s="48"/>
      <c r="C198" s="48"/>
      <c r="D198" s="48"/>
      <c r="E198" s="48"/>
      <c r="F198" s="48"/>
      <c r="G198" s="48"/>
      <c r="H198" s="48"/>
      <c r="I198" s="48"/>
      <c r="J198" s="48"/>
      <c r="K198" s="48"/>
      <c r="L198" s="48"/>
      <c r="M198" s="48"/>
      <c r="N198" s="48"/>
      <c r="O198" s="48"/>
      <c r="P198" s="48"/>
      <c r="Q198" s="48"/>
      <c r="R198" s="48"/>
      <c r="S198" s="48"/>
      <c r="T198" s="48"/>
      <c r="U198" s="48"/>
      <c r="V198" s="48"/>
      <c r="W198" s="48"/>
      <c r="X198" s="48"/>
      <c r="Y198" s="48"/>
      <c r="Z198" s="48"/>
      <c r="AA198" s="48"/>
      <c r="AB198" s="48"/>
      <c r="AC198" s="48"/>
      <c r="AD198" s="48"/>
      <c r="AE198" s="48"/>
      <c r="AF198" s="163" t="s">
        <v>124</v>
      </c>
      <c r="AG198" s="164">
        <v>1600</v>
      </c>
      <c r="AH198" s="162"/>
      <c r="AI198" s="162"/>
      <c r="AJ198" s="162"/>
      <c r="AK198" s="162"/>
      <c r="AL198" s="162"/>
      <c r="AM198" s="48"/>
      <c r="AN198" s="48"/>
      <c r="AO198" s="48"/>
      <c r="AP198" s="48"/>
      <c r="AQ198" s="48"/>
      <c r="AR198" s="48"/>
      <c r="AS198" s="48"/>
      <c r="AT198" s="48"/>
      <c r="AU198" s="48"/>
      <c r="AV198" s="48"/>
      <c r="AW198" s="48"/>
      <c r="AX198" s="48"/>
      <c r="AY198" s="48"/>
    </row>
    <row r="199" spans="2:51" x14ac:dyDescent="0.2">
      <c r="B199" s="48"/>
      <c r="C199" s="48"/>
      <c r="D199" s="48"/>
      <c r="E199" s="48"/>
      <c r="F199" s="48"/>
      <c r="G199" s="48"/>
      <c r="H199" s="48"/>
      <c r="I199" s="48"/>
      <c r="J199" s="48"/>
      <c r="K199" s="48"/>
      <c r="L199" s="48"/>
      <c r="M199" s="48"/>
      <c r="N199" s="48"/>
      <c r="O199" s="48"/>
      <c r="P199" s="48"/>
      <c r="Q199" s="48"/>
      <c r="R199" s="48"/>
      <c r="S199" s="48"/>
      <c r="T199" s="48"/>
      <c r="U199" s="48"/>
      <c r="V199" s="48"/>
      <c r="W199" s="48"/>
      <c r="X199" s="48"/>
      <c r="Y199" s="48"/>
      <c r="Z199" s="48"/>
      <c r="AA199" s="48"/>
      <c r="AB199" s="48"/>
      <c r="AC199" s="48"/>
      <c r="AD199" s="48"/>
      <c r="AE199" s="48"/>
      <c r="AF199" s="163" t="s">
        <v>124</v>
      </c>
      <c r="AG199" s="164">
        <v>2500</v>
      </c>
      <c r="AH199" s="162"/>
      <c r="AI199" s="162"/>
      <c r="AJ199" s="162"/>
      <c r="AK199" s="162"/>
      <c r="AL199" s="162"/>
      <c r="AM199" s="48"/>
      <c r="AN199" s="48"/>
      <c r="AO199" s="48"/>
      <c r="AP199" s="48"/>
      <c r="AQ199" s="48"/>
      <c r="AR199" s="48"/>
      <c r="AS199" s="48"/>
      <c r="AT199" s="48"/>
      <c r="AU199" s="48"/>
      <c r="AV199" s="48"/>
      <c r="AW199" s="48"/>
      <c r="AX199" s="48"/>
      <c r="AY199" s="48"/>
    </row>
    <row r="200" spans="2:51" x14ac:dyDescent="0.2">
      <c r="B200" s="48"/>
      <c r="C200" s="48"/>
      <c r="D200" s="48"/>
      <c r="E200" s="48"/>
      <c r="F200" s="48"/>
      <c r="G200" s="48"/>
      <c r="H200" s="48"/>
      <c r="I200" s="48"/>
      <c r="J200" s="48"/>
      <c r="K200" s="48"/>
      <c r="L200" s="48"/>
      <c r="M200" s="48"/>
      <c r="N200" s="48"/>
      <c r="O200" s="48"/>
      <c r="P200" s="48"/>
      <c r="Q200" s="48"/>
      <c r="R200" s="48"/>
      <c r="S200" s="48"/>
      <c r="T200" s="48"/>
      <c r="U200" s="48"/>
      <c r="V200" s="48"/>
      <c r="W200" s="48"/>
      <c r="X200" s="48"/>
      <c r="Y200" s="48"/>
      <c r="Z200" s="48"/>
      <c r="AA200" s="48"/>
      <c r="AB200" s="48"/>
      <c r="AC200" s="48"/>
      <c r="AD200" s="48"/>
      <c r="AE200" s="48"/>
      <c r="AF200" s="163" t="s">
        <v>124</v>
      </c>
      <c r="AG200" s="164">
        <v>1800</v>
      </c>
      <c r="AH200" s="162"/>
      <c r="AI200" s="162"/>
      <c r="AJ200" s="162"/>
      <c r="AK200" s="162"/>
      <c r="AL200" s="162"/>
      <c r="AM200" s="48"/>
      <c r="AN200" s="48"/>
      <c r="AO200" s="48"/>
      <c r="AP200" s="48"/>
      <c r="AQ200" s="48"/>
      <c r="AR200" s="48"/>
      <c r="AS200" s="48"/>
      <c r="AT200" s="48"/>
      <c r="AU200" s="48"/>
      <c r="AV200" s="48"/>
      <c r="AW200" s="48"/>
      <c r="AX200" s="48"/>
      <c r="AY200" s="48"/>
    </row>
    <row r="201" spans="2:51" x14ac:dyDescent="0.2">
      <c r="B201" s="48"/>
      <c r="C201" s="48"/>
      <c r="D201" s="48"/>
      <c r="E201" s="48"/>
      <c r="F201" s="48"/>
      <c r="G201" s="48"/>
      <c r="H201" s="48"/>
      <c r="I201" s="48"/>
      <c r="J201" s="48"/>
      <c r="K201" s="48"/>
      <c r="L201" s="48"/>
      <c r="M201" s="48"/>
      <c r="N201" s="48"/>
      <c r="O201" s="48"/>
      <c r="P201" s="48"/>
      <c r="Q201" s="48"/>
      <c r="R201" s="48"/>
      <c r="S201" s="48"/>
      <c r="T201" s="48"/>
      <c r="U201" s="48"/>
      <c r="V201" s="48"/>
      <c r="W201" s="48"/>
      <c r="X201" s="48"/>
      <c r="Y201" s="48"/>
      <c r="Z201" s="48"/>
      <c r="AA201" s="48"/>
      <c r="AB201" s="48"/>
      <c r="AC201" s="48"/>
      <c r="AD201" s="48"/>
      <c r="AE201" s="48"/>
      <c r="AF201" s="163" t="s">
        <v>124</v>
      </c>
      <c r="AG201" s="164">
        <v>1200</v>
      </c>
      <c r="AH201" s="162"/>
      <c r="AI201" s="162"/>
      <c r="AJ201" s="162"/>
      <c r="AK201" s="162"/>
      <c r="AL201" s="162"/>
      <c r="AM201" s="48"/>
      <c r="AN201" s="48"/>
      <c r="AO201" s="48"/>
      <c r="AP201" s="48"/>
      <c r="AQ201" s="48"/>
      <c r="AR201" s="48"/>
      <c r="AS201" s="48"/>
      <c r="AT201" s="48"/>
      <c r="AU201" s="48"/>
      <c r="AV201" s="48"/>
      <c r="AW201" s="48"/>
      <c r="AX201" s="48"/>
      <c r="AY201" s="48"/>
    </row>
    <row r="202" spans="2:51" x14ac:dyDescent="0.2">
      <c r="B202" s="48"/>
      <c r="C202" s="48"/>
      <c r="D202" s="48"/>
      <c r="E202" s="48"/>
      <c r="F202" s="48"/>
      <c r="G202" s="48"/>
      <c r="H202" s="48"/>
      <c r="I202" s="48"/>
      <c r="J202" s="48"/>
      <c r="K202" s="48"/>
      <c r="L202" s="48"/>
      <c r="M202" s="48"/>
      <c r="N202" s="48"/>
      <c r="O202" s="48"/>
      <c r="P202" s="48"/>
      <c r="Q202" s="48"/>
      <c r="R202" s="48"/>
      <c r="S202" s="48"/>
      <c r="T202" s="48"/>
      <c r="U202" s="48"/>
      <c r="V202" s="48"/>
      <c r="W202" s="48"/>
      <c r="X202" s="48"/>
      <c r="Y202" s="48"/>
      <c r="Z202" s="48"/>
      <c r="AA202" s="48"/>
      <c r="AB202" s="48"/>
      <c r="AC202" s="48"/>
      <c r="AD202" s="48"/>
      <c r="AE202" s="48"/>
      <c r="AF202" s="163" t="s">
        <v>124</v>
      </c>
      <c r="AG202" s="164">
        <v>2200</v>
      </c>
      <c r="AH202" s="162"/>
      <c r="AI202" s="162"/>
      <c r="AJ202" s="162"/>
      <c r="AK202" s="162"/>
      <c r="AL202" s="162"/>
      <c r="AM202" s="48"/>
      <c r="AN202" s="48"/>
      <c r="AO202" s="48"/>
      <c r="AP202" s="48"/>
      <c r="AQ202" s="48"/>
      <c r="AR202" s="48"/>
      <c r="AS202" s="48"/>
      <c r="AT202" s="48"/>
      <c r="AU202" s="48"/>
      <c r="AV202" s="48"/>
      <c r="AW202" s="48"/>
      <c r="AX202" s="48"/>
      <c r="AY202" s="48"/>
    </row>
    <row r="203" spans="2:51" x14ac:dyDescent="0.2">
      <c r="B203" s="48"/>
      <c r="C203" s="48"/>
      <c r="D203" s="48"/>
      <c r="E203" s="48"/>
      <c r="F203" s="48"/>
      <c r="G203" s="48"/>
      <c r="H203" s="48"/>
      <c r="I203" s="48"/>
      <c r="J203" s="48"/>
      <c r="K203" s="48"/>
      <c r="L203" s="48"/>
      <c r="M203" s="48"/>
      <c r="N203" s="48"/>
      <c r="O203" s="48"/>
      <c r="P203" s="48"/>
      <c r="Q203" s="48"/>
      <c r="R203" s="48"/>
      <c r="S203" s="48"/>
      <c r="T203" s="48"/>
      <c r="U203" s="48"/>
      <c r="V203" s="48"/>
      <c r="W203" s="48"/>
      <c r="X203" s="48"/>
      <c r="Y203" s="48"/>
      <c r="Z203" s="48"/>
      <c r="AA203" s="48"/>
      <c r="AB203" s="48"/>
      <c r="AC203" s="48"/>
      <c r="AD203" s="48"/>
      <c r="AE203" s="48"/>
      <c r="AF203" s="163" t="s">
        <v>124</v>
      </c>
      <c r="AG203" s="164">
        <v>800</v>
      </c>
      <c r="AH203" s="162"/>
      <c r="AI203" s="162"/>
      <c r="AJ203" s="162"/>
      <c r="AK203" s="162"/>
      <c r="AL203" s="162"/>
      <c r="AM203" s="48"/>
      <c r="AN203" s="48"/>
      <c r="AO203" s="48"/>
      <c r="AP203" s="48"/>
      <c r="AQ203" s="48"/>
      <c r="AR203" s="48"/>
      <c r="AS203" s="48"/>
      <c r="AT203" s="48"/>
      <c r="AU203" s="48"/>
      <c r="AV203" s="48"/>
      <c r="AW203" s="48"/>
      <c r="AX203" s="48"/>
      <c r="AY203" s="48"/>
    </row>
    <row r="204" spans="2:51" x14ac:dyDescent="0.2">
      <c r="B204" s="48"/>
      <c r="C204" s="48"/>
      <c r="D204" s="48"/>
      <c r="E204" s="48"/>
      <c r="F204" s="48"/>
      <c r="G204" s="48"/>
      <c r="H204" s="48"/>
      <c r="I204" s="48"/>
      <c r="J204" s="48"/>
      <c r="K204" s="48"/>
      <c r="L204" s="48"/>
      <c r="M204" s="48"/>
      <c r="N204" s="48"/>
      <c r="O204" s="48"/>
      <c r="P204" s="48"/>
      <c r="Q204" s="48"/>
      <c r="R204" s="48"/>
      <c r="S204" s="48"/>
      <c r="T204" s="48"/>
      <c r="U204" s="48"/>
      <c r="V204" s="48"/>
      <c r="W204" s="48"/>
      <c r="X204" s="48"/>
      <c r="Y204" s="48"/>
      <c r="Z204" s="48"/>
      <c r="AA204" s="48"/>
      <c r="AB204" s="48"/>
      <c r="AC204" s="48"/>
      <c r="AD204" s="48"/>
      <c r="AE204" s="48"/>
      <c r="AF204" s="163" t="s">
        <v>124</v>
      </c>
      <c r="AG204" s="164">
        <v>1200</v>
      </c>
      <c r="AH204" s="162"/>
      <c r="AI204" s="162"/>
      <c r="AJ204" s="162"/>
      <c r="AK204" s="162"/>
      <c r="AL204" s="162"/>
      <c r="AM204" s="48"/>
      <c r="AN204" s="48"/>
      <c r="AO204" s="48"/>
      <c r="AP204" s="48"/>
      <c r="AQ204" s="48"/>
      <c r="AR204" s="48"/>
      <c r="AS204" s="48"/>
      <c r="AT204" s="48"/>
      <c r="AU204" s="48"/>
      <c r="AV204" s="48"/>
      <c r="AW204" s="48"/>
      <c r="AX204" s="48"/>
      <c r="AY204" s="48"/>
    </row>
    <row r="205" spans="2:51" x14ac:dyDescent="0.2">
      <c r="B205" s="48"/>
      <c r="C205" s="48"/>
      <c r="D205" s="48"/>
      <c r="E205" s="48"/>
      <c r="F205" s="48"/>
      <c r="G205" s="48"/>
      <c r="H205" s="48"/>
      <c r="I205" s="48"/>
      <c r="J205" s="48"/>
      <c r="K205" s="48"/>
      <c r="L205" s="48"/>
      <c r="M205" s="48"/>
      <c r="N205" s="48"/>
      <c r="O205" s="48"/>
      <c r="P205" s="48"/>
      <c r="Q205" s="48"/>
      <c r="R205" s="48"/>
      <c r="S205" s="48"/>
      <c r="T205" s="48"/>
      <c r="U205" s="48"/>
      <c r="V205" s="48"/>
      <c r="W205" s="48"/>
      <c r="X205" s="48"/>
      <c r="Y205" s="48"/>
      <c r="Z205" s="48"/>
      <c r="AA205" s="48"/>
      <c r="AB205" s="48"/>
      <c r="AC205" s="48"/>
      <c r="AD205" s="48"/>
      <c r="AE205" s="48"/>
      <c r="AF205" s="163" t="s">
        <v>124</v>
      </c>
      <c r="AG205" s="164">
        <v>1500</v>
      </c>
      <c r="AH205" s="162"/>
      <c r="AI205" s="162"/>
      <c r="AJ205" s="162"/>
      <c r="AK205" s="162"/>
      <c r="AL205" s="162"/>
      <c r="AM205" s="48"/>
      <c r="AN205" s="48"/>
      <c r="AO205" s="48"/>
      <c r="AP205" s="48"/>
      <c r="AQ205" s="48"/>
      <c r="AR205" s="48"/>
      <c r="AS205" s="48"/>
      <c r="AT205" s="48"/>
      <c r="AU205" s="48"/>
      <c r="AV205" s="48"/>
      <c r="AW205" s="48"/>
      <c r="AX205" s="48"/>
      <c r="AY205" s="48"/>
    </row>
    <row r="206" spans="2:51" x14ac:dyDescent="0.2">
      <c r="B206" s="48"/>
      <c r="C206" s="48"/>
      <c r="D206" s="48"/>
      <c r="E206" s="48"/>
      <c r="F206" s="48"/>
      <c r="G206" s="48"/>
      <c r="H206" s="48"/>
      <c r="I206" s="48"/>
      <c r="J206" s="48"/>
      <c r="K206" s="48"/>
      <c r="L206" s="48"/>
      <c r="M206" s="48"/>
      <c r="N206" s="48"/>
      <c r="O206" s="48"/>
      <c r="P206" s="48"/>
      <c r="Q206" s="48"/>
      <c r="R206" s="48"/>
      <c r="S206" s="48"/>
      <c r="T206" s="48"/>
      <c r="U206" s="48"/>
      <c r="V206" s="48"/>
      <c r="W206" s="48"/>
      <c r="X206" s="48"/>
      <c r="Y206" s="48"/>
      <c r="Z206" s="48"/>
      <c r="AA206" s="48"/>
      <c r="AB206" s="48"/>
      <c r="AC206" s="48"/>
      <c r="AD206" s="48"/>
      <c r="AE206" s="48"/>
      <c r="AF206" s="163" t="s">
        <v>124</v>
      </c>
      <c r="AG206" s="164">
        <v>1500</v>
      </c>
      <c r="AH206" s="162"/>
      <c r="AI206" s="162"/>
      <c r="AJ206" s="162"/>
      <c r="AK206" s="162"/>
      <c r="AL206" s="162"/>
      <c r="AM206" s="48"/>
      <c r="AN206" s="48"/>
      <c r="AO206" s="48"/>
      <c r="AP206" s="48"/>
      <c r="AQ206" s="48"/>
      <c r="AR206" s="48"/>
      <c r="AS206" s="48"/>
      <c r="AT206" s="48"/>
      <c r="AU206" s="48"/>
      <c r="AV206" s="48"/>
      <c r="AW206" s="48"/>
      <c r="AX206" s="48"/>
      <c r="AY206" s="48"/>
    </row>
    <row r="207" spans="2:51" x14ac:dyDescent="0.2">
      <c r="B207" s="48"/>
      <c r="C207" s="48"/>
      <c r="D207" s="48"/>
      <c r="E207" s="48"/>
      <c r="F207" s="48"/>
      <c r="G207" s="48"/>
      <c r="H207" s="48"/>
      <c r="I207" s="48"/>
      <c r="J207" s="48"/>
      <c r="K207" s="48"/>
      <c r="L207" s="48"/>
      <c r="M207" s="48"/>
      <c r="N207" s="48"/>
      <c r="O207" s="48"/>
      <c r="P207" s="48"/>
      <c r="Q207" s="48"/>
      <c r="R207" s="48"/>
      <c r="S207" s="48"/>
      <c r="T207" s="48"/>
      <c r="U207" s="48"/>
      <c r="V207" s="48"/>
      <c r="W207" s="48"/>
      <c r="X207" s="48"/>
      <c r="Y207" s="48"/>
      <c r="Z207" s="48"/>
      <c r="AA207" s="48"/>
      <c r="AB207" s="48"/>
      <c r="AC207" s="48"/>
      <c r="AD207" s="48"/>
      <c r="AE207" s="48"/>
      <c r="AF207" s="163" t="s">
        <v>124</v>
      </c>
      <c r="AG207" s="164">
        <v>3500</v>
      </c>
      <c r="AH207" s="162"/>
      <c r="AI207" s="162"/>
      <c r="AJ207" s="162"/>
      <c r="AK207" s="162"/>
      <c r="AL207" s="162"/>
      <c r="AM207" s="48"/>
      <c r="AN207" s="48"/>
      <c r="AO207" s="48"/>
      <c r="AP207" s="48"/>
      <c r="AQ207" s="48"/>
      <c r="AR207" s="48"/>
      <c r="AS207" s="48"/>
      <c r="AT207" s="48"/>
      <c r="AU207" s="48"/>
      <c r="AV207" s="48"/>
      <c r="AW207" s="48"/>
      <c r="AX207" s="48"/>
      <c r="AY207" s="48"/>
    </row>
    <row r="208" spans="2:51" x14ac:dyDescent="0.2">
      <c r="B208" s="48"/>
      <c r="C208" s="48"/>
      <c r="D208" s="48"/>
      <c r="E208" s="48"/>
      <c r="F208" s="48"/>
      <c r="G208" s="48"/>
      <c r="H208" s="48"/>
      <c r="I208" s="48"/>
      <c r="J208" s="48"/>
      <c r="K208" s="48"/>
      <c r="L208" s="48"/>
      <c r="M208" s="48"/>
      <c r="N208" s="48"/>
      <c r="O208" s="48"/>
      <c r="P208" s="48"/>
      <c r="Q208" s="48"/>
      <c r="R208" s="48"/>
      <c r="S208" s="48"/>
      <c r="T208" s="48"/>
      <c r="U208" s="48"/>
      <c r="V208" s="48"/>
      <c r="W208" s="48"/>
      <c r="X208" s="48"/>
      <c r="Y208" s="48"/>
      <c r="Z208" s="48"/>
      <c r="AA208" s="48"/>
      <c r="AB208" s="48"/>
      <c r="AC208" s="48"/>
      <c r="AD208" s="48"/>
      <c r="AE208" s="48"/>
      <c r="AF208" s="163" t="s">
        <v>124</v>
      </c>
      <c r="AG208" s="164">
        <v>1200</v>
      </c>
      <c r="AH208" s="162"/>
      <c r="AI208" s="162"/>
      <c r="AJ208" s="162"/>
      <c r="AK208" s="162"/>
      <c r="AL208" s="162"/>
      <c r="AM208" s="48"/>
      <c r="AN208" s="48"/>
      <c r="AO208" s="48"/>
      <c r="AP208" s="48"/>
      <c r="AQ208" s="48"/>
      <c r="AR208" s="48"/>
      <c r="AS208" s="48"/>
      <c r="AT208" s="48"/>
      <c r="AU208" s="48"/>
      <c r="AV208" s="48"/>
      <c r="AW208" s="48"/>
      <c r="AX208" s="48"/>
      <c r="AY208" s="48"/>
    </row>
    <row r="209" spans="2:51" x14ac:dyDescent="0.2">
      <c r="B209" s="48"/>
      <c r="C209" s="48"/>
      <c r="D209" s="48"/>
      <c r="E209" s="48"/>
      <c r="F209" s="48"/>
      <c r="G209" s="48"/>
      <c r="H209" s="48"/>
      <c r="I209" s="48"/>
      <c r="J209" s="48"/>
      <c r="K209" s="48"/>
      <c r="L209" s="48"/>
      <c r="M209" s="48"/>
      <c r="N209" s="48"/>
      <c r="O209" s="48"/>
      <c r="P209" s="48"/>
      <c r="Q209" s="48"/>
      <c r="R209" s="48"/>
      <c r="S209" s="48"/>
      <c r="T209" s="48"/>
      <c r="U209" s="48"/>
      <c r="V209" s="48"/>
      <c r="W209" s="48"/>
      <c r="X209" s="48"/>
      <c r="Y209" s="48"/>
      <c r="Z209" s="48"/>
      <c r="AA209" s="48"/>
      <c r="AB209" s="48"/>
      <c r="AC209" s="48"/>
      <c r="AD209" s="48"/>
      <c r="AE209" s="48"/>
      <c r="AF209" s="163" t="s">
        <v>124</v>
      </c>
      <c r="AG209" s="164">
        <v>1500</v>
      </c>
      <c r="AH209" s="162"/>
      <c r="AI209" s="162"/>
      <c r="AJ209" s="162"/>
      <c r="AK209" s="162"/>
      <c r="AL209" s="162"/>
      <c r="AM209" s="48"/>
      <c r="AN209" s="48"/>
      <c r="AO209" s="48"/>
      <c r="AP209" s="48"/>
      <c r="AQ209" s="48"/>
      <c r="AR209" s="48"/>
      <c r="AS209" s="48"/>
      <c r="AT209" s="48"/>
      <c r="AU209" s="48"/>
      <c r="AV209" s="48"/>
      <c r="AW209" s="48"/>
      <c r="AX209" s="48"/>
      <c r="AY209" s="48"/>
    </row>
    <row r="210" spans="2:51" x14ac:dyDescent="0.2">
      <c r="B210" s="48"/>
      <c r="C210" s="48"/>
      <c r="D210" s="48"/>
      <c r="E210" s="48"/>
      <c r="F210" s="48"/>
      <c r="G210" s="48"/>
      <c r="H210" s="48"/>
      <c r="I210" s="48"/>
      <c r="J210" s="48"/>
      <c r="K210" s="48"/>
      <c r="L210" s="48"/>
      <c r="M210" s="48"/>
      <c r="N210" s="48"/>
      <c r="O210" s="48"/>
      <c r="P210" s="48"/>
      <c r="Q210" s="48"/>
      <c r="R210" s="48"/>
      <c r="S210" s="48"/>
      <c r="T210" s="48"/>
      <c r="U210" s="48"/>
      <c r="V210" s="48"/>
      <c r="W210" s="48"/>
      <c r="X210" s="48"/>
      <c r="Y210" s="48"/>
      <c r="Z210" s="48"/>
      <c r="AA210" s="48"/>
      <c r="AB210" s="48"/>
      <c r="AC210" s="48"/>
      <c r="AD210" s="48"/>
      <c r="AE210" s="48"/>
      <c r="AF210" s="163" t="s">
        <v>124</v>
      </c>
      <c r="AG210" s="164">
        <v>1100</v>
      </c>
      <c r="AH210" s="162"/>
      <c r="AI210" s="162"/>
      <c r="AJ210" s="162"/>
      <c r="AK210" s="162"/>
      <c r="AL210" s="162"/>
      <c r="AM210" s="48"/>
      <c r="AN210" s="48"/>
      <c r="AO210" s="48"/>
      <c r="AP210" s="48"/>
      <c r="AQ210" s="48"/>
      <c r="AR210" s="48"/>
      <c r="AS210" s="48"/>
      <c r="AT210" s="48"/>
      <c r="AU210" s="48"/>
      <c r="AV210" s="48"/>
      <c r="AW210" s="48"/>
      <c r="AX210" s="48"/>
      <c r="AY210" s="48"/>
    </row>
    <row r="211" spans="2:51" x14ac:dyDescent="0.2">
      <c r="B211" s="48"/>
      <c r="C211" s="48"/>
      <c r="D211" s="48"/>
      <c r="E211" s="48"/>
      <c r="F211" s="48"/>
      <c r="G211" s="48"/>
      <c r="H211" s="48"/>
      <c r="I211" s="48"/>
      <c r="J211" s="48"/>
      <c r="K211" s="48"/>
      <c r="L211" s="48"/>
      <c r="M211" s="48"/>
      <c r="N211" s="48"/>
      <c r="O211" s="48"/>
      <c r="P211" s="48"/>
      <c r="Q211" s="48"/>
      <c r="R211" s="48"/>
      <c r="S211" s="48"/>
      <c r="T211" s="48"/>
      <c r="U211" s="48"/>
      <c r="V211" s="48"/>
      <c r="W211" s="48"/>
      <c r="X211" s="48"/>
      <c r="Y211" s="48"/>
      <c r="Z211" s="48"/>
      <c r="AA211" s="48"/>
      <c r="AB211" s="48"/>
      <c r="AC211" s="48"/>
      <c r="AD211" s="48"/>
      <c r="AE211" s="48"/>
      <c r="AF211" s="163" t="s">
        <v>124</v>
      </c>
      <c r="AG211" s="164">
        <v>2020</v>
      </c>
      <c r="AH211" s="162"/>
      <c r="AI211" s="162"/>
      <c r="AJ211" s="162"/>
      <c r="AK211" s="162"/>
      <c r="AL211" s="162"/>
      <c r="AM211" s="48"/>
      <c r="AN211" s="48"/>
      <c r="AO211" s="48"/>
      <c r="AP211" s="48"/>
      <c r="AQ211" s="48"/>
      <c r="AR211" s="48"/>
      <c r="AS211" s="48"/>
      <c r="AT211" s="48"/>
      <c r="AU211" s="48"/>
      <c r="AV211" s="48"/>
      <c r="AW211" s="48"/>
      <c r="AX211" s="48"/>
      <c r="AY211" s="48"/>
    </row>
    <row r="212" spans="2:51" x14ac:dyDescent="0.2">
      <c r="B212" s="48"/>
      <c r="C212" s="48"/>
      <c r="D212" s="48"/>
      <c r="E212" s="48"/>
      <c r="F212" s="48"/>
      <c r="G212" s="48"/>
      <c r="H212" s="48"/>
      <c r="I212" s="48"/>
      <c r="J212" s="48"/>
      <c r="K212" s="48"/>
      <c r="L212" s="48"/>
      <c r="M212" s="48"/>
      <c r="N212" s="48"/>
      <c r="O212" s="48"/>
      <c r="P212" s="48"/>
      <c r="Q212" s="48"/>
      <c r="R212" s="48"/>
      <c r="S212" s="48"/>
      <c r="T212" s="48"/>
      <c r="U212" s="48"/>
      <c r="V212" s="48"/>
      <c r="W212" s="48"/>
      <c r="X212" s="48"/>
      <c r="Y212" s="48"/>
      <c r="Z212" s="48"/>
      <c r="AA212" s="48"/>
      <c r="AB212" s="48"/>
      <c r="AC212" s="48"/>
      <c r="AD212" s="48"/>
      <c r="AE212" s="48"/>
      <c r="AF212" s="163" t="s">
        <v>124</v>
      </c>
      <c r="AG212" s="164">
        <v>1500</v>
      </c>
      <c r="AH212" s="162"/>
      <c r="AI212" s="162"/>
      <c r="AJ212" s="162"/>
      <c r="AK212" s="162"/>
      <c r="AL212" s="162"/>
      <c r="AM212" s="48"/>
      <c r="AN212" s="48"/>
      <c r="AO212" s="48"/>
      <c r="AP212" s="48"/>
      <c r="AQ212" s="48"/>
      <c r="AR212" s="48"/>
      <c r="AS212" s="48"/>
      <c r="AT212" s="48"/>
      <c r="AU212" s="48"/>
      <c r="AV212" s="48"/>
      <c r="AW212" s="48"/>
      <c r="AX212" s="48"/>
      <c r="AY212" s="48"/>
    </row>
    <row r="213" spans="2:51" x14ac:dyDescent="0.2">
      <c r="B213" s="48"/>
      <c r="C213" s="48"/>
      <c r="D213" s="48"/>
      <c r="E213" s="48"/>
      <c r="F213" s="48"/>
      <c r="G213" s="48"/>
      <c r="H213" s="48"/>
      <c r="I213" s="48"/>
      <c r="J213" s="48"/>
      <c r="K213" s="48"/>
      <c r="L213" s="48"/>
      <c r="M213" s="48"/>
      <c r="N213" s="48"/>
      <c r="O213" s="48"/>
      <c r="P213" s="48"/>
      <c r="Q213" s="48"/>
      <c r="R213" s="48"/>
      <c r="S213" s="48"/>
      <c r="T213" s="48"/>
      <c r="U213" s="48"/>
      <c r="V213" s="48"/>
      <c r="W213" s="48"/>
      <c r="X213" s="48"/>
      <c r="Y213" s="48"/>
      <c r="Z213" s="48"/>
      <c r="AA213" s="48"/>
      <c r="AB213" s="48"/>
      <c r="AC213" s="48"/>
      <c r="AD213" s="48"/>
      <c r="AE213" s="48"/>
      <c r="AF213" s="163" t="s">
        <v>124</v>
      </c>
      <c r="AG213" s="164">
        <v>1600</v>
      </c>
      <c r="AH213" s="162"/>
      <c r="AI213" s="162"/>
      <c r="AJ213" s="162"/>
      <c r="AK213" s="162"/>
      <c r="AL213" s="162"/>
      <c r="AM213" s="48"/>
      <c r="AN213" s="48"/>
      <c r="AO213" s="48"/>
      <c r="AP213" s="48"/>
      <c r="AQ213" s="48"/>
      <c r="AR213" s="48"/>
      <c r="AS213" s="48"/>
      <c r="AT213" s="48"/>
      <c r="AU213" s="48"/>
      <c r="AV213" s="48"/>
      <c r="AW213" s="48"/>
      <c r="AX213" s="48"/>
      <c r="AY213" s="48"/>
    </row>
    <row r="214" spans="2:51" x14ac:dyDescent="0.2">
      <c r="B214" s="48"/>
      <c r="C214" s="48"/>
      <c r="D214" s="48"/>
      <c r="E214" s="48"/>
      <c r="F214" s="48"/>
      <c r="G214" s="48"/>
      <c r="H214" s="48"/>
      <c r="I214" s="48"/>
      <c r="J214" s="48"/>
      <c r="K214" s="48"/>
      <c r="L214" s="48"/>
      <c r="M214" s="48"/>
      <c r="N214" s="48"/>
      <c r="O214" s="48"/>
      <c r="P214" s="48"/>
      <c r="Q214" s="48"/>
      <c r="R214" s="48"/>
      <c r="S214" s="48"/>
      <c r="T214" s="48"/>
      <c r="U214" s="48"/>
      <c r="V214" s="48"/>
      <c r="W214" s="48"/>
      <c r="X214" s="48"/>
      <c r="Y214" s="48"/>
      <c r="Z214" s="48"/>
      <c r="AA214" s="48"/>
      <c r="AB214" s="48"/>
      <c r="AC214" s="48"/>
      <c r="AD214" s="48"/>
      <c r="AE214" s="48"/>
      <c r="AF214" s="163" t="s">
        <v>124</v>
      </c>
      <c r="AG214" s="164">
        <v>1500</v>
      </c>
      <c r="AH214" s="162"/>
      <c r="AI214" s="162"/>
      <c r="AJ214" s="162"/>
      <c r="AK214" s="162"/>
      <c r="AL214" s="162"/>
      <c r="AM214" s="48"/>
      <c r="AN214" s="48"/>
      <c r="AO214" s="48"/>
      <c r="AP214" s="48"/>
      <c r="AQ214" s="48"/>
      <c r="AR214" s="48"/>
      <c r="AS214" s="48"/>
      <c r="AT214" s="48"/>
      <c r="AU214" s="48"/>
      <c r="AV214" s="48"/>
      <c r="AW214" s="48"/>
      <c r="AX214" s="48"/>
      <c r="AY214" s="48"/>
    </row>
    <row r="215" spans="2:51" x14ac:dyDescent="0.2">
      <c r="B215" s="48"/>
      <c r="C215" s="48"/>
      <c r="D215" s="48"/>
      <c r="E215" s="48"/>
      <c r="F215" s="48"/>
      <c r="G215" s="48"/>
      <c r="H215" s="48"/>
      <c r="I215" s="48"/>
      <c r="J215" s="48"/>
      <c r="K215" s="48"/>
      <c r="L215" s="48"/>
      <c r="M215" s="48"/>
      <c r="N215" s="48"/>
      <c r="O215" s="48"/>
      <c r="P215" s="48"/>
      <c r="Q215" s="48"/>
      <c r="R215" s="48"/>
      <c r="S215" s="48"/>
      <c r="T215" s="48"/>
      <c r="U215" s="48"/>
      <c r="V215" s="48"/>
      <c r="W215" s="48"/>
      <c r="X215" s="48"/>
      <c r="Y215" s="48"/>
      <c r="Z215" s="48"/>
      <c r="AA215" s="48"/>
      <c r="AB215" s="48"/>
      <c r="AC215" s="48"/>
      <c r="AD215" s="48"/>
      <c r="AE215" s="48"/>
      <c r="AF215" s="163" t="s">
        <v>124</v>
      </c>
      <c r="AG215" s="164">
        <v>2000</v>
      </c>
      <c r="AH215" s="162"/>
      <c r="AI215" s="162"/>
      <c r="AJ215" s="162"/>
      <c r="AK215" s="162"/>
      <c r="AL215" s="162"/>
      <c r="AM215" s="48"/>
      <c r="AN215" s="48"/>
      <c r="AO215" s="48"/>
      <c r="AP215" s="48"/>
      <c r="AQ215" s="48"/>
      <c r="AR215" s="48"/>
      <c r="AS215" s="48"/>
      <c r="AT215" s="48"/>
      <c r="AU215" s="48"/>
      <c r="AV215" s="48"/>
      <c r="AW215" s="48"/>
      <c r="AX215" s="48"/>
      <c r="AY215" s="48"/>
    </row>
    <row r="216" spans="2:51" x14ac:dyDescent="0.2">
      <c r="B216" s="48"/>
      <c r="C216" s="48"/>
      <c r="D216" s="48"/>
      <c r="E216" s="48"/>
      <c r="F216" s="48"/>
      <c r="G216" s="48"/>
      <c r="H216" s="48"/>
      <c r="I216" s="48"/>
      <c r="J216" s="48"/>
      <c r="K216" s="48"/>
      <c r="L216" s="48"/>
      <c r="M216" s="48"/>
      <c r="N216" s="48"/>
      <c r="O216" s="48"/>
      <c r="P216" s="48"/>
      <c r="Q216" s="48"/>
      <c r="R216" s="48"/>
      <c r="S216" s="48"/>
      <c r="T216" s="48"/>
      <c r="U216" s="48"/>
      <c r="V216" s="48"/>
      <c r="W216" s="48"/>
      <c r="X216" s="48"/>
      <c r="Y216" s="48"/>
      <c r="Z216" s="48"/>
      <c r="AA216" s="48"/>
      <c r="AB216" s="48"/>
      <c r="AC216" s="48"/>
      <c r="AD216" s="48"/>
      <c r="AE216" s="48"/>
      <c r="AF216" s="163" t="s">
        <v>124</v>
      </c>
      <c r="AG216" s="164">
        <v>937</v>
      </c>
      <c r="AH216" s="162"/>
      <c r="AI216" s="162"/>
      <c r="AJ216" s="162"/>
      <c r="AK216" s="162"/>
      <c r="AL216" s="162"/>
      <c r="AM216" s="48"/>
      <c r="AN216" s="48"/>
      <c r="AO216" s="48"/>
      <c r="AP216" s="48"/>
      <c r="AQ216" s="48"/>
      <c r="AR216" s="48"/>
      <c r="AS216" s="48"/>
      <c r="AT216" s="48"/>
      <c r="AU216" s="48"/>
      <c r="AV216" s="48"/>
      <c r="AW216" s="48"/>
      <c r="AX216" s="48"/>
      <c r="AY216" s="48"/>
    </row>
    <row r="217" spans="2:51" x14ac:dyDescent="0.2">
      <c r="B217" s="48"/>
      <c r="C217" s="48"/>
      <c r="D217" s="48"/>
      <c r="E217" s="48"/>
      <c r="F217" s="48"/>
      <c r="G217" s="48"/>
      <c r="H217" s="48"/>
      <c r="I217" s="48"/>
      <c r="J217" s="48"/>
      <c r="K217" s="48"/>
      <c r="L217" s="48"/>
      <c r="M217" s="48"/>
      <c r="N217" s="48"/>
      <c r="O217" s="48"/>
      <c r="P217" s="48"/>
      <c r="Q217" s="48"/>
      <c r="R217" s="48"/>
      <c r="S217" s="48"/>
      <c r="T217" s="48"/>
      <c r="U217" s="48"/>
      <c r="V217" s="48"/>
      <c r="W217" s="48"/>
      <c r="X217" s="48"/>
      <c r="Y217" s="48"/>
      <c r="Z217" s="48"/>
      <c r="AA217" s="48"/>
      <c r="AB217" s="48"/>
      <c r="AC217" s="48"/>
      <c r="AD217" s="48"/>
      <c r="AE217" s="48"/>
      <c r="AF217" s="163" t="s">
        <v>124</v>
      </c>
      <c r="AG217" s="164">
        <v>1800</v>
      </c>
      <c r="AH217" s="162"/>
      <c r="AI217" s="162"/>
      <c r="AJ217" s="162"/>
      <c r="AK217" s="162"/>
      <c r="AL217" s="162"/>
      <c r="AM217" s="48"/>
      <c r="AN217" s="48"/>
      <c r="AO217" s="48"/>
      <c r="AP217" s="48"/>
      <c r="AQ217" s="48"/>
      <c r="AR217" s="48"/>
      <c r="AS217" s="48"/>
      <c r="AT217" s="48"/>
      <c r="AU217" s="48"/>
      <c r="AV217" s="48"/>
      <c r="AW217" s="48"/>
      <c r="AX217" s="48"/>
      <c r="AY217" s="48"/>
    </row>
    <row r="218" spans="2:51" x14ac:dyDescent="0.2">
      <c r="B218" s="48"/>
      <c r="C218" s="48"/>
      <c r="D218" s="48"/>
      <c r="E218" s="48"/>
      <c r="F218" s="48"/>
      <c r="G218" s="48"/>
      <c r="H218" s="48"/>
      <c r="I218" s="48"/>
      <c r="J218" s="48"/>
      <c r="K218" s="48"/>
      <c r="L218" s="48"/>
      <c r="M218" s="48"/>
      <c r="N218" s="48"/>
      <c r="O218" s="48"/>
      <c r="P218" s="48"/>
      <c r="Q218" s="48"/>
      <c r="R218" s="48"/>
      <c r="S218" s="48"/>
      <c r="T218" s="48"/>
      <c r="U218" s="48"/>
      <c r="V218" s="48"/>
      <c r="W218" s="48"/>
      <c r="X218" s="48"/>
      <c r="Y218" s="48"/>
      <c r="Z218" s="48"/>
      <c r="AA218" s="48"/>
      <c r="AB218" s="48"/>
      <c r="AC218" s="48"/>
      <c r="AD218" s="48"/>
      <c r="AE218" s="48"/>
      <c r="AF218" s="163" t="s">
        <v>124</v>
      </c>
      <c r="AG218" s="164">
        <v>2500</v>
      </c>
      <c r="AH218" s="162"/>
      <c r="AI218" s="162"/>
      <c r="AJ218" s="162"/>
      <c r="AK218" s="162"/>
      <c r="AL218" s="162"/>
      <c r="AM218" s="48"/>
      <c r="AN218" s="48"/>
      <c r="AO218" s="48"/>
      <c r="AP218" s="48"/>
      <c r="AQ218" s="48"/>
      <c r="AR218" s="48"/>
      <c r="AS218" s="48"/>
      <c r="AT218" s="48"/>
      <c r="AU218" s="48"/>
      <c r="AV218" s="48"/>
      <c r="AW218" s="48"/>
      <c r="AX218" s="48"/>
      <c r="AY218" s="48"/>
    </row>
    <row r="219" spans="2:51" x14ac:dyDescent="0.2">
      <c r="B219" s="48"/>
      <c r="C219" s="48"/>
      <c r="D219" s="48"/>
      <c r="E219" s="48"/>
      <c r="F219" s="48"/>
      <c r="G219" s="48"/>
      <c r="H219" s="48"/>
      <c r="I219" s="48"/>
      <c r="J219" s="48"/>
      <c r="K219" s="48"/>
      <c r="L219" s="48"/>
      <c r="M219" s="48"/>
      <c r="N219" s="48"/>
      <c r="O219" s="48"/>
      <c r="P219" s="48"/>
      <c r="Q219" s="48"/>
      <c r="R219" s="48"/>
      <c r="S219" s="48"/>
      <c r="T219" s="48"/>
      <c r="U219" s="48"/>
      <c r="V219" s="48"/>
      <c r="W219" s="48"/>
      <c r="X219" s="48"/>
      <c r="Y219" s="48"/>
      <c r="Z219" s="48"/>
      <c r="AA219" s="48"/>
      <c r="AB219" s="48"/>
      <c r="AC219" s="48"/>
      <c r="AD219" s="48"/>
      <c r="AE219" s="48"/>
      <c r="AF219" s="163" t="s">
        <v>124</v>
      </c>
      <c r="AG219" s="164">
        <v>1000</v>
      </c>
      <c r="AH219" s="162"/>
      <c r="AI219" s="162"/>
      <c r="AJ219" s="162"/>
      <c r="AK219" s="162"/>
      <c r="AL219" s="162"/>
      <c r="AM219" s="48"/>
      <c r="AN219" s="48"/>
      <c r="AO219" s="48"/>
      <c r="AP219" s="48"/>
      <c r="AQ219" s="48"/>
      <c r="AR219" s="48"/>
      <c r="AS219" s="48"/>
      <c r="AT219" s="48"/>
      <c r="AU219" s="48"/>
      <c r="AV219" s="48"/>
      <c r="AW219" s="48"/>
      <c r="AX219" s="48"/>
      <c r="AY219" s="48"/>
    </row>
    <row r="220" spans="2:51" x14ac:dyDescent="0.2">
      <c r="B220" s="48"/>
      <c r="C220" s="48"/>
      <c r="D220" s="48"/>
      <c r="E220" s="48"/>
      <c r="F220" s="48"/>
      <c r="G220" s="48"/>
      <c r="H220" s="48"/>
      <c r="I220" s="48"/>
      <c r="J220" s="48"/>
      <c r="K220" s="48"/>
      <c r="L220" s="48"/>
      <c r="M220" s="48"/>
      <c r="N220" s="48"/>
      <c r="O220" s="48"/>
      <c r="P220" s="48"/>
      <c r="Q220" s="48"/>
      <c r="R220" s="48"/>
      <c r="S220" s="48"/>
      <c r="T220" s="48"/>
      <c r="U220" s="48"/>
      <c r="V220" s="48"/>
      <c r="W220" s="48"/>
      <c r="X220" s="48"/>
      <c r="Y220" s="48"/>
      <c r="Z220" s="48"/>
      <c r="AA220" s="48"/>
      <c r="AB220" s="48"/>
      <c r="AC220" s="48"/>
      <c r="AD220" s="48"/>
      <c r="AE220" s="48"/>
      <c r="AF220" s="48"/>
      <c r="AG220" s="48"/>
      <c r="AH220" s="48"/>
      <c r="AI220" s="48"/>
      <c r="AJ220" s="48"/>
      <c r="AK220" s="48"/>
      <c r="AL220" s="48"/>
      <c r="AM220" s="48"/>
      <c r="AN220" s="48"/>
      <c r="AO220" s="48"/>
      <c r="AP220" s="48"/>
      <c r="AQ220" s="48"/>
      <c r="AR220" s="48"/>
      <c r="AS220" s="48"/>
      <c r="AT220" s="48"/>
      <c r="AU220" s="48"/>
      <c r="AV220" s="48"/>
      <c r="AW220" s="48"/>
      <c r="AX220" s="48"/>
      <c r="AY220" s="48"/>
    </row>
    <row r="221" spans="2:51" x14ac:dyDescent="0.2">
      <c r="B221" s="48"/>
      <c r="C221" s="48"/>
      <c r="D221" s="48"/>
      <c r="E221" s="48"/>
      <c r="F221" s="48"/>
      <c r="G221" s="48"/>
      <c r="H221" s="48"/>
      <c r="I221" s="48"/>
      <c r="J221" s="48"/>
      <c r="K221" s="48"/>
      <c r="L221" s="48"/>
      <c r="M221" s="48"/>
      <c r="N221" s="48"/>
      <c r="O221" s="48"/>
      <c r="P221" s="48"/>
      <c r="Q221" s="48"/>
      <c r="R221" s="48"/>
      <c r="S221" s="48"/>
      <c r="T221" s="48"/>
      <c r="U221" s="48"/>
      <c r="V221" s="48"/>
      <c r="W221" s="48"/>
      <c r="X221" s="48"/>
      <c r="Y221" s="48"/>
      <c r="Z221" s="48"/>
      <c r="AA221" s="48"/>
      <c r="AB221" s="48"/>
      <c r="AC221" s="48"/>
      <c r="AD221" s="48"/>
      <c r="AE221" s="48"/>
      <c r="AF221" s="48"/>
      <c r="AG221" s="48"/>
      <c r="AH221" s="48"/>
      <c r="AI221" s="48"/>
      <c r="AJ221" s="48"/>
      <c r="AK221" s="48"/>
      <c r="AL221" s="48"/>
      <c r="AM221" s="48"/>
      <c r="AN221" s="48"/>
      <c r="AO221" s="48"/>
      <c r="AP221" s="48"/>
      <c r="AQ221" s="48"/>
      <c r="AR221" s="48"/>
      <c r="AS221" s="48"/>
      <c r="AT221" s="48"/>
      <c r="AU221" s="48"/>
      <c r="AV221" s="48"/>
      <c r="AW221" s="48"/>
      <c r="AX221" s="48"/>
      <c r="AY221" s="48"/>
    </row>
    <row r="222" spans="2:51" x14ac:dyDescent="0.2"/>
    <row r="223" spans="2:51" x14ac:dyDescent="0.2"/>
    <row r="224" spans="2:51" x14ac:dyDescent="0.2"/>
    <row r="225" x14ac:dyDescent="0.2"/>
  </sheetData>
  <sheetProtection algorithmName="SHA-512" hashValue="4dpGaAEbmkiloON7Vvpg+3vbFhXmbusXeR15j5CkDuuvQNM/di+49WXGDsqJdRj4BgDfFf8kzgDukBGN5gxmtQ==" saltValue="6ETaG/jNKGYEeiGDfMkJbA==" spinCount="100000" sheet="1" objects="1" scenarios="1"/>
  <mergeCells count="7">
    <mergeCell ref="C7:C25"/>
    <mergeCell ref="AP54:AQ54"/>
    <mergeCell ref="AP76:AQ76"/>
    <mergeCell ref="T6:U6"/>
    <mergeCell ref="T28:U28"/>
    <mergeCell ref="AP6:AQ6"/>
    <mergeCell ref="AP28:AQ28"/>
  </mergeCells>
  <pageMargins left="0.511811024" right="0.511811024" top="0.78740157499999996" bottom="0.78740157499999996" header="0.31496062000000002" footer="0.31496062000000002"/>
  <pageSetup orientation="portrait" r:id="rId1"/>
  <ignoredErrors>
    <ignoredError sqref="V37:W37 AR37 AR85" formula="1"/>
  </ignoredErrors>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CaractAmostra!$E$9:$E$20</xm:f>
          </x14:formula1>
          <xm:sqref>O7 S30 Z30 AF30 AO30 AO78 AO127 AO170 AV30</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R219"/>
  <sheetViews>
    <sheetView showGridLines="0" zoomScaleNormal="100" workbookViewId="0"/>
  </sheetViews>
  <sheetFormatPr defaultColWidth="0" defaultRowHeight="12.75" zeroHeight="1" x14ac:dyDescent="0.2"/>
  <cols>
    <col min="1" max="1" width="24.7109375" style="126" customWidth="1"/>
    <col min="2" max="2" width="5.42578125" style="126" customWidth="1"/>
    <col min="3" max="3" width="69.5703125" style="126" customWidth="1"/>
    <col min="4" max="4" width="12.28515625" style="126" customWidth="1"/>
    <col min="5" max="5" width="9.140625" style="126" customWidth="1"/>
    <col min="6" max="6" width="53.85546875" style="126" bestFit="1" customWidth="1"/>
    <col min="7" max="7" width="16.28515625" style="126" customWidth="1"/>
    <col min="8" max="8" width="16.42578125" style="126" customWidth="1"/>
    <col min="9" max="9" width="11.85546875" style="126" bestFit="1" customWidth="1"/>
    <col min="10" max="10" width="11.7109375" style="126" customWidth="1"/>
    <col min="11" max="11" width="79" style="126" customWidth="1"/>
    <col min="12" max="12" width="7" style="126" customWidth="1"/>
    <col min="13" max="13" width="6.42578125" style="126" bestFit="1" customWidth="1"/>
    <col min="14" max="14" width="33.140625" style="126" bestFit="1" customWidth="1"/>
    <col min="15" max="16" width="10.85546875" style="126" customWidth="1"/>
    <col min="17" max="17" width="6.5703125" style="126" customWidth="1"/>
    <col min="18" max="18" width="6.42578125" style="126" bestFit="1" customWidth="1"/>
    <col min="19" max="19" width="33.140625" style="126" bestFit="1" customWidth="1"/>
    <col min="20" max="21" width="10.85546875" style="126" customWidth="1"/>
    <col min="22" max="22" width="9.140625" style="126" customWidth="1"/>
    <col min="23" max="23" width="47.7109375" style="126" bestFit="1" customWidth="1"/>
    <col min="24" max="25" width="16.7109375" style="126" customWidth="1"/>
    <col min="26" max="26" width="12" style="126" customWidth="1"/>
    <col min="27" max="27" width="13.42578125" style="126" customWidth="1"/>
    <col min="28" max="28" width="13.140625" style="126" bestFit="1" customWidth="1"/>
    <col min="29" max="30" width="13.140625" style="126" customWidth="1"/>
    <col min="31" max="31" width="9.140625" style="126" customWidth="1"/>
    <col min="32" max="32" width="81.5703125" style="126" customWidth="1"/>
    <col min="33" max="33" width="10.28515625" style="126" customWidth="1"/>
    <col min="34" max="34" width="49.7109375" style="126" bestFit="1" customWidth="1"/>
    <col min="35" max="35" width="99.42578125" style="126" bestFit="1" customWidth="1"/>
    <col min="36" max="41" width="9.140625" style="126" customWidth="1"/>
    <col min="42" max="42" width="13" style="126" customWidth="1"/>
    <col min="43" max="43" width="12.42578125" style="126" customWidth="1"/>
    <col min="44" max="44" width="10" style="126" bestFit="1" customWidth="1"/>
    <col min="45" max="49" width="9.140625" style="126" customWidth="1"/>
    <col min="50" max="50" width="88.140625" style="126" bestFit="1" customWidth="1"/>
    <col min="51" max="53" width="9.140625" style="126" customWidth="1"/>
    <col min="54" max="54" width="54.85546875" style="126" customWidth="1"/>
    <col min="55" max="56" width="9.140625" style="126" customWidth="1"/>
    <col min="57" max="57" width="78.7109375" style="126" customWidth="1"/>
    <col min="58" max="58" width="7.85546875" style="126" customWidth="1"/>
    <col min="59" max="59" width="40.85546875" style="126" customWidth="1"/>
    <col min="60" max="61" width="9.140625" style="126" customWidth="1"/>
    <col min="62" max="62" width="81.28515625" style="126" customWidth="1"/>
    <col min="63" max="63" width="6.5703125" style="126" customWidth="1"/>
    <col min="64" max="64" width="38.28515625" style="126" customWidth="1"/>
    <col min="65" max="66" width="9.140625" style="126" customWidth="1"/>
    <col min="67" max="67" width="82.28515625" style="126" customWidth="1"/>
    <col min="68" max="68" width="15.140625" style="126" customWidth="1"/>
    <col min="69" max="69" width="38.85546875" style="126" customWidth="1"/>
    <col min="70" max="72" width="9.140625" style="126" customWidth="1"/>
    <col min="73" max="73" width="6.42578125" style="126" bestFit="1" customWidth="1"/>
    <col min="74" max="74" width="38.85546875" style="126" customWidth="1"/>
    <col min="75" max="76" width="9.140625" style="126" customWidth="1"/>
    <col min="77" max="77" width="12.7109375" style="126" customWidth="1"/>
    <col min="78" max="78" width="10.28515625" style="126" customWidth="1"/>
    <col min="79" max="79" width="58" style="126" bestFit="1" customWidth="1"/>
    <col min="80" max="85" width="9.140625" style="126" customWidth="1"/>
    <col min="86" max="86" width="13" style="126" customWidth="1"/>
    <col min="87" max="87" width="12.42578125" style="126" customWidth="1"/>
    <col min="88" max="88" width="10" style="126" bestFit="1" customWidth="1"/>
    <col min="89" max="90" width="9.140625" style="126" customWidth="1"/>
    <col min="91" max="91" width="10.28515625" style="126" customWidth="1"/>
    <col min="92" max="92" width="54.7109375" style="126" bestFit="1" customWidth="1"/>
    <col min="93" max="98" width="9.140625" style="126" customWidth="1"/>
    <col min="99" max="99" width="13" style="126" customWidth="1"/>
    <col min="100" max="100" width="12.42578125" style="126" customWidth="1"/>
    <col min="101" max="101" width="10" style="126" bestFit="1" customWidth="1"/>
    <col min="102" max="103" width="9.140625" style="126" customWidth="1"/>
    <col min="104" max="104" width="49.7109375" style="126" customWidth="1"/>
    <col min="105" max="105" width="15.5703125" style="126" customWidth="1"/>
    <col min="106" max="106" width="15.5703125" style="126" bestFit="1" customWidth="1"/>
    <col min="107" max="107" width="15.5703125" style="126" customWidth="1"/>
    <col min="108" max="108" width="15.5703125" style="126" bestFit="1" customWidth="1"/>
    <col min="109" max="109" width="86.85546875" style="126" customWidth="1"/>
    <col min="110" max="110" width="8.5703125" style="126" customWidth="1"/>
    <col min="111" max="111" width="52.85546875" style="126" customWidth="1"/>
    <col min="112" max="113" width="9.140625" style="126" customWidth="1"/>
    <col min="114" max="114" width="81" style="126" customWidth="1"/>
    <col min="115" max="115" width="7.7109375" style="126" customWidth="1"/>
    <col min="116" max="116" width="54.7109375" style="126" bestFit="1" customWidth="1"/>
    <col min="117" max="118" width="9.140625" style="126" customWidth="1"/>
    <col min="119" max="119" width="80.140625" style="126" customWidth="1"/>
    <col min="120" max="122" width="9.140625" style="126" customWidth="1"/>
    <col min="123" max="16384" width="9.140625" style="126" hidden="1"/>
  </cols>
  <sheetData>
    <row r="1" spans="1:120" ht="139.5" customHeight="1" x14ac:dyDescent="0.2">
      <c r="A1" s="151" t="s">
        <v>993</v>
      </c>
      <c r="E1" s="222" t="s">
        <v>1212</v>
      </c>
    </row>
    <row r="2" spans="1:120" x14ac:dyDescent="0.2">
      <c r="B2" s="48"/>
      <c r="C2" s="144"/>
      <c r="D2" s="48"/>
      <c r="E2" s="48"/>
      <c r="F2" s="48"/>
      <c r="G2" s="48"/>
      <c r="H2" s="48"/>
      <c r="I2" s="48"/>
      <c r="J2" s="48"/>
      <c r="K2" s="48"/>
      <c r="L2" s="48"/>
      <c r="M2" s="48"/>
      <c r="N2" s="48"/>
      <c r="O2" s="48"/>
      <c r="P2" s="48"/>
      <c r="Q2" s="48"/>
      <c r="R2" s="48"/>
      <c r="S2" s="48"/>
      <c r="T2" s="48"/>
      <c r="U2" s="48"/>
      <c r="V2" s="48"/>
      <c r="W2" s="48"/>
      <c r="X2" s="48"/>
      <c r="Y2" s="48"/>
      <c r="Z2" s="48"/>
      <c r="AA2" s="48"/>
      <c r="AB2" s="48"/>
      <c r="AC2" s="48"/>
      <c r="AD2" s="48"/>
      <c r="AE2" s="48"/>
      <c r="AF2" s="48"/>
      <c r="AG2" s="48"/>
      <c r="AH2" s="48"/>
      <c r="AI2" s="48"/>
      <c r="AJ2" s="48"/>
      <c r="AK2" s="48"/>
      <c r="AL2" s="48"/>
      <c r="AM2" s="48"/>
      <c r="AN2" s="48"/>
      <c r="AO2" s="48"/>
      <c r="AP2" s="48"/>
      <c r="AQ2" s="48"/>
      <c r="AR2" s="48"/>
      <c r="AS2" s="48"/>
      <c r="AT2" s="48"/>
      <c r="AU2" s="48"/>
      <c r="AV2" s="48"/>
      <c r="AW2" s="48"/>
      <c r="AX2" s="48"/>
      <c r="AY2" s="48"/>
      <c r="AZ2" s="48"/>
      <c r="BA2" s="48"/>
      <c r="BB2" s="48"/>
      <c r="BC2" s="48"/>
      <c r="BD2" s="48"/>
      <c r="BE2" s="48"/>
      <c r="BF2" s="48"/>
      <c r="BG2" s="48"/>
      <c r="BH2" s="48"/>
      <c r="BI2" s="48"/>
      <c r="BJ2" s="48"/>
      <c r="BK2" s="48"/>
      <c r="BL2" s="48"/>
      <c r="BM2" s="48"/>
      <c r="BN2" s="48"/>
      <c r="BO2" s="48"/>
      <c r="BP2" s="48"/>
      <c r="BQ2" s="48"/>
      <c r="BR2" s="48"/>
      <c r="BS2" s="48"/>
      <c r="BT2" s="48"/>
      <c r="BU2" s="48"/>
      <c r="BV2" s="48"/>
      <c r="BW2" s="48"/>
      <c r="BX2" s="48"/>
      <c r="BY2" s="48"/>
      <c r="BZ2" s="48"/>
      <c r="CA2" s="48"/>
      <c r="CB2" s="48"/>
      <c r="CC2" s="48"/>
      <c r="CD2" s="48"/>
      <c r="CE2" s="48"/>
      <c r="CF2" s="48"/>
      <c r="CG2" s="48"/>
      <c r="CH2" s="48"/>
      <c r="CI2" s="48"/>
      <c r="CJ2" s="48"/>
      <c r="CK2" s="48"/>
      <c r="CL2" s="48"/>
      <c r="CM2" s="48"/>
      <c r="CN2" s="48"/>
      <c r="CO2" s="48"/>
      <c r="CP2" s="48"/>
      <c r="CQ2" s="48"/>
      <c r="CR2" s="48"/>
      <c r="CS2" s="48"/>
      <c r="CT2" s="48"/>
      <c r="CU2" s="48"/>
      <c r="CV2" s="48"/>
      <c r="CW2" s="48"/>
      <c r="CX2" s="48"/>
      <c r="CY2" s="48"/>
      <c r="CZ2" s="48"/>
      <c r="DA2" s="48"/>
      <c r="DB2" s="48"/>
      <c r="DC2" s="48"/>
      <c r="DD2" s="48"/>
      <c r="DE2" s="48"/>
      <c r="DF2" s="48"/>
      <c r="DG2" s="48"/>
      <c r="DH2" s="48"/>
      <c r="DI2" s="48"/>
      <c r="DJ2" s="48"/>
      <c r="DK2" s="48"/>
      <c r="DL2" s="48"/>
      <c r="DM2" s="48"/>
      <c r="DN2" s="48"/>
      <c r="DO2" s="48"/>
      <c r="DP2" s="48"/>
    </row>
    <row r="3" spans="1:120" x14ac:dyDescent="0.2">
      <c r="B3" s="48"/>
      <c r="C3" s="144"/>
      <c r="D3" s="48"/>
      <c r="E3" s="48"/>
      <c r="F3" s="48"/>
      <c r="G3" s="48"/>
      <c r="H3" s="48"/>
      <c r="I3" s="48"/>
      <c r="J3" s="48"/>
      <c r="K3" s="48"/>
      <c r="L3" s="48"/>
      <c r="M3" s="48"/>
      <c r="N3" s="48"/>
      <c r="O3" s="48"/>
      <c r="P3" s="48"/>
      <c r="Q3" s="48"/>
      <c r="R3" s="48"/>
      <c r="S3" s="48"/>
      <c r="T3" s="48"/>
      <c r="U3" s="48"/>
      <c r="V3" s="48"/>
      <c r="W3" s="48"/>
      <c r="X3" s="48"/>
      <c r="Y3" s="48"/>
      <c r="Z3" s="48"/>
      <c r="AA3" s="48"/>
      <c r="AB3" s="48"/>
      <c r="AC3" s="48"/>
      <c r="AD3" s="48"/>
      <c r="AE3" s="48"/>
      <c r="AF3" s="48"/>
      <c r="AG3" s="48"/>
      <c r="AH3" s="48"/>
      <c r="AI3" s="48"/>
      <c r="AJ3" s="48"/>
      <c r="AK3" s="48"/>
      <c r="AL3" s="48"/>
      <c r="AM3" s="48"/>
      <c r="AN3" s="48"/>
      <c r="AO3" s="48"/>
      <c r="AP3" s="48"/>
      <c r="AQ3" s="48"/>
      <c r="AR3" s="48"/>
      <c r="AS3" s="48"/>
      <c r="AT3" s="48"/>
      <c r="AU3" s="48"/>
      <c r="AV3" s="48"/>
      <c r="AW3" s="48"/>
      <c r="AX3" s="48"/>
      <c r="AY3" s="48"/>
      <c r="AZ3" s="48"/>
      <c r="BA3" s="48"/>
      <c r="BB3" s="48"/>
      <c r="BC3" s="48"/>
      <c r="BD3" s="48"/>
      <c r="BE3" s="48"/>
      <c r="BF3" s="48"/>
      <c r="BG3" s="48"/>
      <c r="BH3" s="48"/>
      <c r="BI3" s="48"/>
      <c r="BJ3" s="48"/>
      <c r="BK3" s="48"/>
      <c r="BL3" s="48"/>
      <c r="BM3" s="48"/>
      <c r="BN3" s="48"/>
      <c r="BO3" s="48"/>
      <c r="BP3" s="48"/>
      <c r="BQ3" s="48"/>
      <c r="BR3" s="48"/>
      <c r="BS3" s="48"/>
      <c r="BT3" s="48"/>
      <c r="BU3" s="48"/>
      <c r="BV3" s="48"/>
      <c r="BW3" s="48"/>
      <c r="BX3" s="48"/>
      <c r="BY3" s="48"/>
      <c r="BZ3" s="48"/>
      <c r="CA3" s="48"/>
      <c r="CB3" s="48"/>
      <c r="CC3" s="48"/>
      <c r="CD3" s="48"/>
      <c r="CE3" s="48"/>
      <c r="CF3" s="48"/>
      <c r="CG3" s="48"/>
      <c r="CH3" s="48"/>
      <c r="CI3" s="48"/>
      <c r="CJ3" s="48"/>
      <c r="CK3" s="48"/>
      <c r="CL3" s="48"/>
      <c r="CM3" s="48"/>
      <c r="CN3" s="48"/>
      <c r="CO3" s="48"/>
      <c r="CP3" s="48"/>
      <c r="CQ3" s="48"/>
      <c r="CR3" s="48"/>
      <c r="CS3" s="48"/>
      <c r="CT3" s="48"/>
      <c r="CU3" s="48"/>
      <c r="CV3" s="48"/>
      <c r="CW3" s="48"/>
      <c r="CX3" s="48"/>
      <c r="CY3" s="48"/>
      <c r="CZ3" s="48"/>
      <c r="DA3" s="48"/>
      <c r="DB3" s="48"/>
      <c r="DC3" s="48"/>
      <c r="DD3" s="48"/>
      <c r="DE3" s="48"/>
      <c r="DF3" s="48"/>
      <c r="DG3" s="48"/>
      <c r="DH3" s="48"/>
      <c r="DI3" s="48"/>
      <c r="DJ3" s="48"/>
      <c r="DK3" s="48"/>
      <c r="DL3" s="48"/>
      <c r="DM3" s="48"/>
      <c r="DN3" s="48"/>
      <c r="DO3" s="48"/>
      <c r="DP3" s="48"/>
    </row>
    <row r="4" spans="1:120" x14ac:dyDescent="0.2">
      <c r="A4" s="136"/>
      <c r="B4" s="48"/>
      <c r="C4" s="144"/>
      <c r="D4" s="48"/>
      <c r="E4" s="48"/>
      <c r="F4" s="133">
        <v>31</v>
      </c>
      <c r="G4" s="131"/>
      <c r="H4" s="131"/>
      <c r="I4" s="131"/>
      <c r="J4" s="131"/>
      <c r="K4" s="131"/>
      <c r="L4" s="131"/>
      <c r="M4" s="131"/>
      <c r="N4" s="133">
        <v>32</v>
      </c>
      <c r="O4" s="131"/>
      <c r="P4" s="131"/>
      <c r="Q4" s="133"/>
      <c r="R4" s="131"/>
      <c r="S4" s="133">
        <f>N4</f>
        <v>32</v>
      </c>
      <c r="T4" s="131"/>
      <c r="U4" s="131"/>
      <c r="V4" s="131"/>
      <c r="W4" s="133">
        <v>33</v>
      </c>
      <c r="X4" s="131"/>
      <c r="Y4" s="131"/>
      <c r="Z4" s="131"/>
      <c r="AA4" s="131"/>
      <c r="AB4" s="131"/>
      <c r="AC4" s="131"/>
      <c r="AD4" s="131"/>
      <c r="AE4" s="131"/>
      <c r="AF4" s="131"/>
      <c r="AG4" s="133" t="s">
        <v>1348</v>
      </c>
      <c r="AH4" s="133"/>
      <c r="AI4" s="133"/>
      <c r="AJ4" s="131"/>
      <c r="AK4" s="131"/>
      <c r="AL4" s="131"/>
      <c r="AM4" s="131"/>
      <c r="AN4" s="131"/>
      <c r="AO4" s="131"/>
      <c r="AP4" s="131"/>
      <c r="AQ4" s="131"/>
      <c r="AR4" s="131"/>
      <c r="AS4" s="131"/>
      <c r="AT4" s="131"/>
      <c r="AU4" s="131"/>
      <c r="AV4" s="131"/>
      <c r="AW4" s="131"/>
      <c r="AX4" s="133">
        <v>39</v>
      </c>
      <c r="AY4" s="131"/>
      <c r="AZ4" s="131"/>
      <c r="BA4" s="131"/>
      <c r="BB4" s="133">
        <v>40</v>
      </c>
      <c r="BC4" s="131"/>
      <c r="BD4" s="131"/>
      <c r="BE4" s="131"/>
      <c r="BF4" s="131"/>
      <c r="BG4" s="133">
        <v>41</v>
      </c>
      <c r="BH4" s="131"/>
      <c r="BI4" s="131"/>
      <c r="BJ4" s="131"/>
      <c r="BK4" s="131"/>
      <c r="BL4" s="133">
        <v>43</v>
      </c>
      <c r="BM4" s="131"/>
      <c r="BN4" s="131"/>
      <c r="BO4" s="131"/>
      <c r="BP4" s="131"/>
      <c r="BQ4" s="133">
        <v>44</v>
      </c>
      <c r="BR4" s="131"/>
      <c r="BS4" s="131"/>
      <c r="BT4" s="131"/>
      <c r="BU4" s="131"/>
      <c r="BV4" s="133"/>
      <c r="BW4" s="131"/>
      <c r="BX4" s="131"/>
      <c r="BY4" s="131"/>
      <c r="BZ4" s="133"/>
      <c r="CA4" s="133" t="s">
        <v>1353</v>
      </c>
      <c r="CB4" s="131"/>
      <c r="CC4" s="131"/>
      <c r="CD4" s="131"/>
      <c r="CE4" s="131"/>
      <c r="CF4" s="131"/>
      <c r="CG4" s="131"/>
      <c r="CH4" s="131"/>
      <c r="CI4" s="131"/>
      <c r="CJ4" s="131"/>
      <c r="CK4" s="131"/>
      <c r="CL4" s="131"/>
      <c r="CM4" s="133"/>
      <c r="CN4" s="133" t="s">
        <v>1354</v>
      </c>
      <c r="CO4" s="131"/>
      <c r="CP4" s="131"/>
      <c r="CQ4" s="131"/>
      <c r="CR4" s="131"/>
      <c r="CS4" s="131"/>
      <c r="CT4" s="131"/>
      <c r="CU4" s="131"/>
      <c r="CV4" s="131"/>
      <c r="CW4" s="131"/>
      <c r="CX4" s="131"/>
      <c r="CY4" s="131"/>
      <c r="CZ4" s="133">
        <v>74</v>
      </c>
      <c r="DA4" s="131"/>
      <c r="DB4" s="131"/>
      <c r="DC4" s="131"/>
      <c r="DD4" s="131"/>
      <c r="DE4" s="131"/>
      <c r="DF4" s="131"/>
      <c r="DG4" s="133">
        <v>75</v>
      </c>
      <c r="DH4" s="131"/>
      <c r="DI4" s="131"/>
      <c r="DJ4" s="131"/>
      <c r="DK4" s="131"/>
      <c r="DL4" s="133">
        <v>76</v>
      </c>
      <c r="DM4" s="131"/>
      <c r="DN4" s="131"/>
      <c r="DO4" s="131"/>
      <c r="DP4" s="48"/>
    </row>
    <row r="5" spans="1:120" x14ac:dyDescent="0.2">
      <c r="B5" s="48"/>
      <c r="C5" s="144"/>
      <c r="D5" s="48"/>
      <c r="E5" s="48"/>
      <c r="F5" s="48"/>
      <c r="G5" s="48"/>
      <c r="H5" s="48"/>
      <c r="I5" s="48"/>
      <c r="J5" s="48"/>
      <c r="K5" s="48"/>
      <c r="L5" s="48"/>
      <c r="M5" s="48"/>
      <c r="N5" s="48"/>
      <c r="O5" s="48"/>
      <c r="P5" s="48"/>
      <c r="Q5" s="48"/>
      <c r="R5" s="48"/>
      <c r="S5" s="48"/>
      <c r="T5" s="48"/>
      <c r="U5" s="48"/>
      <c r="V5" s="48"/>
      <c r="W5" s="48"/>
      <c r="X5" s="48"/>
      <c r="Y5" s="48"/>
      <c r="Z5" s="48"/>
      <c r="AA5" s="48"/>
      <c r="AB5" s="48"/>
      <c r="AC5" s="48"/>
      <c r="AD5" s="48"/>
      <c r="AE5" s="48"/>
      <c r="AF5" s="48"/>
      <c r="AG5" s="48"/>
      <c r="AH5" s="48"/>
      <c r="AI5" s="48"/>
      <c r="AJ5" s="48"/>
      <c r="AK5" s="48"/>
      <c r="AL5" s="48"/>
      <c r="AM5" s="48"/>
      <c r="AN5" s="48"/>
      <c r="AO5" s="48"/>
      <c r="AP5" s="48"/>
      <c r="AQ5" s="48"/>
      <c r="AR5" s="48"/>
      <c r="AS5" s="48"/>
      <c r="AT5" s="48"/>
      <c r="AU5" s="48"/>
      <c r="AV5" s="48"/>
      <c r="AW5" s="48"/>
      <c r="AX5" s="48"/>
      <c r="AY5" s="48"/>
      <c r="AZ5" s="48"/>
      <c r="BA5" s="48"/>
      <c r="BB5" s="48"/>
      <c r="BC5" s="48"/>
      <c r="BD5" s="48"/>
      <c r="BE5" s="48"/>
      <c r="BF5" s="48"/>
      <c r="BG5" s="48"/>
      <c r="BH5" s="48"/>
      <c r="BI5" s="48"/>
      <c r="BJ5" s="48"/>
      <c r="BK5" s="48"/>
      <c r="BL5" s="48"/>
      <c r="BM5" s="48"/>
      <c r="BN5" s="48"/>
      <c r="BO5" s="48"/>
      <c r="BP5" s="48"/>
      <c r="BQ5" s="48"/>
      <c r="BR5" s="48"/>
      <c r="BS5" s="48"/>
      <c r="BT5" s="48"/>
      <c r="BU5" s="48"/>
      <c r="BV5" s="48"/>
      <c r="BW5" s="48"/>
      <c r="BX5" s="48"/>
      <c r="BY5" s="48"/>
      <c r="BZ5" s="48"/>
      <c r="CA5" s="48"/>
      <c r="CB5" s="48"/>
      <c r="CC5" s="48"/>
      <c r="CD5" s="48"/>
      <c r="CE5" s="48"/>
      <c r="CF5" s="48"/>
      <c r="CG5" s="48"/>
      <c r="CH5" s="48"/>
      <c r="CI5" s="48"/>
      <c r="CJ5" s="48"/>
      <c r="CK5" s="48"/>
      <c r="CL5" s="48"/>
      <c r="CM5" s="48"/>
      <c r="CN5" s="48"/>
      <c r="CO5" s="48"/>
      <c r="CP5" s="48"/>
      <c r="CQ5" s="48"/>
      <c r="CR5" s="48"/>
      <c r="CS5" s="48"/>
      <c r="CT5" s="48"/>
      <c r="CU5" s="48"/>
      <c r="CV5" s="48"/>
      <c r="CW5" s="48"/>
      <c r="CX5" s="48"/>
      <c r="CY5" s="48"/>
      <c r="CZ5" s="48"/>
      <c r="DA5" s="48"/>
      <c r="DB5" s="48"/>
      <c r="DC5" s="48"/>
      <c r="DD5" s="48"/>
      <c r="DE5" s="48"/>
      <c r="DF5" s="48"/>
      <c r="DG5" s="48"/>
      <c r="DH5" s="48"/>
      <c r="DI5" s="48"/>
      <c r="DJ5" s="48"/>
      <c r="DK5" s="48"/>
      <c r="DL5" s="48"/>
      <c r="DM5" s="48"/>
      <c r="DN5" s="48"/>
      <c r="DO5" s="48"/>
      <c r="DP5" s="48"/>
    </row>
    <row r="6" spans="1:120" ht="25.5" customHeight="1" x14ac:dyDescent="0.2">
      <c r="B6" s="48"/>
      <c r="C6" s="178" t="s">
        <v>1153</v>
      </c>
      <c r="D6" s="48"/>
      <c r="E6" s="48"/>
      <c r="F6" s="137" t="str">
        <f>Tabulacao!CV2</f>
        <v>Atualmente você está em um emprego remunerado?</v>
      </c>
      <c r="G6" s="48"/>
      <c r="H6" s="48"/>
      <c r="I6" s="48"/>
      <c r="J6" s="48"/>
      <c r="K6" s="48"/>
      <c r="L6" s="48"/>
      <c r="M6" s="48"/>
      <c r="N6" s="160" t="s">
        <v>1241</v>
      </c>
      <c r="O6" s="48"/>
      <c r="P6" s="48"/>
      <c r="Q6" s="48"/>
      <c r="R6" s="48"/>
      <c r="S6" s="165" t="s">
        <v>1243</v>
      </c>
      <c r="T6" s="48"/>
      <c r="U6" s="48"/>
      <c r="V6" s="48"/>
      <c r="W6" s="137" t="str">
        <f>Tabulacao!DD2</f>
        <v>Aproximadamente, qual é o seu salário bruto mensal? (em R$)</v>
      </c>
      <c r="X6" s="48"/>
      <c r="Y6" s="48"/>
      <c r="Z6" s="48"/>
      <c r="AA6" s="48"/>
      <c r="AB6" s="48"/>
      <c r="AC6" s="48"/>
      <c r="AD6" s="48"/>
      <c r="AE6" s="48"/>
      <c r="AF6" s="48"/>
      <c r="AG6" s="48"/>
      <c r="AH6" s="48"/>
      <c r="AI6" s="225"/>
      <c r="AJ6" s="48"/>
      <c r="AK6" s="48"/>
      <c r="AL6" s="48"/>
      <c r="AM6" s="48"/>
      <c r="AN6" s="48"/>
      <c r="AO6" s="48"/>
      <c r="AP6" s="48"/>
      <c r="AQ6" s="48"/>
      <c r="AR6" s="48"/>
      <c r="AS6" s="48"/>
      <c r="AT6" s="48"/>
      <c r="AU6" s="48"/>
      <c r="AV6" s="48"/>
      <c r="AW6" s="48"/>
      <c r="AX6" s="137" t="str">
        <f>Tabulacao!DV2</f>
        <v>Se você considerar o seu emprego como pouco apropriado e sem ligação com o seu diploma, por que o escolheu?</v>
      </c>
      <c r="AY6" s="48"/>
      <c r="AZ6" s="48"/>
      <c r="BA6" s="48"/>
      <c r="BB6" s="137" t="str">
        <f>Tabulacao!DY2</f>
        <v>Quantas horas por semana você trabalha?</v>
      </c>
      <c r="BC6" s="48"/>
      <c r="BD6" s="48"/>
      <c r="BE6" s="48"/>
      <c r="BF6" s="48"/>
      <c r="BG6" s="137" t="str">
        <f>Tabulacao!EB2</f>
        <v>Em seu emprego atual, qual é o tipo de contrato funcional?</v>
      </c>
      <c r="BH6" s="48"/>
      <c r="BI6" s="48"/>
      <c r="BJ6" s="48"/>
      <c r="BK6" s="48"/>
      <c r="BL6" s="137" t="str">
        <f>Tabulacao!EH2</f>
        <v>Há quanto tempo você está no seu emprego atual?</v>
      </c>
      <c r="BM6" s="48"/>
      <c r="BN6" s="48"/>
      <c r="BO6" s="48"/>
      <c r="BP6" s="48"/>
      <c r="BQ6" s="160" t="s">
        <v>45</v>
      </c>
      <c r="BR6" s="48"/>
      <c r="BS6" s="48"/>
      <c r="BT6" s="48"/>
      <c r="BU6" s="48"/>
      <c r="BV6" s="156" t="s">
        <v>1350</v>
      </c>
      <c r="BW6" s="48"/>
      <c r="BX6" s="48"/>
      <c r="BY6" s="48"/>
      <c r="BZ6" s="48"/>
      <c r="CA6" s="160" t="s">
        <v>1192</v>
      </c>
      <c r="CB6" s="48"/>
      <c r="CC6" s="48"/>
      <c r="CD6" s="48"/>
      <c r="CE6" s="48"/>
      <c r="CF6" s="48"/>
      <c r="CG6" s="48"/>
      <c r="CH6" s="48"/>
      <c r="CI6" s="48"/>
      <c r="CJ6" s="48"/>
      <c r="CK6" s="48"/>
      <c r="CL6" s="48"/>
      <c r="CM6" s="48"/>
      <c r="CN6" s="160" t="s">
        <v>1191</v>
      </c>
      <c r="CO6" s="48"/>
      <c r="CP6" s="48"/>
      <c r="CQ6" s="48"/>
      <c r="CR6" s="48"/>
      <c r="CS6" s="48"/>
      <c r="CT6" s="48"/>
      <c r="CU6" s="48"/>
      <c r="CV6" s="48"/>
      <c r="CW6" s="48"/>
      <c r="CX6" s="48"/>
      <c r="CY6" s="48"/>
      <c r="CZ6" s="137" t="str">
        <f>Tabulacao!HY2</f>
        <v>Como foi sua experiência em relação à aceitação do mercado de trabalho?</v>
      </c>
      <c r="DA6" s="319" t="s">
        <v>1266</v>
      </c>
      <c r="DB6" s="320"/>
      <c r="DC6" s="321"/>
      <c r="DD6" s="48"/>
      <c r="DE6" s="48"/>
      <c r="DF6" s="48"/>
      <c r="DG6" s="137" t="str">
        <f>Tabulacao!IB2</f>
        <v>Quais foram os pontos que mais dificultaram sua entrada no mercado trabalho?</v>
      </c>
      <c r="DH6" s="48"/>
      <c r="DI6" s="48"/>
      <c r="DJ6" s="48"/>
      <c r="DK6" s="48"/>
      <c r="DL6" s="137" t="str">
        <f>Tabulacao!IE2</f>
        <v>Quais foram os pontos que mais aumentaram suas chances de entrar no mercado de trabalho?</v>
      </c>
      <c r="DM6" s="48"/>
      <c r="DN6" s="48"/>
      <c r="DO6" s="48"/>
      <c r="DP6" s="48"/>
    </row>
    <row r="7" spans="1:120" ht="12.75" customHeight="1" x14ac:dyDescent="0.2">
      <c r="B7" s="48"/>
      <c r="C7" s="322" t="s">
        <v>1256</v>
      </c>
      <c r="D7" s="48"/>
      <c r="E7" s="48"/>
      <c r="F7" s="48"/>
      <c r="G7" s="48"/>
      <c r="H7" s="48"/>
      <c r="I7" s="48"/>
      <c r="J7" s="48"/>
      <c r="K7" s="48"/>
      <c r="L7" s="48"/>
      <c r="M7" s="48"/>
      <c r="N7" s="48"/>
      <c r="O7" s="48"/>
      <c r="P7" s="48"/>
      <c r="Q7" s="48"/>
      <c r="R7" s="341" t="s">
        <v>1159</v>
      </c>
      <c r="S7" s="261" t="s">
        <v>119</v>
      </c>
      <c r="T7" s="48"/>
      <c r="U7" s="48"/>
      <c r="V7" s="48"/>
      <c r="W7" s="48"/>
      <c r="X7" s="48"/>
      <c r="Y7" s="48"/>
      <c r="Z7" s="48"/>
      <c r="AA7" s="48"/>
      <c r="AB7" s="48"/>
      <c r="AC7" s="48"/>
      <c r="AD7" s="48"/>
      <c r="AE7" s="48"/>
      <c r="AF7" s="48"/>
      <c r="AG7" s="48"/>
      <c r="AH7" s="48"/>
      <c r="AI7" s="48"/>
      <c r="AJ7" s="48"/>
      <c r="AK7" s="48"/>
      <c r="AL7" s="48"/>
      <c r="AM7" s="48"/>
      <c r="AN7" s="48"/>
      <c r="AO7" s="48"/>
      <c r="AP7" s="48"/>
      <c r="AQ7" s="48"/>
      <c r="AR7" s="48"/>
      <c r="AS7" s="48"/>
      <c r="AT7" s="48"/>
      <c r="AU7" s="48"/>
      <c r="AV7" s="48"/>
      <c r="AW7" s="48"/>
      <c r="AX7" s="48"/>
      <c r="AY7" s="48"/>
      <c r="AZ7" s="48"/>
      <c r="BA7" s="48"/>
      <c r="BB7" s="48"/>
      <c r="BC7" s="48"/>
      <c r="BD7" s="48"/>
      <c r="BE7" s="48"/>
      <c r="BF7" s="48"/>
      <c r="BG7" s="48"/>
      <c r="BH7" s="48"/>
      <c r="BI7" s="48"/>
      <c r="BJ7" s="48"/>
      <c r="BK7" s="48"/>
      <c r="BL7" s="48"/>
      <c r="BM7" s="48"/>
      <c r="BN7" s="48"/>
      <c r="BO7" s="48"/>
      <c r="BP7" s="48"/>
      <c r="BQ7" s="48"/>
      <c r="BR7" s="48"/>
      <c r="BS7" s="48"/>
      <c r="BT7" s="273"/>
      <c r="BU7" s="341" t="s">
        <v>1159</v>
      </c>
      <c r="BV7" s="261" t="s">
        <v>130</v>
      </c>
      <c r="BW7" s="48"/>
      <c r="BX7" s="48"/>
      <c r="BY7" s="48"/>
      <c r="BZ7" s="48"/>
      <c r="CA7" s="48"/>
      <c r="CB7" s="48"/>
      <c r="CC7" s="48"/>
      <c r="CD7" s="48"/>
      <c r="CE7" s="48"/>
      <c r="CF7" s="48"/>
      <c r="CG7" s="48"/>
      <c r="CH7" s="48"/>
      <c r="CI7" s="48"/>
      <c r="CJ7" s="48"/>
      <c r="CK7" s="48"/>
      <c r="CL7" s="48"/>
      <c r="CM7" s="48"/>
      <c r="CN7" s="48"/>
      <c r="CO7" s="48"/>
      <c r="CP7" s="48"/>
      <c r="CQ7" s="48"/>
      <c r="CR7" s="48"/>
      <c r="CS7" s="48"/>
      <c r="CT7" s="48"/>
      <c r="CU7" s="48"/>
      <c r="CV7" s="48"/>
      <c r="CW7" s="48"/>
      <c r="CX7" s="48"/>
      <c r="CY7" s="48"/>
      <c r="CZ7" s="48"/>
      <c r="DA7" s="48"/>
      <c r="DB7" s="48"/>
      <c r="DC7" s="48"/>
      <c r="DD7" s="48"/>
      <c r="DE7" s="48"/>
      <c r="DF7" s="48"/>
      <c r="DG7" s="48"/>
      <c r="DH7" s="48"/>
      <c r="DI7" s="48"/>
      <c r="DJ7" s="48"/>
      <c r="DK7" s="48"/>
      <c r="DL7" s="48"/>
      <c r="DM7" s="48"/>
      <c r="DN7" s="48"/>
      <c r="DO7" s="48"/>
      <c r="DP7" s="48"/>
    </row>
    <row r="8" spans="1:120" ht="25.5" x14ac:dyDescent="0.2">
      <c r="B8" s="48"/>
      <c r="C8" s="323"/>
      <c r="D8" s="48"/>
      <c r="E8" s="48"/>
      <c r="F8" s="167" t="s">
        <v>992</v>
      </c>
      <c r="G8" s="138" t="s">
        <v>131</v>
      </c>
      <c r="H8" s="138" t="s">
        <v>132</v>
      </c>
      <c r="I8" s="48"/>
      <c r="J8" s="48"/>
      <c r="K8" s="48"/>
      <c r="L8" s="48"/>
      <c r="M8" s="138" t="s">
        <v>931</v>
      </c>
      <c r="N8" s="138" t="s">
        <v>1242</v>
      </c>
      <c r="O8" s="138" t="s">
        <v>131</v>
      </c>
      <c r="P8" s="138" t="s">
        <v>132</v>
      </c>
      <c r="Q8" s="48"/>
      <c r="R8" s="187" t="s">
        <v>931</v>
      </c>
      <c r="S8" s="187" t="s">
        <v>1242</v>
      </c>
      <c r="T8" s="187" t="s">
        <v>131</v>
      </c>
      <c r="U8" s="187" t="s">
        <v>132</v>
      </c>
      <c r="V8" s="48"/>
      <c r="W8" s="167" t="s">
        <v>993</v>
      </c>
      <c r="X8" s="138" t="s">
        <v>1189</v>
      </c>
      <c r="Y8" s="138" t="s">
        <v>1188</v>
      </c>
      <c r="Z8" s="138" t="s">
        <v>1190</v>
      </c>
      <c r="AA8" s="48"/>
      <c r="AB8" s="48"/>
      <c r="AC8" s="48"/>
      <c r="AD8" s="48"/>
      <c r="AE8" s="48"/>
      <c r="AF8" s="48"/>
      <c r="AG8" s="138" t="s">
        <v>998</v>
      </c>
      <c r="AH8" s="138" t="s">
        <v>997</v>
      </c>
      <c r="AI8" s="138" t="s">
        <v>996</v>
      </c>
      <c r="AJ8" s="138">
        <v>1</v>
      </c>
      <c r="AK8" s="138">
        <v>2</v>
      </c>
      <c r="AL8" s="138">
        <v>3</v>
      </c>
      <c r="AM8" s="138">
        <v>4</v>
      </c>
      <c r="AN8" s="138">
        <v>5</v>
      </c>
      <c r="AO8" s="138" t="s">
        <v>621</v>
      </c>
      <c r="AP8" s="138" t="s">
        <v>160</v>
      </c>
      <c r="AQ8" s="138" t="s">
        <v>161</v>
      </c>
      <c r="AR8" s="138" t="s">
        <v>162</v>
      </c>
      <c r="AS8" s="138" t="s">
        <v>995</v>
      </c>
      <c r="AT8" s="48"/>
      <c r="AU8" s="48"/>
      <c r="AV8" s="48"/>
      <c r="AW8" s="48"/>
      <c r="AX8" s="160" t="s">
        <v>1003</v>
      </c>
      <c r="AY8" s="138" t="s">
        <v>131</v>
      </c>
      <c r="AZ8" s="138" t="s">
        <v>132</v>
      </c>
      <c r="BA8" s="48"/>
      <c r="BB8" s="160" t="s">
        <v>1004</v>
      </c>
      <c r="BC8" s="138" t="s">
        <v>131</v>
      </c>
      <c r="BD8" s="138" t="s">
        <v>132</v>
      </c>
      <c r="BE8" s="48"/>
      <c r="BF8" s="48"/>
      <c r="BG8" s="160" t="s">
        <v>1005</v>
      </c>
      <c r="BH8" s="138" t="s">
        <v>131</v>
      </c>
      <c r="BI8" s="138" t="s">
        <v>132</v>
      </c>
      <c r="BJ8" s="48"/>
      <c r="BK8" s="48"/>
      <c r="BL8" s="160" t="s">
        <v>1006</v>
      </c>
      <c r="BM8" s="138" t="s">
        <v>131</v>
      </c>
      <c r="BN8" s="138" t="s">
        <v>132</v>
      </c>
      <c r="BO8" s="48"/>
      <c r="BP8" s="48"/>
      <c r="BQ8" s="137" t="s">
        <v>1349</v>
      </c>
      <c r="BR8" s="138" t="s">
        <v>131</v>
      </c>
      <c r="BS8" s="138" t="s">
        <v>132</v>
      </c>
      <c r="BT8" s="48"/>
      <c r="BU8" s="187" t="s">
        <v>931</v>
      </c>
      <c r="BV8" s="194" t="s">
        <v>1349</v>
      </c>
      <c r="BW8" s="187" t="s">
        <v>131</v>
      </c>
      <c r="BX8" s="187" t="s">
        <v>132</v>
      </c>
      <c r="BY8" s="48"/>
      <c r="BZ8" s="138" t="s">
        <v>998</v>
      </c>
      <c r="CA8" s="160" t="s">
        <v>1264</v>
      </c>
      <c r="CB8" s="138">
        <v>1</v>
      </c>
      <c r="CC8" s="138">
        <v>2</v>
      </c>
      <c r="CD8" s="138">
        <v>3</v>
      </c>
      <c r="CE8" s="138">
        <v>4</v>
      </c>
      <c r="CF8" s="138">
        <v>5</v>
      </c>
      <c r="CG8" s="138" t="s">
        <v>621</v>
      </c>
      <c r="CH8" s="138" t="s">
        <v>160</v>
      </c>
      <c r="CI8" s="138" t="s">
        <v>161</v>
      </c>
      <c r="CJ8" s="138" t="s">
        <v>162</v>
      </c>
      <c r="CK8" s="138" t="s">
        <v>995</v>
      </c>
      <c r="CL8" s="48"/>
      <c r="CM8" s="138" t="s">
        <v>998</v>
      </c>
      <c r="CN8" s="185" t="s">
        <v>1265</v>
      </c>
      <c r="CO8" s="138">
        <v>1</v>
      </c>
      <c r="CP8" s="138">
        <v>2</v>
      </c>
      <c r="CQ8" s="138">
        <v>3</v>
      </c>
      <c r="CR8" s="138">
        <v>4</v>
      </c>
      <c r="CS8" s="138">
        <v>5</v>
      </c>
      <c r="CT8" s="138" t="s">
        <v>621</v>
      </c>
      <c r="CU8" s="138" t="s">
        <v>160</v>
      </c>
      <c r="CV8" s="138" t="s">
        <v>161</v>
      </c>
      <c r="CW8" s="138" t="s">
        <v>162</v>
      </c>
      <c r="CX8" s="138" t="s">
        <v>995</v>
      </c>
      <c r="CY8" s="48"/>
      <c r="CZ8" s="160" t="s">
        <v>1007</v>
      </c>
      <c r="DA8" s="138" t="s">
        <v>131</v>
      </c>
      <c r="DB8" s="138" t="s">
        <v>132</v>
      </c>
      <c r="DC8" s="48"/>
      <c r="DD8" s="48"/>
      <c r="DE8" s="48"/>
      <c r="DF8" s="48"/>
      <c r="DG8" s="160" t="s">
        <v>1030</v>
      </c>
      <c r="DH8" s="138" t="s">
        <v>131</v>
      </c>
      <c r="DI8" s="138" t="s">
        <v>132</v>
      </c>
      <c r="DJ8" s="48"/>
      <c r="DK8" s="48"/>
      <c r="DL8" s="160" t="s">
        <v>1031</v>
      </c>
      <c r="DM8" s="138" t="s">
        <v>131</v>
      </c>
      <c r="DN8" s="138" t="s">
        <v>132</v>
      </c>
      <c r="DO8" s="48"/>
      <c r="DP8" s="48"/>
    </row>
    <row r="9" spans="1:120" x14ac:dyDescent="0.2">
      <c r="B9" s="48"/>
      <c r="C9" s="323"/>
      <c r="D9" s="48"/>
      <c r="E9" s="48"/>
      <c r="F9" s="60" t="str">
        <f>Tabulacao!CV4</f>
        <v>Sim</v>
      </c>
      <c r="G9" s="52">
        <f>Tabulacao!CW4</f>
        <v>55</v>
      </c>
      <c r="H9" s="53">
        <f>G9/SUM($G$9:$G$11)</f>
        <v>0.69620253164556967</v>
      </c>
      <c r="I9" s="48"/>
      <c r="J9" s="48"/>
      <c r="K9" s="48"/>
      <c r="L9" s="48"/>
      <c r="M9" s="52">
        <v>1</v>
      </c>
      <c r="N9" s="51" t="s">
        <v>388</v>
      </c>
      <c r="O9" s="70">
        <v>26</v>
      </c>
      <c r="P9" s="53">
        <f>O9/$O$95</f>
        <v>0.16993464052287582</v>
      </c>
      <c r="Q9" s="48"/>
      <c r="R9" s="52">
        <v>1</v>
      </c>
      <c r="S9" s="51" t="str">
        <f t="array" ref="S9">INDEX($N$103:$N$188,SMALL(IF($O$103:$O$188=T9,ROW($O$103:$O$188)-102),COUNTIF($T$9:T9,T9)))</f>
        <v>Engenheiro Civil</v>
      </c>
      <c r="T9" s="70">
        <f>IFERROR(LARGE($O$103:$O$188,R9),"-")</f>
        <v>14</v>
      </c>
      <c r="U9" s="53">
        <f>IFERROR(T9/$T$95,"-")</f>
        <v>0.60869565217391308</v>
      </c>
      <c r="V9" s="48"/>
      <c r="W9" s="60" t="str">
        <f>Tabulacao!DD4</f>
        <v>Média</v>
      </c>
      <c r="X9" s="99">
        <f>Tabulacao!DE4</f>
        <v>2845.6081081081079</v>
      </c>
      <c r="Y9" s="99">
        <f>'1Emp'!AG9</f>
        <v>1982.6707317073171</v>
      </c>
      <c r="Z9" s="53">
        <f t="shared" ref="Z9:Z15" si="0">(X9/Y9)-1</f>
        <v>0.43523988254857549</v>
      </c>
      <c r="AA9" s="48"/>
      <c r="AB9" s="48"/>
      <c r="AC9" s="48"/>
      <c r="AD9" s="48"/>
      <c r="AE9" s="48"/>
      <c r="AF9" s="48"/>
      <c r="AG9" s="82">
        <v>37</v>
      </c>
      <c r="AH9" s="275" t="s">
        <v>1273</v>
      </c>
      <c r="AI9" s="65" t="s">
        <v>35</v>
      </c>
      <c r="AJ9" s="169">
        <f>VLOOKUP(AJ$8,Tabulacao!$DG$3:$DI$15,2,0)</f>
        <v>23</v>
      </c>
      <c r="AK9" s="169">
        <f>VLOOKUP(AK$8,Tabulacao!$DG$3:$DI$15,2,0)</f>
        <v>27</v>
      </c>
      <c r="AL9" s="169">
        <f>VLOOKUP(AL$8,Tabulacao!$DG$3:$DI$15,2,0)</f>
        <v>64</v>
      </c>
      <c r="AM9" s="169">
        <f>VLOOKUP(AM$8,Tabulacao!$DG$3:$DI$15,2,0)</f>
        <v>26</v>
      </c>
      <c r="AN9" s="169">
        <f>VLOOKUP(AN$8,Tabulacao!$DG$3:$DI$15,2,0)</f>
        <v>17</v>
      </c>
      <c r="AO9" s="253">
        <f>SUM(AJ9:AN9)</f>
        <v>157</v>
      </c>
      <c r="AP9" s="170">
        <f>AP17</f>
        <v>2.9171974522292992</v>
      </c>
      <c r="AQ9" s="171">
        <f>AQ17</f>
        <v>3</v>
      </c>
      <c r="AR9" s="171">
        <f>AR17</f>
        <v>3</v>
      </c>
      <c r="AS9" s="172">
        <f>AS17</f>
        <v>0.39954113840220401</v>
      </c>
      <c r="AT9" s="48"/>
      <c r="AU9" s="86"/>
      <c r="AV9" s="48"/>
      <c r="AW9" s="48"/>
      <c r="AX9" s="60" t="str">
        <f>Tabulacao!DV5</f>
        <v>Não pude encontrar um emprego mais apropriado</v>
      </c>
      <c r="AY9" s="52">
        <f>Tabulacao!DW5</f>
        <v>31</v>
      </c>
      <c r="AZ9" s="53">
        <f>IFERROR(AY9/$AY$19,"-")</f>
        <v>0.47692307692307695</v>
      </c>
      <c r="BA9" s="48"/>
      <c r="BB9" s="60" t="str">
        <f>Tabulacao!DY4</f>
        <v>Até 20 horas</v>
      </c>
      <c r="BC9" s="52">
        <f>Tabulacao!DZ4</f>
        <v>15</v>
      </c>
      <c r="BD9" s="53">
        <f>IFERROR(BC9/SUM($BC$9:$BC$13),"-")</f>
        <v>9.5541401273885357E-2</v>
      </c>
      <c r="BE9" s="48"/>
      <c r="BF9" s="48"/>
      <c r="BG9" s="60" t="str">
        <f>Tabulacao!EB4</f>
        <v>Regime estatutário</v>
      </c>
      <c r="BH9" s="52">
        <f>Tabulacao!EC4</f>
        <v>37</v>
      </c>
      <c r="BI9" s="53">
        <f>IFERROR(BH9/SUM($BH$9:$BH$13),"-")</f>
        <v>0.2356687898089172</v>
      </c>
      <c r="BJ9" s="48"/>
      <c r="BK9" s="48"/>
      <c r="BL9" s="60" t="str">
        <f>Tabulacao!EH4</f>
        <v>Até 6 meses</v>
      </c>
      <c r="BM9" s="52">
        <f>Tabulacao!EI4</f>
        <v>19</v>
      </c>
      <c r="BN9" s="53">
        <f>BM9/$BM$13</f>
        <v>0.13194444444444445</v>
      </c>
      <c r="BO9" s="48"/>
      <c r="BP9" s="48"/>
      <c r="BQ9" s="60" t="str">
        <f>Tabulacao!EM3</f>
        <v>Aracaju</v>
      </c>
      <c r="BR9" s="52">
        <f>COUNTIF(Respostas_Formatadas!$BC:$BC,EmpAtual!BQ9)</f>
        <v>76</v>
      </c>
      <c r="BS9" s="53">
        <f>BR9/$BR$43</f>
        <v>0.53146853146853146</v>
      </c>
      <c r="BT9" s="48"/>
      <c r="BU9" s="52">
        <v>1</v>
      </c>
      <c r="BV9" s="60" t="str">
        <f t="array" ref="BV9">INDEX($BQ$49:$BQ$82,SMALL(IF($BR$49:$BR$82=BW9,ROW($BR$49:$BR$82)-48),COUNTIF($BW$9:BW9,BW9)))</f>
        <v>Aracaju</v>
      </c>
      <c r="BW9" s="52">
        <f>LARGE($BR$49:$BR$82,BU9)</f>
        <v>1</v>
      </c>
      <c r="BX9" s="53">
        <f>IFERROR(BW9/$BW$43,"-")</f>
        <v>0.2</v>
      </c>
      <c r="BY9" s="48"/>
      <c r="BZ9" s="82">
        <v>48</v>
      </c>
      <c r="CA9" s="65" t="s">
        <v>48</v>
      </c>
      <c r="CB9" s="169">
        <f>IFERROR(VLOOKUP(CB$25,Tabulacao!$EY$2:$FA$15,2,0),"-")</f>
        <v>19</v>
      </c>
      <c r="CC9" s="169">
        <f>IFERROR(VLOOKUP(CC$25,Tabulacao!$EY$2:$FA$15,2,0),"-")</f>
        <v>12</v>
      </c>
      <c r="CD9" s="169">
        <f>IFERROR(VLOOKUP(CD$25,Tabulacao!$EY$2:$FA$15,2,0),"-")</f>
        <v>20</v>
      </c>
      <c r="CE9" s="169">
        <f>IFERROR(VLOOKUP(CE$25,Tabulacao!$EY$2:$FA$15,2,0),"-")</f>
        <v>42</v>
      </c>
      <c r="CF9" s="169">
        <f>IFERROR(VLOOKUP(CF$25,Tabulacao!$EY$2:$FA$15,2,0),"-")</f>
        <v>64</v>
      </c>
      <c r="CG9" s="253">
        <f>SUM(CB9:CF9)</f>
        <v>157</v>
      </c>
      <c r="CH9" s="170">
        <f>IFERROR(VLOOKUP(CH$8,Tabulacao!$EY$2:$FA$15,2,0),"-")</f>
        <v>3.7643312101910826</v>
      </c>
      <c r="CI9" s="171">
        <f>IFERROR(VLOOKUP(CI$8,Tabulacao!$EY$2:$FA$15,2,0),"-")</f>
        <v>5</v>
      </c>
      <c r="CJ9" s="171">
        <f>IFERROR(VLOOKUP(CJ$8,Tabulacao!$EY$2:$FA$15,2,0),"-")</f>
        <v>4</v>
      </c>
      <c r="CK9" s="172">
        <f>IFERROR(VLOOKUP(CK$8,Tabulacao!$EY$2:$FA$15,2,0),"-")</f>
        <v>0.36486351192334981</v>
      </c>
      <c r="CL9" s="91"/>
      <c r="CM9" s="82">
        <v>61</v>
      </c>
      <c r="CN9" s="65" t="s">
        <v>48</v>
      </c>
      <c r="CO9" s="169">
        <f>IFERROR(VLOOKUP(CO$25,Tabulacao!$EY$2:$FA$15,2,0),"-")</f>
        <v>19</v>
      </c>
      <c r="CP9" s="169">
        <f>IFERROR(VLOOKUP(CP$25,Tabulacao!$EY$2:$FA$15,2,0),"-")</f>
        <v>12</v>
      </c>
      <c r="CQ9" s="169">
        <f>IFERROR(VLOOKUP(CQ$25,Tabulacao!$EY$2:$FA$15,2,0),"-")</f>
        <v>20</v>
      </c>
      <c r="CR9" s="169">
        <f>IFERROR(VLOOKUP(CR$25,Tabulacao!$EY$2:$FA$15,2,0),"-")</f>
        <v>42</v>
      </c>
      <c r="CS9" s="169">
        <f>IFERROR(VLOOKUP(CS$25,Tabulacao!$EY$2:$FA$15,2,0),"-")</f>
        <v>64</v>
      </c>
      <c r="CT9" s="169">
        <f>SUM(CO9:CS9)</f>
        <v>157</v>
      </c>
      <c r="CU9" s="170">
        <f>IFERROR(VLOOKUP(CU$8,Tabulacao!$EY$2:$FA$15,2,0),"-")</f>
        <v>3.7643312101910826</v>
      </c>
      <c r="CV9" s="171">
        <f>IFERROR(VLOOKUP(CV$8,Tabulacao!$EY$2:$FA$15,2,0),"-")</f>
        <v>5</v>
      </c>
      <c r="CW9" s="171">
        <f>IFERROR(VLOOKUP(CW$8,Tabulacao!$EY$2:$FA$15,2,0),"-")</f>
        <v>4</v>
      </c>
      <c r="CX9" s="172">
        <f>IFERROR(VLOOKUP(CX$8,Tabulacao!$EY$2:$FA$15,2,0),"-")</f>
        <v>0.36486351192334981</v>
      </c>
      <c r="CY9" s="48"/>
      <c r="CZ9" s="60">
        <f>Tabulacao!HY4</f>
        <v>1</v>
      </c>
      <c r="DA9" s="52">
        <f>Tabulacao!HZ4</f>
        <v>32</v>
      </c>
      <c r="DB9" s="53">
        <f>IFERROR(DA9/$DA$14,"-")</f>
        <v>0.11808118081180811</v>
      </c>
      <c r="DC9" s="48"/>
      <c r="DD9" s="48"/>
      <c r="DE9" s="48"/>
      <c r="DF9" s="48"/>
      <c r="DG9" s="60" t="str">
        <f>Tabulacao!IB4</f>
        <v>Baixa demanda do mercado para minha área de atuação</v>
      </c>
      <c r="DH9" s="52">
        <f>Tabulacao!IC4</f>
        <v>152</v>
      </c>
      <c r="DI9" s="53">
        <f t="shared" ref="DI9:DI19" si="1">DH9/$DH$20</f>
        <v>0.56088560885608851</v>
      </c>
      <c r="DJ9" s="48"/>
      <c r="DK9" s="48"/>
      <c r="DL9" s="60" t="str">
        <f>Tabulacao!IE4</f>
        <v>Alta demanda do mercado para minha área de atuação</v>
      </c>
      <c r="DM9" s="52">
        <f>Tabulacao!IF4</f>
        <v>26</v>
      </c>
      <c r="DN9" s="53">
        <f t="shared" ref="DN9:DN20" si="2">DM9/$DM$21</f>
        <v>9.5940959409594101E-2</v>
      </c>
      <c r="DO9" s="48"/>
      <c r="DP9" s="48"/>
    </row>
    <row r="10" spans="1:120" x14ac:dyDescent="0.2">
      <c r="B10" s="48"/>
      <c r="C10" s="323"/>
      <c r="D10" s="48"/>
      <c r="E10" s="48"/>
      <c r="F10" s="60" t="str">
        <f>Tabulacao!CV5</f>
        <v>Sim, em mais de um.</v>
      </c>
      <c r="G10" s="52">
        <f>Tabulacao!CW5</f>
        <v>7</v>
      </c>
      <c r="H10" s="53">
        <f>G10/SUM($G$9:$G$11)</f>
        <v>8.8607594936708861E-2</v>
      </c>
      <c r="I10" s="48"/>
      <c r="J10" s="48"/>
      <c r="K10" s="48"/>
      <c r="L10" s="48"/>
      <c r="M10" s="52">
        <v>2</v>
      </c>
      <c r="N10" s="51" t="s">
        <v>424</v>
      </c>
      <c r="O10" s="70">
        <v>14</v>
      </c>
      <c r="P10" s="53">
        <f t="shared" ref="P10:P73" si="3">O10/$O$95</f>
        <v>9.1503267973856203E-2</v>
      </c>
      <c r="Q10" s="48"/>
      <c r="R10" s="52">
        <v>2</v>
      </c>
      <c r="S10" s="51" t="str">
        <f t="array" ref="S10">INDEX($N$103:$N$188,SMALL(IF($O$103:$O$188=T10,ROW($O$103:$O$188)-102),COUNTIF($T$9:T10,T10)))</f>
        <v>Professor</v>
      </c>
      <c r="T10" s="70">
        <f t="shared" ref="T10:T73" si="4">IFERROR(LARGE($O$103:$O$188,R10),"-")</f>
        <v>1</v>
      </c>
      <c r="U10" s="53">
        <f t="shared" ref="U10:U73" si="5">IFERROR(T10/$T$95,"-")</f>
        <v>4.3478260869565216E-2</v>
      </c>
      <c r="V10" s="48"/>
      <c r="W10" s="60" t="s">
        <v>975</v>
      </c>
      <c r="X10" s="68">
        <f>MAX(Respostas_Formatadas!$AQ$3:$AQ$273)</f>
        <v>26100</v>
      </c>
      <c r="Y10" s="68">
        <f>'1Emp'!AG10</f>
        <v>21350</v>
      </c>
      <c r="Z10" s="53">
        <f t="shared" si="0"/>
        <v>0.22248243559718972</v>
      </c>
      <c r="AA10" s="48"/>
      <c r="AB10" s="48"/>
      <c r="AC10" s="48"/>
      <c r="AD10" s="48"/>
      <c r="AE10" s="48"/>
      <c r="AF10" s="48"/>
      <c r="AG10" s="81">
        <v>38</v>
      </c>
      <c r="AH10" s="70" t="s">
        <v>1274</v>
      </c>
      <c r="AI10" s="51" t="s">
        <v>36</v>
      </c>
      <c r="AJ10" s="120">
        <f>VLOOKUP(AJ$8,Tabulacao!$DJ$3:$DL$15,2,0)</f>
        <v>19</v>
      </c>
      <c r="AK10" s="120">
        <f>VLOOKUP(AK$8,Tabulacao!$DJ$3:$DL$15,2,0)</f>
        <v>18</v>
      </c>
      <c r="AL10" s="120">
        <f>VLOOKUP(AL$8,Tabulacao!$DJ$3:$DL$15,2,0)</f>
        <v>35</v>
      </c>
      <c r="AM10" s="120">
        <f>VLOOKUP(AM$8,Tabulacao!$DJ$3:$DL$15,2,0)</f>
        <v>32</v>
      </c>
      <c r="AN10" s="120">
        <f>VLOOKUP(AN$8,Tabulacao!$DJ$3:$DL$15,2,0)</f>
        <v>53</v>
      </c>
      <c r="AO10" s="276">
        <f t="shared" ref="AO10:AO13" si="6">SUM(AJ10:AN10)</f>
        <v>157</v>
      </c>
      <c r="AP10" s="173">
        <f t="shared" ref="AP10:AS13" si="7">AP18</f>
        <v>3.5222929936305731</v>
      </c>
      <c r="AQ10" s="122">
        <f t="shared" si="7"/>
        <v>5</v>
      </c>
      <c r="AR10" s="120">
        <f t="shared" si="7"/>
        <v>4</v>
      </c>
      <c r="AS10" s="174">
        <f t="shared" si="7"/>
        <v>0.39052584624846509</v>
      </c>
      <c r="AT10" s="48"/>
      <c r="AU10" s="48"/>
      <c r="AV10" s="48"/>
      <c r="AW10" s="48"/>
      <c r="AX10" s="60" t="str">
        <f>Tabulacao!DV6</f>
        <v>Tenho melhores oportunidades de carreira ocupando este emprego</v>
      </c>
      <c r="AY10" s="52">
        <f>Tabulacao!DW6</f>
        <v>9</v>
      </c>
      <c r="AZ10" s="53">
        <f t="shared" ref="AZ10:AZ18" si="8">IFERROR(AY10/$AY$19,"-")</f>
        <v>0.13846153846153847</v>
      </c>
      <c r="BA10" s="48"/>
      <c r="BB10" s="60" t="str">
        <f>Tabulacao!DY5</f>
        <v>De 21 a 30 horas</v>
      </c>
      <c r="BC10" s="52">
        <f>Tabulacao!DZ5</f>
        <v>30</v>
      </c>
      <c r="BD10" s="53">
        <f>IFERROR(BC10/SUM($BC$9:$BC$13),"-")</f>
        <v>0.19108280254777071</v>
      </c>
      <c r="BE10" s="48"/>
      <c r="BF10" s="48"/>
      <c r="BG10" s="60" t="str">
        <f>Tabulacao!EB5</f>
        <v>Contrato temporário</v>
      </c>
      <c r="BH10" s="52">
        <f>Tabulacao!EC5</f>
        <v>17</v>
      </c>
      <c r="BI10" s="53">
        <f>IFERROR(BH10/SUM($BH$9:$BH$13),"-")</f>
        <v>0.10828025477707007</v>
      </c>
      <c r="BJ10" s="48"/>
      <c r="BK10" s="48"/>
      <c r="BL10" s="60" t="str">
        <f>Tabulacao!EH5</f>
        <v>Entre 6 meses e 1 ano</v>
      </c>
      <c r="BM10" s="52">
        <f>Tabulacao!EI5</f>
        <v>20</v>
      </c>
      <c r="BN10" s="53">
        <f t="shared" ref="BN10:BN12" si="9">BM10/$BM$13</f>
        <v>0.1388888888888889</v>
      </c>
      <c r="BO10" s="48"/>
      <c r="BP10" s="48"/>
      <c r="BQ10" s="60" t="str">
        <f>Tabulacao!EM4</f>
        <v>Nossa Senhora da Glória</v>
      </c>
      <c r="BR10" s="52">
        <f>COUNTIF(Respostas_Formatadas!$BC:$BC,EmpAtual!BQ10)</f>
        <v>10</v>
      </c>
      <c r="BS10" s="53">
        <f t="shared" ref="BS10:BS42" si="10">BR10/$BR$43</f>
        <v>6.9930069930069935E-2</v>
      </c>
      <c r="BT10" s="48"/>
      <c r="BU10" s="52">
        <v>2</v>
      </c>
      <c r="BV10" s="60" t="str">
        <f t="array" ref="BV10">INDEX($BQ$49:$BQ$82,SMALL(IF($BR$49:$BR$82=BW10,ROW($BR$49:$BR$82)-48),COUNTIF($BW$9:BW10,BW10)))</f>
        <v>Estância</v>
      </c>
      <c r="BW10" s="52">
        <f t="shared" ref="BW10:BW42" si="11">LARGE($BR$49:$BR$82,BU10)</f>
        <v>1</v>
      </c>
      <c r="BX10" s="53">
        <f t="shared" ref="BX10:BX42" si="12">IFERROR(BW10/$BW$43,"-")</f>
        <v>0.2</v>
      </c>
      <c r="BY10" s="48"/>
      <c r="BZ10" s="81">
        <v>49</v>
      </c>
      <c r="CA10" s="51" t="s">
        <v>49</v>
      </c>
      <c r="CB10" s="120">
        <f>IFERROR(VLOOKUP(CB$25,Tabulacao!$FB$2:$FD$15,2,0),"-")</f>
        <v>13</v>
      </c>
      <c r="CC10" s="120">
        <f>IFERROR(VLOOKUP(CC$25,Tabulacao!$FB$2:$FD$15,2,0),"-")</f>
        <v>10</v>
      </c>
      <c r="CD10" s="120">
        <f>IFERROR(VLOOKUP(CD$25,Tabulacao!$FB$2:$FD$15,2,0),"-")</f>
        <v>48</v>
      </c>
      <c r="CE10" s="120">
        <f>IFERROR(VLOOKUP(CE$25,Tabulacao!$FB$2:$FD$15,2,0),"-")</f>
        <v>56</v>
      </c>
      <c r="CF10" s="120">
        <f>IFERROR(VLOOKUP(CF$25,Tabulacao!$FB$2:$FD$15,2,0),"-")</f>
        <v>30</v>
      </c>
      <c r="CG10" s="276">
        <f t="shared" ref="CG10:CG21" si="13">SUM(CB10:CF10)</f>
        <v>157</v>
      </c>
      <c r="CH10" s="173">
        <f>IFERROR(VLOOKUP(CH$8,Tabulacao!$FB$2:$FD$15,2,0),"-")</f>
        <v>3.5095541401273884</v>
      </c>
      <c r="CI10" s="122">
        <f>IFERROR(VLOOKUP(CI$8,Tabulacao!$FB$2:$FD$15,2,0),"-")</f>
        <v>4</v>
      </c>
      <c r="CJ10" s="122">
        <f>IFERROR(VLOOKUP(CJ$8,Tabulacao!$FB$2:$FD$15,2,0),"-")</f>
        <v>4</v>
      </c>
      <c r="CK10" s="176">
        <f>IFERROR(VLOOKUP(CK$8,Tabulacao!$FB$2:$FD$15,2,0),"-")</f>
        <v>0.32038965360930044</v>
      </c>
      <c r="CL10" s="91"/>
      <c r="CM10" s="81">
        <v>62</v>
      </c>
      <c r="CN10" s="51" t="s">
        <v>49</v>
      </c>
      <c r="CO10" s="120">
        <f>IFERROR(VLOOKUP(CO$25,Tabulacao!$FB$2:$FD$15,2,0),"-")</f>
        <v>13</v>
      </c>
      <c r="CP10" s="120">
        <f>IFERROR(VLOOKUP(CP$25,Tabulacao!$FB$2:$FD$15,2,0),"-")</f>
        <v>10</v>
      </c>
      <c r="CQ10" s="120">
        <f>IFERROR(VLOOKUP(CQ$25,Tabulacao!$FB$2:$FD$15,2,0),"-")</f>
        <v>48</v>
      </c>
      <c r="CR10" s="120">
        <f>IFERROR(VLOOKUP(CR$25,Tabulacao!$FB$2:$FD$15,2,0),"-")</f>
        <v>56</v>
      </c>
      <c r="CS10" s="120">
        <f>IFERROR(VLOOKUP(CS$25,Tabulacao!$FB$2:$FD$15,2,0),"-")</f>
        <v>30</v>
      </c>
      <c r="CT10" s="120">
        <f t="shared" ref="CT10:CT21" si="14">SUM(CO10:CS10)</f>
        <v>157</v>
      </c>
      <c r="CU10" s="173">
        <f>IFERROR(VLOOKUP(CU$8,Tabulacao!$FB$2:$FD$15,2,0),"-")</f>
        <v>3.5095541401273884</v>
      </c>
      <c r="CV10" s="122">
        <f>IFERROR(VLOOKUP(CV$8,Tabulacao!$FB$2:$FD$15,2,0),"-")</f>
        <v>4</v>
      </c>
      <c r="CW10" s="122">
        <f>IFERROR(VLOOKUP(CW$8,Tabulacao!$FB$2:$FD$15,2,0),"-")</f>
        <v>4</v>
      </c>
      <c r="CX10" s="176">
        <f>IFERROR(VLOOKUP(CX$8,Tabulacao!$FB$2:$FD$15,2,0),"-")</f>
        <v>0.32038965360930044</v>
      </c>
      <c r="CY10" s="48"/>
      <c r="CZ10" s="60">
        <f>Tabulacao!HY5</f>
        <v>2</v>
      </c>
      <c r="DA10" s="52">
        <f>Tabulacao!HZ5</f>
        <v>45</v>
      </c>
      <c r="DB10" s="53">
        <f t="shared" ref="DB10:DB13" si="15">IFERROR(DA10/$DA$14,"-")</f>
        <v>0.16605166051660517</v>
      </c>
      <c r="DC10" s="48"/>
      <c r="DD10" s="48"/>
      <c r="DE10" s="48"/>
      <c r="DF10" s="48"/>
      <c r="DG10" s="60" t="str">
        <f>Tabulacao!IB5</f>
        <v>Má reputação do IFS</v>
      </c>
      <c r="DH10" s="52">
        <f>Tabulacao!IC5</f>
        <v>2</v>
      </c>
      <c r="DI10" s="53">
        <f t="shared" si="1"/>
        <v>7.3800738007380072E-3</v>
      </c>
      <c r="DJ10" s="48"/>
      <c r="DK10" s="48"/>
      <c r="DL10" s="60" t="str">
        <f>Tabulacao!IE5</f>
        <v>Boa reputação do IFS</v>
      </c>
      <c r="DM10" s="52">
        <f>Tabulacao!IF5</f>
        <v>108</v>
      </c>
      <c r="DN10" s="53">
        <f t="shared" si="2"/>
        <v>0.39852398523985239</v>
      </c>
      <c r="DO10" s="48"/>
      <c r="DP10" s="48"/>
    </row>
    <row r="11" spans="1:120" x14ac:dyDescent="0.2">
      <c r="B11" s="48"/>
      <c r="C11" s="323"/>
      <c r="D11" s="48"/>
      <c r="E11" s="48"/>
      <c r="F11" s="60" t="str">
        <f>Tabulacao!CV6</f>
        <v>Não</v>
      </c>
      <c r="G11" s="52">
        <f>Tabulacao!CW6</f>
        <v>17</v>
      </c>
      <c r="H11" s="53">
        <f>G11/SUM($G$9:$G$11)</f>
        <v>0.21518987341772153</v>
      </c>
      <c r="I11" s="48"/>
      <c r="J11" s="48"/>
      <c r="K11" s="48"/>
      <c r="L11" s="48"/>
      <c r="M11" s="52">
        <v>3</v>
      </c>
      <c r="N11" s="51" t="s">
        <v>298</v>
      </c>
      <c r="O11" s="70">
        <v>5</v>
      </c>
      <c r="P11" s="53">
        <f t="shared" si="3"/>
        <v>3.2679738562091505E-2</v>
      </c>
      <c r="Q11" s="48"/>
      <c r="R11" s="52">
        <v>3</v>
      </c>
      <c r="S11" s="51" t="str">
        <f t="array" ref="S11">INDEX($N$103:$N$188,SMALL(IF($O$103:$O$188=T11,ROW($O$103:$O$188)-102),COUNTIF($T$9:T11,T11)))</f>
        <v>Entrevistador</v>
      </c>
      <c r="T11" s="70">
        <f t="shared" si="4"/>
        <v>1</v>
      </c>
      <c r="U11" s="53">
        <f t="shared" si="5"/>
        <v>4.3478260869565216E-2</v>
      </c>
      <c r="V11" s="48"/>
      <c r="W11" s="60" t="s">
        <v>976</v>
      </c>
      <c r="X11" s="68">
        <f>MIN(Respostas_Formatadas!$AQ$3:$AQ$273)</f>
        <v>600</v>
      </c>
      <c r="Y11" s="68">
        <f>'1Emp'!AG11</f>
        <v>400</v>
      </c>
      <c r="Z11" s="53">
        <f t="shared" si="0"/>
        <v>0.5</v>
      </c>
      <c r="AA11" s="48"/>
      <c r="AB11" s="48"/>
      <c r="AC11" s="48"/>
      <c r="AD11" s="48"/>
      <c r="AE11" s="48"/>
      <c r="AF11" s="48"/>
      <c r="AG11" s="82">
        <v>39</v>
      </c>
      <c r="AH11" s="275" t="s">
        <v>1274</v>
      </c>
      <c r="AI11" s="65" t="s">
        <v>37</v>
      </c>
      <c r="AJ11" s="169">
        <f>VLOOKUP(AJ$8,Tabulacao!$DM$3:$DO$15,2,0)</f>
        <v>30</v>
      </c>
      <c r="AK11" s="169">
        <f>VLOOKUP(AK$8,Tabulacao!$DM$3:$DO$15,2,0)</f>
        <v>24</v>
      </c>
      <c r="AL11" s="169">
        <f>VLOOKUP(AL$8,Tabulacao!$DM$3:$DO$15,2,0)</f>
        <v>51</v>
      </c>
      <c r="AM11" s="169">
        <f>VLOOKUP(AM$8,Tabulacao!$DM$3:$DO$15,2,0)</f>
        <v>24</v>
      </c>
      <c r="AN11" s="169">
        <f>VLOOKUP(AN$8,Tabulacao!$DM$3:$DO$15,2,0)</f>
        <v>28</v>
      </c>
      <c r="AO11" s="253">
        <f t="shared" si="6"/>
        <v>157</v>
      </c>
      <c r="AP11" s="170">
        <f t="shared" si="7"/>
        <v>2.9745222929936306</v>
      </c>
      <c r="AQ11" s="171">
        <f t="shared" si="7"/>
        <v>3</v>
      </c>
      <c r="AR11" s="169">
        <f t="shared" si="7"/>
        <v>3</v>
      </c>
      <c r="AS11" s="175">
        <f t="shared" si="7"/>
        <v>0.45031917443724362</v>
      </c>
      <c r="AT11" s="48"/>
      <c r="AU11" s="48"/>
      <c r="AV11" s="48"/>
      <c r="AW11" s="48"/>
      <c r="AX11" s="60" t="str">
        <f>Tabulacao!DV7</f>
        <v>Prefiro um emprego que não esteja intimamente relacionado com os meus estudos</v>
      </c>
      <c r="AY11" s="52">
        <f>Tabulacao!DW7</f>
        <v>0</v>
      </c>
      <c r="AZ11" s="53">
        <f t="shared" si="8"/>
        <v>0</v>
      </c>
      <c r="BA11" s="48"/>
      <c r="BB11" s="60" t="str">
        <f>Tabulacao!DY6</f>
        <v>De 31 a 39 horas</v>
      </c>
      <c r="BC11" s="52">
        <f>Tabulacao!DZ6</f>
        <v>14</v>
      </c>
      <c r="BD11" s="53">
        <f>IFERROR(BC11/SUM($BC$9:$BC$13),"-")</f>
        <v>8.9171974522292988E-2</v>
      </c>
      <c r="BE11" s="48"/>
      <c r="BF11" s="48"/>
      <c r="BG11" s="60" t="str">
        <f>Tabulacao!EB6</f>
        <v>Contrato CLT por tempo indeterminado</v>
      </c>
      <c r="BH11" s="52">
        <f>Tabulacao!EC6</f>
        <v>81</v>
      </c>
      <c r="BI11" s="53">
        <f>IFERROR(BH11/SUM($BH$9:$BH$13),"-")</f>
        <v>0.51592356687898089</v>
      </c>
      <c r="BJ11" s="48"/>
      <c r="BK11" s="48"/>
      <c r="BL11" s="60" t="str">
        <f>Tabulacao!EH6</f>
        <v>Entre 1 e 2 anos</v>
      </c>
      <c r="BM11" s="52">
        <f>Tabulacao!EI6</f>
        <v>23</v>
      </c>
      <c r="BN11" s="53">
        <f t="shared" si="9"/>
        <v>0.15972222222222221</v>
      </c>
      <c r="BO11" s="48"/>
      <c r="BP11" s="48"/>
      <c r="BQ11" s="60" t="str">
        <f>Tabulacao!EM5</f>
        <v>Lagarto</v>
      </c>
      <c r="BR11" s="52">
        <f>COUNTIF(Respostas_Formatadas!$BC:$BC,EmpAtual!BQ11)</f>
        <v>9</v>
      </c>
      <c r="BS11" s="53">
        <f t="shared" si="10"/>
        <v>6.2937062937062943E-2</v>
      </c>
      <c r="BT11" s="48"/>
      <c r="BU11" s="52">
        <v>3</v>
      </c>
      <c r="BV11" s="60" t="str">
        <f t="array" ref="BV11">INDEX($BQ$49:$BQ$82,SMALL(IF($BR$49:$BR$82=BW11,ROW($BR$49:$BR$82)-48),COUNTIF($BW$9:BW11,BW11)))</f>
        <v>Simão Dias</v>
      </c>
      <c r="BW11" s="52">
        <f t="shared" si="11"/>
        <v>1</v>
      </c>
      <c r="BX11" s="53">
        <f t="shared" si="12"/>
        <v>0.2</v>
      </c>
      <c r="BY11" s="48"/>
      <c r="BZ11" s="82">
        <v>50</v>
      </c>
      <c r="CA11" s="65" t="s">
        <v>50</v>
      </c>
      <c r="CB11" s="169">
        <f>IFERROR(VLOOKUP(CB$25,Tabulacao!$FE$2:$FG$15,2,0),"-")</f>
        <v>2</v>
      </c>
      <c r="CC11" s="169">
        <f>IFERROR(VLOOKUP(CC$25,Tabulacao!$FE$2:$FG$15,2,0),"-")</f>
        <v>10</v>
      </c>
      <c r="CD11" s="169">
        <f>IFERROR(VLOOKUP(CD$25,Tabulacao!$FE$2:$FG$15,2,0),"-")</f>
        <v>29</v>
      </c>
      <c r="CE11" s="169">
        <f>IFERROR(VLOOKUP(CE$25,Tabulacao!$FE$2:$FG$15,2,0),"-")</f>
        <v>54</v>
      </c>
      <c r="CF11" s="169">
        <f>IFERROR(VLOOKUP(CF$25,Tabulacao!$FE$2:$FG$15,2,0),"-")</f>
        <v>62</v>
      </c>
      <c r="CG11" s="253">
        <f t="shared" si="13"/>
        <v>157</v>
      </c>
      <c r="CH11" s="170">
        <f>IFERROR(VLOOKUP(CH$8,Tabulacao!$FE$2:$FG$15,2,0),"-")</f>
        <v>4.0445859872611463</v>
      </c>
      <c r="CI11" s="171">
        <f>IFERROR(VLOOKUP(CI$8,Tabulacao!$FE$2:$FG$15,2,0),"-")</f>
        <v>5</v>
      </c>
      <c r="CJ11" s="171">
        <f>IFERROR(VLOOKUP(CJ$8,Tabulacao!$FE$2:$FG$15,2,0),"-")</f>
        <v>4</v>
      </c>
      <c r="CK11" s="172">
        <f>IFERROR(VLOOKUP(CK$8,Tabulacao!$FE$2:$FG$15,2,0),"-")</f>
        <v>0.24138008673517852</v>
      </c>
      <c r="CL11" s="91"/>
      <c r="CM11" s="82">
        <v>63</v>
      </c>
      <c r="CN11" s="65" t="s">
        <v>50</v>
      </c>
      <c r="CO11" s="169">
        <f>IFERROR(VLOOKUP(CO$25,Tabulacao!$FE$2:$FG$15,2,0),"-")</f>
        <v>2</v>
      </c>
      <c r="CP11" s="169">
        <f>IFERROR(VLOOKUP(CP$25,Tabulacao!$FE$2:$FG$15,2,0),"-")</f>
        <v>10</v>
      </c>
      <c r="CQ11" s="169">
        <f>IFERROR(VLOOKUP(CQ$25,Tabulacao!$FE$2:$FG$15,2,0),"-")</f>
        <v>29</v>
      </c>
      <c r="CR11" s="169">
        <f>IFERROR(VLOOKUP(CR$25,Tabulacao!$FE$2:$FG$15,2,0),"-")</f>
        <v>54</v>
      </c>
      <c r="CS11" s="169">
        <f>IFERROR(VLOOKUP(CS$25,Tabulacao!$FE$2:$FG$15,2,0),"-")</f>
        <v>62</v>
      </c>
      <c r="CT11" s="169">
        <f t="shared" si="14"/>
        <v>157</v>
      </c>
      <c r="CU11" s="170">
        <f>IFERROR(VLOOKUP(CU$8,Tabulacao!$FE$2:$FG$15,2,0),"-")</f>
        <v>4.0445859872611463</v>
      </c>
      <c r="CV11" s="171">
        <f>IFERROR(VLOOKUP(CV$8,Tabulacao!$FE$2:$FG$15,2,0),"-")</f>
        <v>5</v>
      </c>
      <c r="CW11" s="171">
        <f>IFERROR(VLOOKUP(CW$8,Tabulacao!$FE$2:$FG$15,2,0),"-")</f>
        <v>4</v>
      </c>
      <c r="CX11" s="172">
        <f>IFERROR(VLOOKUP(CX$8,Tabulacao!$FE$2:$FG$15,2,0),"-")</f>
        <v>0.24138008673517852</v>
      </c>
      <c r="CY11" s="48"/>
      <c r="CZ11" s="60">
        <f>Tabulacao!HY6</f>
        <v>3</v>
      </c>
      <c r="DA11" s="52">
        <f>Tabulacao!HZ6</f>
        <v>75</v>
      </c>
      <c r="DB11" s="53">
        <f t="shared" si="15"/>
        <v>0.2767527675276753</v>
      </c>
      <c r="DC11" s="48"/>
      <c r="DD11" s="48"/>
      <c r="DE11" s="48"/>
      <c r="DF11" s="48"/>
      <c r="DG11" s="60" t="str">
        <f>Tabulacao!IB6</f>
        <v>Concorrentes mais preparados</v>
      </c>
      <c r="DH11" s="52">
        <f>Tabulacao!IC6</f>
        <v>20</v>
      </c>
      <c r="DI11" s="53">
        <f t="shared" si="1"/>
        <v>7.3800738007380073E-2</v>
      </c>
      <c r="DJ11" s="48"/>
      <c r="DK11" s="48"/>
      <c r="DL11" s="60" t="str">
        <f>Tabulacao!IE6</f>
        <v>Concorrentes menos preparados</v>
      </c>
      <c r="DM11" s="52">
        <f>Tabulacao!IF6</f>
        <v>67</v>
      </c>
      <c r="DN11" s="53">
        <f t="shared" si="2"/>
        <v>0.24723247232472326</v>
      </c>
      <c r="DO11" s="48"/>
      <c r="DP11" s="48"/>
    </row>
    <row r="12" spans="1:120" x14ac:dyDescent="0.2">
      <c r="B12" s="48"/>
      <c r="C12" s="323"/>
      <c r="D12" s="48"/>
      <c r="E12" s="48"/>
      <c r="F12" s="93" t="s">
        <v>621</v>
      </c>
      <c r="G12" s="94">
        <f>SUM(G9:G11)</f>
        <v>79</v>
      </c>
      <c r="H12" s="95">
        <f>SUM(H9:H11)</f>
        <v>1</v>
      </c>
      <c r="I12" s="48"/>
      <c r="J12" s="48"/>
      <c r="K12" s="48"/>
      <c r="L12" s="48"/>
      <c r="M12" s="52">
        <v>4</v>
      </c>
      <c r="N12" s="51" t="s">
        <v>530</v>
      </c>
      <c r="O12" s="70">
        <v>5</v>
      </c>
      <c r="P12" s="53">
        <f t="shared" si="3"/>
        <v>3.2679738562091505E-2</v>
      </c>
      <c r="Q12" s="48"/>
      <c r="R12" s="52">
        <v>4</v>
      </c>
      <c r="S12" s="51" t="str">
        <f t="array" ref="S12">INDEX($N$103:$N$188,SMALL(IF($O$103:$O$188=T12,ROW($O$103:$O$188)-102),COUNTIF($T$9:T12,T12)))</f>
        <v>Assistente de Gestão Operacional</v>
      </c>
      <c r="T12" s="70">
        <f t="shared" si="4"/>
        <v>1</v>
      </c>
      <c r="U12" s="53">
        <f t="shared" si="5"/>
        <v>4.3478260869565216E-2</v>
      </c>
      <c r="V12" s="48"/>
      <c r="W12" s="60" t="str">
        <f>Tabulacao!DD7</f>
        <v>Moda</v>
      </c>
      <c r="X12" s="68">
        <f>Tabulacao!DE7</f>
        <v>1500</v>
      </c>
      <c r="Y12" s="68">
        <f>'1Emp'!AG12</f>
        <v>1500</v>
      </c>
      <c r="Z12" s="53">
        <f t="shared" si="0"/>
        <v>0</v>
      </c>
      <c r="AA12" s="48"/>
      <c r="AB12" s="48"/>
      <c r="AC12" s="48"/>
      <c r="AD12" s="48"/>
      <c r="AE12" s="48"/>
      <c r="AF12" s="48"/>
      <c r="AG12" s="81">
        <v>40</v>
      </c>
      <c r="AH12" s="70" t="s">
        <v>1275</v>
      </c>
      <c r="AI12" s="51" t="s">
        <v>38</v>
      </c>
      <c r="AJ12" s="120">
        <f>VLOOKUP(AJ$8,Tabulacao!$DP$3:$DR$15,2,0)</f>
        <v>11</v>
      </c>
      <c r="AK12" s="120">
        <f>VLOOKUP(AK$8,Tabulacao!$DP$3:$DR$15,2,0)</f>
        <v>11</v>
      </c>
      <c r="AL12" s="120">
        <f>VLOOKUP(AL$8,Tabulacao!$DP$3:$DR$15,2,0)</f>
        <v>55</v>
      </c>
      <c r="AM12" s="120">
        <f>VLOOKUP(AM$8,Tabulacao!$DP$3:$DR$15,2,0)</f>
        <v>55</v>
      </c>
      <c r="AN12" s="120">
        <f>VLOOKUP(AN$8,Tabulacao!$DP$3:$DR$15,2,0)</f>
        <v>25</v>
      </c>
      <c r="AO12" s="276">
        <f t="shared" si="6"/>
        <v>157</v>
      </c>
      <c r="AP12" s="173">
        <f t="shared" si="7"/>
        <v>3.4585987261146496</v>
      </c>
      <c r="AQ12" s="122">
        <f t="shared" si="7"/>
        <v>3</v>
      </c>
      <c r="AR12" s="120">
        <f t="shared" si="7"/>
        <v>4</v>
      </c>
      <c r="AS12" s="174">
        <f t="shared" si="7"/>
        <v>0.30796453983877997</v>
      </c>
      <c r="AT12" s="48"/>
      <c r="AU12" s="48"/>
      <c r="AV12" s="48"/>
      <c r="AW12" s="48"/>
      <c r="AX12" s="60" t="str">
        <f>Tabulacao!DV8</f>
        <v>Fui promovido a uma posição menos ligada aos meus estudos do que a anterior</v>
      </c>
      <c r="AY12" s="52">
        <f>Tabulacao!DW8</f>
        <v>1</v>
      </c>
      <c r="AZ12" s="53">
        <f t="shared" si="8"/>
        <v>1.5384615384615385E-2</v>
      </c>
      <c r="BA12" s="48"/>
      <c r="BB12" s="60" t="str">
        <f>Tabulacao!DY7</f>
        <v>De 40 a 44 horas</v>
      </c>
      <c r="BC12" s="52">
        <f>Tabulacao!DZ7</f>
        <v>77</v>
      </c>
      <c r="BD12" s="53">
        <f>IFERROR(BC12/SUM($BC$9:$BC$13),"-")</f>
        <v>0.49044585987261147</v>
      </c>
      <c r="BE12" s="48"/>
      <c r="BF12" s="48"/>
      <c r="BG12" s="60" t="str">
        <f>Tabulacao!EB7</f>
        <v>Sou Autônomo</v>
      </c>
      <c r="BH12" s="52">
        <f>Tabulacao!EC7</f>
        <v>13</v>
      </c>
      <c r="BI12" s="53">
        <f>IFERROR(BH12/SUM($BH$9:$BH$13),"-")</f>
        <v>8.2802547770700632E-2</v>
      </c>
      <c r="BJ12" s="48"/>
      <c r="BK12" s="48"/>
      <c r="BL12" s="60" t="str">
        <f>Tabulacao!EH7</f>
        <v>Mais de 2 anos</v>
      </c>
      <c r="BM12" s="52">
        <f>Tabulacao!EI7</f>
        <v>82</v>
      </c>
      <c r="BN12" s="53">
        <f t="shared" si="9"/>
        <v>0.56944444444444442</v>
      </c>
      <c r="BO12" s="48"/>
      <c r="BP12" s="48"/>
      <c r="BQ12" s="60" t="str">
        <f>Tabulacao!EM6</f>
        <v>Nossa Senhora do Socorro</v>
      </c>
      <c r="BR12" s="52">
        <f>COUNTIF(Respostas_Formatadas!$BC:$BC,EmpAtual!BQ12)</f>
        <v>8</v>
      </c>
      <c r="BS12" s="53">
        <f t="shared" si="10"/>
        <v>5.5944055944055944E-2</v>
      </c>
      <c r="BT12" s="48"/>
      <c r="BU12" s="52">
        <v>4</v>
      </c>
      <c r="BV12" s="60" t="str">
        <f t="array" ref="BV12">INDEX($BQ$49:$BQ$82,SMALL(IF($BR$49:$BR$82=BW12,ROW($BR$49:$BR$82)-48),COUNTIF($BW$9:BW12,BW12)))</f>
        <v>Ribeirópolis</v>
      </c>
      <c r="BW12" s="52">
        <f t="shared" si="11"/>
        <v>1</v>
      </c>
      <c r="BX12" s="53">
        <f t="shared" si="12"/>
        <v>0.2</v>
      </c>
      <c r="BY12" s="48"/>
      <c r="BZ12" s="81">
        <v>51</v>
      </c>
      <c r="CA12" s="51" t="s">
        <v>51</v>
      </c>
      <c r="CB12" s="120">
        <f>IFERROR(VLOOKUP(CB$25,Tabulacao!$FH$2:$FJ$15,2,0),"-")</f>
        <v>16</v>
      </c>
      <c r="CC12" s="120">
        <f>IFERROR(VLOOKUP(CC$25,Tabulacao!$FH$2:$FJ$15,2,0),"-")</f>
        <v>19</v>
      </c>
      <c r="CD12" s="120">
        <f>IFERROR(VLOOKUP(CD$25,Tabulacao!$FH$2:$FJ$15,2,0),"-")</f>
        <v>37</v>
      </c>
      <c r="CE12" s="120">
        <f>IFERROR(VLOOKUP(CE$25,Tabulacao!$FH$2:$FJ$15,2,0),"-")</f>
        <v>32</v>
      </c>
      <c r="CF12" s="120">
        <f>IFERROR(VLOOKUP(CF$25,Tabulacao!$FH$2:$FJ$15,2,0),"-")</f>
        <v>53</v>
      </c>
      <c r="CG12" s="276">
        <f t="shared" si="13"/>
        <v>157</v>
      </c>
      <c r="CH12" s="173">
        <f>IFERROR(VLOOKUP(CH$8,Tabulacao!$FH$2:$FJ$15,2,0),"-")</f>
        <v>3.5541401273885351</v>
      </c>
      <c r="CI12" s="122">
        <f>IFERROR(VLOOKUP(CI$8,Tabulacao!$FH$2:$FJ$15,2,0),"-")</f>
        <v>5</v>
      </c>
      <c r="CJ12" s="122">
        <f>IFERROR(VLOOKUP(CJ$8,Tabulacao!$FH$2:$FJ$15,2,0),"-")</f>
        <v>4</v>
      </c>
      <c r="CK12" s="176">
        <f>IFERROR(VLOOKUP(CK$8,Tabulacao!$FH$2:$FJ$15,2,0),"-")</f>
        <v>0.37613314161180933</v>
      </c>
      <c r="CL12" s="91"/>
      <c r="CM12" s="81">
        <v>64</v>
      </c>
      <c r="CN12" s="51" t="s">
        <v>51</v>
      </c>
      <c r="CO12" s="120">
        <f>IFERROR(VLOOKUP(CO$25,Tabulacao!$FH$2:$FJ$15,2,0),"-")</f>
        <v>16</v>
      </c>
      <c r="CP12" s="120">
        <f>IFERROR(VLOOKUP(CP$25,Tabulacao!$FH$2:$FJ$15,2,0),"-")</f>
        <v>19</v>
      </c>
      <c r="CQ12" s="120">
        <f>IFERROR(VLOOKUP(CQ$25,Tabulacao!$FH$2:$FJ$15,2,0),"-")</f>
        <v>37</v>
      </c>
      <c r="CR12" s="120">
        <f>IFERROR(VLOOKUP(CR$25,Tabulacao!$FH$2:$FJ$15,2,0),"-")</f>
        <v>32</v>
      </c>
      <c r="CS12" s="120">
        <f>IFERROR(VLOOKUP(CS$25,Tabulacao!$FH$2:$FJ$15,2,0),"-")</f>
        <v>53</v>
      </c>
      <c r="CT12" s="120">
        <f t="shared" si="14"/>
        <v>157</v>
      </c>
      <c r="CU12" s="173">
        <f>IFERROR(VLOOKUP(CU$8,Tabulacao!$FH$2:$FJ$15,2,0),"-")</f>
        <v>3.5541401273885351</v>
      </c>
      <c r="CV12" s="122">
        <f>IFERROR(VLOOKUP(CV$8,Tabulacao!$FH$2:$FJ$15,2,0),"-")</f>
        <v>5</v>
      </c>
      <c r="CW12" s="122">
        <f>IFERROR(VLOOKUP(CW$8,Tabulacao!$FH$2:$FJ$15,2,0),"-")</f>
        <v>4</v>
      </c>
      <c r="CX12" s="176">
        <f>IFERROR(VLOOKUP(CX$8,Tabulacao!$FH$2:$FJ$15,2,0),"-")</f>
        <v>0.37613314161180933</v>
      </c>
      <c r="CY12" s="48"/>
      <c r="CZ12" s="60">
        <f>Tabulacao!HY7</f>
        <v>4</v>
      </c>
      <c r="DA12" s="52">
        <f>Tabulacao!HZ7</f>
        <v>62</v>
      </c>
      <c r="DB12" s="53">
        <f t="shared" si="15"/>
        <v>0.22878228782287824</v>
      </c>
      <c r="DC12" s="48"/>
      <c r="DD12" s="48"/>
      <c r="DE12" s="48"/>
      <c r="DF12" s="48"/>
      <c r="DG12" s="60" t="str">
        <f>Tabulacao!IB7</f>
        <v>Situação econômica do país/estado</v>
      </c>
      <c r="DH12" s="52">
        <f>Tabulacao!IC7</f>
        <v>105</v>
      </c>
      <c r="DI12" s="53">
        <f t="shared" si="1"/>
        <v>0.38745387453874541</v>
      </c>
      <c r="DJ12" s="48"/>
      <c r="DK12" s="48"/>
      <c r="DL12" s="60" t="str">
        <f>Tabulacao!IE7</f>
        <v>Situação econômica do país/estado</v>
      </c>
      <c r="DM12" s="52">
        <f>Tabulacao!IF7</f>
        <v>6</v>
      </c>
      <c r="DN12" s="53">
        <f t="shared" si="2"/>
        <v>2.2140221402214021E-2</v>
      </c>
      <c r="DO12" s="48"/>
      <c r="DP12" s="48"/>
    </row>
    <row r="13" spans="1:120" x14ac:dyDescent="0.2">
      <c r="B13" s="48"/>
      <c r="C13" s="323"/>
      <c r="D13" s="48"/>
      <c r="E13" s="48"/>
      <c r="F13" s="48"/>
      <c r="G13" s="48"/>
      <c r="H13" s="48"/>
      <c r="I13" s="48"/>
      <c r="J13" s="48"/>
      <c r="K13" s="48"/>
      <c r="L13" s="48"/>
      <c r="M13" s="52">
        <v>5</v>
      </c>
      <c r="N13" s="51" t="s">
        <v>541</v>
      </c>
      <c r="O13" s="70">
        <v>4</v>
      </c>
      <c r="P13" s="53">
        <f t="shared" si="3"/>
        <v>2.6143790849673203E-2</v>
      </c>
      <c r="Q13" s="48"/>
      <c r="R13" s="52">
        <v>5</v>
      </c>
      <c r="S13" s="51" t="str">
        <f t="array" ref="S13">INDEX($N$103:$N$188,SMALL(IF($O$103:$O$188=T13,ROW($O$103:$O$188)-102),COUNTIF($T$9:T13,T13)))</f>
        <v>Gerente de Fábrica</v>
      </c>
      <c r="T13" s="70">
        <f t="shared" si="4"/>
        <v>1</v>
      </c>
      <c r="U13" s="53">
        <f t="shared" si="5"/>
        <v>4.3478260869565216E-2</v>
      </c>
      <c r="V13" s="48"/>
      <c r="W13" s="60" t="str">
        <f>Tabulacao!DD8</f>
        <v>Mediana</v>
      </c>
      <c r="X13" s="68">
        <f>Tabulacao!DE8</f>
        <v>2000</v>
      </c>
      <c r="Y13" s="68">
        <f>'1Emp'!AG13</f>
        <v>1500</v>
      </c>
      <c r="Z13" s="53">
        <f t="shared" si="0"/>
        <v>0.33333333333333326</v>
      </c>
      <c r="AA13" s="48"/>
      <c r="AB13" s="48"/>
      <c r="AC13" s="48"/>
      <c r="AD13" s="48"/>
      <c r="AE13" s="48"/>
      <c r="AF13" s="48"/>
      <c r="AG13" s="82">
        <v>41</v>
      </c>
      <c r="AH13" s="275" t="s">
        <v>1276</v>
      </c>
      <c r="AI13" s="65" t="s">
        <v>39</v>
      </c>
      <c r="AJ13" s="169">
        <f>VLOOKUP(AJ$8,Tabulacao!$DS$3:$DU$15,2,0)</f>
        <v>17</v>
      </c>
      <c r="AK13" s="169">
        <f>VLOOKUP(AK$8,Tabulacao!$DS$3:$DU$15,2,0)</f>
        <v>25</v>
      </c>
      <c r="AL13" s="169">
        <f>VLOOKUP(AL$8,Tabulacao!$DS$3:$DU$15,2,0)</f>
        <v>31</v>
      </c>
      <c r="AM13" s="169">
        <f>VLOOKUP(AM$8,Tabulacao!$DS$3:$DU$15,2,0)</f>
        <v>37</v>
      </c>
      <c r="AN13" s="169">
        <f>VLOOKUP(AN$8,Tabulacao!$DS$3:$DU$15,2,0)</f>
        <v>47</v>
      </c>
      <c r="AO13" s="253">
        <f t="shared" si="6"/>
        <v>157</v>
      </c>
      <c r="AP13" s="170">
        <f t="shared" si="7"/>
        <v>3.4585987261146496</v>
      </c>
      <c r="AQ13" s="171">
        <f t="shared" si="7"/>
        <v>5</v>
      </c>
      <c r="AR13" s="169">
        <f t="shared" si="7"/>
        <v>4</v>
      </c>
      <c r="AS13" s="175">
        <f t="shared" si="7"/>
        <v>0.39079175667479815</v>
      </c>
      <c r="AT13" s="48"/>
      <c r="AU13" s="48"/>
      <c r="AV13" s="48"/>
      <c r="AW13" s="48"/>
      <c r="AX13" s="60" t="str">
        <f>Tabulacao!DV9</f>
        <v>Eu posso ter um salário mais alto no meu emprego atual</v>
      </c>
      <c r="AY13" s="52">
        <f>Tabulacao!DW9</f>
        <v>6</v>
      </c>
      <c r="AZ13" s="53">
        <f t="shared" si="8"/>
        <v>9.2307692307692313E-2</v>
      </c>
      <c r="BA13" s="48"/>
      <c r="BB13" s="60" t="str">
        <f>Tabulacao!DY8</f>
        <v>Acima de 44 horas</v>
      </c>
      <c r="BC13" s="52">
        <f>Tabulacao!DZ8</f>
        <v>21</v>
      </c>
      <c r="BD13" s="53">
        <f>IFERROR(BC13/SUM($BC$9:$BC$13),"-")</f>
        <v>0.13375796178343949</v>
      </c>
      <c r="BE13" s="48"/>
      <c r="BF13" s="48"/>
      <c r="BG13" s="60" t="str">
        <f>Tabulacao!EB8</f>
        <v>Outros</v>
      </c>
      <c r="BH13" s="52">
        <f>BH14-148</f>
        <v>9</v>
      </c>
      <c r="BI13" s="53">
        <f>IFERROR(BH13/SUM($BH$9:$BH$13),"-")</f>
        <v>5.7324840764331211E-2</v>
      </c>
      <c r="BJ13" s="48"/>
      <c r="BK13" s="48"/>
      <c r="BL13" s="93" t="s">
        <v>621</v>
      </c>
      <c r="BM13" s="94">
        <f>SUM(BM9:BM12)</f>
        <v>144</v>
      </c>
      <c r="BN13" s="95">
        <f>SUM(BN9:BN12)</f>
        <v>1</v>
      </c>
      <c r="BO13" s="48"/>
      <c r="BP13" s="48"/>
      <c r="BQ13" s="60" t="str">
        <f>Tabulacao!EM7</f>
        <v>São Cristóvão</v>
      </c>
      <c r="BR13" s="52">
        <f>COUNTIF(Respostas_Formatadas!$BC:$BC,EmpAtual!BQ13)</f>
        <v>5</v>
      </c>
      <c r="BS13" s="53">
        <f t="shared" si="10"/>
        <v>3.4965034965034968E-2</v>
      </c>
      <c r="BT13" s="48"/>
      <c r="BU13" s="52">
        <v>5</v>
      </c>
      <c r="BV13" s="60" t="str">
        <f t="array" ref="BV13">INDEX($BQ$49:$BQ$82,SMALL(IF($BR$49:$BR$82=BW13,ROW($BR$49:$BR$82)-48),COUNTIF($BW$9:BW13,BW13)))</f>
        <v>Barra do Rio Grande - BA</v>
      </c>
      <c r="BW13" s="52">
        <f t="shared" si="11"/>
        <v>1</v>
      </c>
      <c r="BX13" s="53">
        <f t="shared" si="12"/>
        <v>0.2</v>
      </c>
      <c r="BY13" s="48"/>
      <c r="BZ13" s="82">
        <v>52</v>
      </c>
      <c r="CA13" s="65" t="s">
        <v>52</v>
      </c>
      <c r="CB13" s="169">
        <f>IFERROR(VLOOKUP(CB$25,Tabulacao!$FK$2:$FM$15,2,0),"-")</f>
        <v>3</v>
      </c>
      <c r="CC13" s="169">
        <f>IFERROR(VLOOKUP(CC$25,Tabulacao!$FK$2:$FM$15,2,0),"-")</f>
        <v>7</v>
      </c>
      <c r="CD13" s="169">
        <f>IFERROR(VLOOKUP(CD$25,Tabulacao!$FK$2:$FM$15,2,0),"-")</f>
        <v>26</v>
      </c>
      <c r="CE13" s="169">
        <f>IFERROR(VLOOKUP(CE$25,Tabulacao!$FK$2:$FM$15,2,0),"-")</f>
        <v>41</v>
      </c>
      <c r="CF13" s="169">
        <f>IFERROR(VLOOKUP(CF$25,Tabulacao!$FK$2:$FM$15,2,0),"-")</f>
        <v>80</v>
      </c>
      <c r="CG13" s="253">
        <f t="shared" si="13"/>
        <v>157</v>
      </c>
      <c r="CH13" s="170">
        <f>IFERROR(VLOOKUP(CH$8,Tabulacao!$FK$2:$FM$15,2,0),"-")</f>
        <v>4.1974522292993628</v>
      </c>
      <c r="CI13" s="171">
        <f>IFERROR(VLOOKUP(CI$8,Tabulacao!$FK$2:$FM$15,2,0),"-")</f>
        <v>5</v>
      </c>
      <c r="CJ13" s="171">
        <f>IFERROR(VLOOKUP(CJ$8,Tabulacao!$FK$2:$FM$15,2,0),"-")</f>
        <v>5</v>
      </c>
      <c r="CK13" s="172">
        <f>IFERROR(VLOOKUP(CK$8,Tabulacao!$FK$2:$FM$15,2,0),"-")</f>
        <v>0.23738221603215731</v>
      </c>
      <c r="CL13" s="91"/>
      <c r="CM13" s="82">
        <v>65</v>
      </c>
      <c r="CN13" s="65" t="s">
        <v>52</v>
      </c>
      <c r="CO13" s="169">
        <f>IFERROR(VLOOKUP(CO$25,Tabulacao!$FK$2:$FM$15,2,0),"-")</f>
        <v>3</v>
      </c>
      <c r="CP13" s="169">
        <f>IFERROR(VLOOKUP(CP$25,Tabulacao!$FK$2:$FM$15,2,0),"-")</f>
        <v>7</v>
      </c>
      <c r="CQ13" s="169">
        <f>IFERROR(VLOOKUP(CQ$25,Tabulacao!$FK$2:$FM$15,2,0),"-")</f>
        <v>26</v>
      </c>
      <c r="CR13" s="169">
        <f>IFERROR(VLOOKUP(CR$25,Tabulacao!$FK$2:$FM$15,2,0),"-")</f>
        <v>41</v>
      </c>
      <c r="CS13" s="169">
        <f>IFERROR(VLOOKUP(CS$25,Tabulacao!$FK$2:$FM$15,2,0),"-")</f>
        <v>80</v>
      </c>
      <c r="CT13" s="169">
        <f t="shared" si="14"/>
        <v>157</v>
      </c>
      <c r="CU13" s="170">
        <f>IFERROR(VLOOKUP(CU$8,Tabulacao!$FK$2:$FM$15,2,0),"-")</f>
        <v>4.1974522292993628</v>
      </c>
      <c r="CV13" s="171">
        <f>IFERROR(VLOOKUP(CV$8,Tabulacao!$FK$2:$FM$15,2,0),"-")</f>
        <v>5</v>
      </c>
      <c r="CW13" s="171">
        <f>IFERROR(VLOOKUP(CW$8,Tabulacao!$FK$2:$FM$15,2,0),"-")</f>
        <v>5</v>
      </c>
      <c r="CX13" s="172">
        <f>IFERROR(VLOOKUP(CX$8,Tabulacao!$FK$2:$FM$15,2,0),"-")</f>
        <v>0.23738221603215731</v>
      </c>
      <c r="CY13" s="48"/>
      <c r="CZ13" s="60">
        <f>Tabulacao!HY8</f>
        <v>5</v>
      </c>
      <c r="DA13" s="52">
        <f>Tabulacao!HZ8</f>
        <v>57</v>
      </c>
      <c r="DB13" s="53">
        <f t="shared" si="15"/>
        <v>0.21033210332103322</v>
      </c>
      <c r="DC13" s="48"/>
      <c r="DD13" s="48"/>
      <c r="DE13" s="48"/>
      <c r="DF13" s="48"/>
      <c r="DG13" s="60" t="str">
        <f>Tabulacao!IB8</f>
        <v>Falta de contatos que pudessem me indicar a vagas de emprego</v>
      </c>
      <c r="DH13" s="52">
        <f>Tabulacao!IC8</f>
        <v>87</v>
      </c>
      <c r="DI13" s="53">
        <f t="shared" si="1"/>
        <v>0.3210332103321033</v>
      </c>
      <c r="DJ13" s="48"/>
      <c r="DK13" s="48"/>
      <c r="DL13" s="60" t="str">
        <f>Tabulacao!IE8</f>
        <v>Existência de contatos que pudessem me indicar a vagas de emprego</v>
      </c>
      <c r="DM13" s="52">
        <f>Tabulacao!IF8</f>
        <v>67</v>
      </c>
      <c r="DN13" s="53">
        <f t="shared" si="2"/>
        <v>0.24723247232472326</v>
      </c>
      <c r="DO13" s="48"/>
      <c r="DP13" s="48"/>
    </row>
    <row r="14" spans="1:120" x14ac:dyDescent="0.2">
      <c r="B14" s="48"/>
      <c r="C14" s="323"/>
      <c r="D14" s="48"/>
      <c r="E14" s="48"/>
      <c r="F14" s="48"/>
      <c r="G14" s="48"/>
      <c r="H14" s="48"/>
      <c r="I14" s="48"/>
      <c r="J14" s="48"/>
      <c r="K14" s="48"/>
      <c r="L14" s="48"/>
      <c r="M14" s="52">
        <v>6</v>
      </c>
      <c r="N14" s="51" t="s">
        <v>326</v>
      </c>
      <c r="O14" s="70">
        <v>3</v>
      </c>
      <c r="P14" s="53">
        <f t="shared" si="3"/>
        <v>1.9607843137254902E-2</v>
      </c>
      <c r="Q14" s="48"/>
      <c r="R14" s="52">
        <v>6</v>
      </c>
      <c r="S14" s="51" t="str">
        <f t="array" ref="S14">INDEX($N$103:$N$188,SMALL(IF($O$103:$O$188=T14,ROW($O$103:$O$188)-102),COUNTIF($T$9:T14,T14)))</f>
        <v>Diretor</v>
      </c>
      <c r="T14" s="70">
        <f t="shared" si="4"/>
        <v>1</v>
      </c>
      <c r="U14" s="53">
        <f t="shared" si="5"/>
        <v>4.3478260869565216E-2</v>
      </c>
      <c r="V14" s="48"/>
      <c r="W14" s="60" t="str">
        <f>Tabulacao!DD9</f>
        <v>Desvio Padrão</v>
      </c>
      <c r="X14" s="68">
        <f>Tabulacao!DE9</f>
        <v>2856.444804333863</v>
      </c>
      <c r="Y14" s="68">
        <f>'1Emp'!AG14</f>
        <v>1895.7417931068505</v>
      </c>
      <c r="Z14" s="53">
        <f t="shared" si="0"/>
        <v>0.50676891479643826</v>
      </c>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60" t="str">
        <f>Tabulacao!DV10</f>
        <v>Meu emprego atual oferece mais segurança</v>
      </c>
      <c r="AY14" s="52">
        <f>Tabulacao!DW10</f>
        <v>7</v>
      </c>
      <c r="AZ14" s="53">
        <f t="shared" si="8"/>
        <v>0.1076923076923077</v>
      </c>
      <c r="BA14" s="48"/>
      <c r="BB14" s="93" t="s">
        <v>621</v>
      </c>
      <c r="BC14" s="94">
        <f>SUM(BC9:BC13)</f>
        <v>157</v>
      </c>
      <c r="BD14" s="95">
        <f>SUM(BD9:BD13)</f>
        <v>1</v>
      </c>
      <c r="BE14" s="48"/>
      <c r="BF14" s="48"/>
      <c r="BG14" s="93" t="s">
        <v>621</v>
      </c>
      <c r="BH14" s="94">
        <f>SUM(BH9:BH12)+9</f>
        <v>157</v>
      </c>
      <c r="BI14" s="95">
        <f>SUM(BI9:BI13)</f>
        <v>1</v>
      </c>
      <c r="BJ14" s="48"/>
      <c r="BK14" s="48"/>
      <c r="BL14" s="48"/>
      <c r="BM14" s="48"/>
      <c r="BN14" s="48"/>
      <c r="BO14" s="48"/>
      <c r="BP14" s="48"/>
      <c r="BQ14" s="60" t="str">
        <f>Tabulacao!EM8</f>
        <v>Estância</v>
      </c>
      <c r="BR14" s="52">
        <f>COUNTIF(Respostas_Formatadas!$BC:$BC,EmpAtual!BQ14)</f>
        <v>5</v>
      </c>
      <c r="BS14" s="53">
        <f t="shared" si="10"/>
        <v>3.4965034965034968E-2</v>
      </c>
      <c r="BT14" s="48"/>
      <c r="BU14" s="52">
        <v>6</v>
      </c>
      <c r="BV14" s="60" t="str">
        <f t="array" ref="BV14">INDEX($BQ$49:$BQ$82,SMALL(IF($BR$49:$BR$82=BW14,ROW($BR$49:$BR$82)-48),COUNTIF($BW$9:BW14,BW14)))</f>
        <v>Nossa Senhora da Glória</v>
      </c>
      <c r="BW14" s="52">
        <f t="shared" si="11"/>
        <v>0</v>
      </c>
      <c r="BX14" s="53">
        <f t="shared" si="12"/>
        <v>0</v>
      </c>
      <c r="BY14" s="48"/>
      <c r="BZ14" s="81">
        <v>53</v>
      </c>
      <c r="CA14" s="51" t="s">
        <v>53</v>
      </c>
      <c r="CB14" s="120">
        <f>IFERROR(VLOOKUP(CB$25,Tabulacao!$FN$2:$FP$15,2,0),"-")</f>
        <v>3</v>
      </c>
      <c r="CC14" s="120">
        <f>IFERROR(VLOOKUP(CC$25,Tabulacao!$FN$2:$FP$15,2,0),"-")</f>
        <v>4</v>
      </c>
      <c r="CD14" s="120">
        <f>IFERROR(VLOOKUP(CD$25,Tabulacao!$FN$2:$FP$15,2,0),"-")</f>
        <v>24</v>
      </c>
      <c r="CE14" s="120">
        <f>IFERROR(VLOOKUP(CE$25,Tabulacao!$FN$2:$FP$15,2,0),"-")</f>
        <v>39</v>
      </c>
      <c r="CF14" s="120">
        <f>IFERROR(VLOOKUP(CF$25,Tabulacao!$FN$2:$FP$15,2,0),"-")</f>
        <v>87</v>
      </c>
      <c r="CG14" s="276">
        <f t="shared" si="13"/>
        <v>157</v>
      </c>
      <c r="CH14" s="173">
        <f>IFERROR(VLOOKUP(CH$8,Tabulacao!$FN$2:$FP$15,2,0),"-")</f>
        <v>4.2929936305732488</v>
      </c>
      <c r="CI14" s="122">
        <f>IFERROR(VLOOKUP(CI$8,Tabulacao!$FN$2:$FP$15,2,0),"-")</f>
        <v>5</v>
      </c>
      <c r="CJ14" s="122">
        <f>IFERROR(VLOOKUP(CJ$8,Tabulacao!$FN$2:$FP$15,2,0),"-")</f>
        <v>5</v>
      </c>
      <c r="CK14" s="176">
        <f>IFERROR(VLOOKUP(CK$8,Tabulacao!$FN$2:$FP$15,2,0),"-")</f>
        <v>0.22108031292101366</v>
      </c>
      <c r="CL14" s="91"/>
      <c r="CM14" s="81">
        <v>66</v>
      </c>
      <c r="CN14" s="51" t="s">
        <v>53</v>
      </c>
      <c r="CO14" s="120">
        <f>IFERROR(VLOOKUP(CO$25,Tabulacao!$FN$2:$FP$15,2,0),"-")</f>
        <v>3</v>
      </c>
      <c r="CP14" s="120">
        <f>IFERROR(VLOOKUP(CP$25,Tabulacao!$FN$2:$FP$15,2,0),"-")</f>
        <v>4</v>
      </c>
      <c r="CQ14" s="120">
        <f>IFERROR(VLOOKUP(CQ$25,Tabulacao!$FN$2:$FP$15,2,0),"-")</f>
        <v>24</v>
      </c>
      <c r="CR14" s="120">
        <f>IFERROR(VLOOKUP(CR$25,Tabulacao!$FN$2:$FP$15,2,0),"-")</f>
        <v>39</v>
      </c>
      <c r="CS14" s="120">
        <f>IFERROR(VLOOKUP(CS$25,Tabulacao!$FN$2:$FP$15,2,0),"-")</f>
        <v>87</v>
      </c>
      <c r="CT14" s="120">
        <f t="shared" si="14"/>
        <v>157</v>
      </c>
      <c r="CU14" s="173">
        <f>IFERROR(VLOOKUP(CU$8,Tabulacao!$FN$2:$FP$15,2,0),"-")</f>
        <v>4.2929936305732488</v>
      </c>
      <c r="CV14" s="122">
        <f>IFERROR(VLOOKUP(CV$8,Tabulacao!$FN$2:$FP$15,2,0),"-")</f>
        <v>5</v>
      </c>
      <c r="CW14" s="122">
        <f>IFERROR(VLOOKUP(CW$8,Tabulacao!$FN$2:$FP$15,2,0),"-")</f>
        <v>5</v>
      </c>
      <c r="CX14" s="176">
        <f>IFERROR(VLOOKUP(CX$8,Tabulacao!$FN$2:$FP$15,2,0),"-")</f>
        <v>0.22108031292101366</v>
      </c>
      <c r="CY14" s="48"/>
      <c r="CZ14" s="93" t="s">
        <v>621</v>
      </c>
      <c r="DA14" s="94">
        <f>SUM(DA9:DA13)</f>
        <v>271</v>
      </c>
      <c r="DB14" s="95">
        <f>SUM(DB9:DB13)</f>
        <v>1</v>
      </c>
      <c r="DC14" s="48"/>
      <c r="DD14" s="48"/>
      <c r="DE14" s="48"/>
      <c r="DF14" s="48"/>
      <c r="DG14" s="60" t="str">
        <f>Tabulacao!IB9</f>
        <v>Falta de conhecimento em inglês</v>
      </c>
      <c r="DH14" s="52">
        <f>Tabulacao!IC9</f>
        <v>20</v>
      </c>
      <c r="DI14" s="53">
        <f t="shared" si="1"/>
        <v>7.3800738007380073E-2</v>
      </c>
      <c r="DJ14" s="48"/>
      <c r="DK14" s="48"/>
      <c r="DL14" s="60" t="str">
        <f>Tabulacao!IE9</f>
        <v>Conhecimento em inglês</v>
      </c>
      <c r="DM14" s="52">
        <f>Tabulacao!IF9</f>
        <v>23</v>
      </c>
      <c r="DN14" s="53">
        <f t="shared" si="2"/>
        <v>8.4870848708487087E-2</v>
      </c>
      <c r="DO14" s="48"/>
      <c r="DP14" s="48"/>
    </row>
    <row r="15" spans="1:120" x14ac:dyDescent="0.2">
      <c r="B15" s="48"/>
      <c r="C15" s="323"/>
      <c r="D15" s="48"/>
      <c r="E15" s="48"/>
      <c r="F15" s="166">
        <v>16</v>
      </c>
      <c r="G15" s="48"/>
      <c r="H15" s="48"/>
      <c r="I15" s="48"/>
      <c r="J15" s="48"/>
      <c r="K15" s="48"/>
      <c r="L15" s="48"/>
      <c r="M15" s="52">
        <v>7</v>
      </c>
      <c r="N15" s="51" t="s">
        <v>391</v>
      </c>
      <c r="O15" s="70">
        <v>3</v>
      </c>
      <c r="P15" s="53">
        <f t="shared" si="3"/>
        <v>1.9607843137254902E-2</v>
      </c>
      <c r="Q15" s="48"/>
      <c r="R15" s="52">
        <v>7</v>
      </c>
      <c r="S15" s="51" t="str">
        <f t="array" ref="S15">INDEX($N$103:$N$188,SMALL(IF($O$103:$O$188=T15,ROW($O$103:$O$188)-102),COUNTIF($T$9:T15,T15)))</f>
        <v>Auxiliar de Engenharia Civil</v>
      </c>
      <c r="T15" s="70">
        <f t="shared" si="4"/>
        <v>1</v>
      </c>
      <c r="U15" s="53">
        <f t="shared" si="5"/>
        <v>4.3478260869565216E-2</v>
      </c>
      <c r="V15" s="48"/>
      <c r="W15" s="60" t="str">
        <f>Tabulacao!DD10</f>
        <v>Variância</v>
      </c>
      <c r="X15" s="68">
        <f>Tabulacao!DE10</f>
        <v>8159276.9202059209</v>
      </c>
      <c r="Y15" s="68">
        <f>'1Emp'!AG15</f>
        <v>3593836.9461319768</v>
      </c>
      <c r="Z15" s="53">
        <f t="shared" si="0"/>
        <v>1.2703525625968362</v>
      </c>
      <c r="AA15" s="48"/>
      <c r="AB15" s="48"/>
      <c r="AC15" s="48"/>
      <c r="AD15" s="48"/>
      <c r="AE15" s="48"/>
      <c r="AF15" s="48"/>
      <c r="AG15" s="48"/>
      <c r="AH15" s="48"/>
      <c r="AI15" s="48"/>
      <c r="AJ15" s="48"/>
      <c r="AK15" s="48"/>
      <c r="AL15" s="48"/>
      <c r="AM15" s="48"/>
      <c r="AN15" s="48"/>
      <c r="AO15" s="48"/>
      <c r="AP15" s="48"/>
      <c r="AQ15" s="48"/>
      <c r="AR15" s="48"/>
      <c r="AS15" s="48"/>
      <c r="AT15" s="48"/>
      <c r="AU15" s="48"/>
      <c r="AV15" s="48"/>
      <c r="AW15" s="48"/>
      <c r="AX15" s="60" t="str">
        <f>Tabulacao!DV11</f>
        <v>Meu emprego atual é mais interessante</v>
      </c>
      <c r="AY15" s="52">
        <f>Tabulacao!DW11</f>
        <v>3</v>
      </c>
      <c r="AZ15" s="53">
        <f t="shared" si="8"/>
        <v>4.6153846153846156E-2</v>
      </c>
      <c r="BA15" s="48"/>
      <c r="BB15" s="48"/>
      <c r="BC15" s="48"/>
      <c r="BD15" s="48"/>
      <c r="BE15" s="48"/>
      <c r="BF15" s="48"/>
      <c r="BG15" s="48"/>
      <c r="BH15" s="48"/>
      <c r="BI15" s="48"/>
      <c r="BJ15" s="48"/>
      <c r="BK15" s="48"/>
      <c r="BL15" s="48"/>
      <c r="BM15" s="48"/>
      <c r="BN15" s="48"/>
      <c r="BO15" s="48"/>
      <c r="BP15" s="48"/>
      <c r="BQ15" s="60" t="str">
        <f>Tabulacao!EM9</f>
        <v>Recife - PE</v>
      </c>
      <c r="BR15" s="52">
        <f>COUNTIF(Respostas_Formatadas!$BC:$BC,EmpAtual!BQ15)</f>
        <v>2</v>
      </c>
      <c r="BS15" s="53">
        <f t="shared" si="10"/>
        <v>1.3986013986013986E-2</v>
      </c>
      <c r="BT15" s="48"/>
      <c r="BU15" s="52">
        <v>7</v>
      </c>
      <c r="BV15" s="60" t="str">
        <f t="array" ref="BV15">INDEX($BQ$49:$BQ$82,SMALL(IF($BR$49:$BR$82=BW15,ROW($BR$49:$BR$82)-48),COUNTIF($BW$9:BW15,BW15)))</f>
        <v>Lagarto</v>
      </c>
      <c r="BW15" s="52">
        <f t="shared" si="11"/>
        <v>0</v>
      </c>
      <c r="BX15" s="53">
        <f t="shared" si="12"/>
        <v>0</v>
      </c>
      <c r="BY15" s="48"/>
      <c r="BZ15" s="82">
        <v>54</v>
      </c>
      <c r="CA15" s="65" t="s">
        <v>54</v>
      </c>
      <c r="CB15" s="169">
        <f>IFERROR(VLOOKUP(CB$25,Tabulacao!$FQ$2:$FS$15,2,0),"-")</f>
        <v>4</v>
      </c>
      <c r="CC15" s="169">
        <f>IFERROR(VLOOKUP(CC$25,Tabulacao!$FQ$2:$FS$15,2,0),"-")</f>
        <v>3</v>
      </c>
      <c r="CD15" s="169">
        <f>IFERROR(VLOOKUP(CD$25,Tabulacao!$FQ$2:$FS$15,2,0),"-")</f>
        <v>14</v>
      </c>
      <c r="CE15" s="169">
        <f>IFERROR(VLOOKUP(CE$25,Tabulacao!$FQ$2:$FS$15,2,0),"-")</f>
        <v>40</v>
      </c>
      <c r="CF15" s="169">
        <f>IFERROR(VLOOKUP(CF$25,Tabulacao!$FQ$2:$FS$15,2,0),"-")</f>
        <v>96</v>
      </c>
      <c r="CG15" s="253">
        <f t="shared" si="13"/>
        <v>157</v>
      </c>
      <c r="CH15" s="170">
        <f>IFERROR(VLOOKUP(CH$8,Tabulacao!$FQ$2:$FS$15,2,0),"-")</f>
        <v>4.4076433121019107</v>
      </c>
      <c r="CI15" s="171">
        <f>IFERROR(VLOOKUP(CI$8,Tabulacao!$FQ$2:$FS$15,2,0),"-")</f>
        <v>5</v>
      </c>
      <c r="CJ15" s="171">
        <f>IFERROR(VLOOKUP(CJ$8,Tabulacao!$FQ$2:$FS$15,2,0),"-")</f>
        <v>5</v>
      </c>
      <c r="CK15" s="172">
        <f>IFERROR(VLOOKUP(CK$8,Tabulacao!$FQ$2:$FS$15,2,0),"-")</f>
        <v>0.20862746546693173</v>
      </c>
      <c r="CL15" s="91"/>
      <c r="CM15" s="82">
        <v>67</v>
      </c>
      <c r="CN15" s="65" t="s">
        <v>54</v>
      </c>
      <c r="CO15" s="169">
        <f>IFERROR(VLOOKUP(CO$25,Tabulacao!$FQ$2:$FS$15,2,0),"-")</f>
        <v>4</v>
      </c>
      <c r="CP15" s="169">
        <f>IFERROR(VLOOKUP(CP$25,Tabulacao!$FQ$2:$FS$15,2,0),"-")</f>
        <v>3</v>
      </c>
      <c r="CQ15" s="169">
        <f>IFERROR(VLOOKUP(CQ$25,Tabulacao!$FQ$2:$FS$15,2,0),"-")</f>
        <v>14</v>
      </c>
      <c r="CR15" s="169">
        <f>IFERROR(VLOOKUP(CR$25,Tabulacao!$FQ$2:$FS$15,2,0),"-")</f>
        <v>40</v>
      </c>
      <c r="CS15" s="169">
        <f>IFERROR(VLOOKUP(CS$25,Tabulacao!$FQ$2:$FS$15,2,0),"-")</f>
        <v>96</v>
      </c>
      <c r="CT15" s="169">
        <f t="shared" si="14"/>
        <v>157</v>
      </c>
      <c r="CU15" s="170">
        <f>IFERROR(VLOOKUP(CU$8,Tabulacao!$FQ$2:$FS$15,2,0),"-")</f>
        <v>4.4076433121019107</v>
      </c>
      <c r="CV15" s="171">
        <f>IFERROR(VLOOKUP(CV$8,Tabulacao!$FQ$2:$FS$15,2,0),"-")</f>
        <v>5</v>
      </c>
      <c r="CW15" s="171">
        <f>IFERROR(VLOOKUP(CW$8,Tabulacao!$FQ$2:$FS$15,2,0),"-")</f>
        <v>5</v>
      </c>
      <c r="CX15" s="172">
        <f>IFERROR(VLOOKUP(CX$8,Tabulacao!$FQ$2:$FS$15,2,0),"-")</f>
        <v>0.20862746546693173</v>
      </c>
      <c r="CY15" s="48"/>
      <c r="CZ15" s="61" t="str">
        <f>Tabulacao!HY10</f>
        <v>Média</v>
      </c>
      <c r="DA15" s="62">
        <f>Tabulacao!HZ10</f>
        <v>3.2472324723247232</v>
      </c>
      <c r="DB15" s="63" t="s">
        <v>933</v>
      </c>
      <c r="DC15" s="48"/>
      <c r="DD15" s="48"/>
      <c r="DE15" s="48"/>
      <c r="DF15" s="48"/>
      <c r="DG15" s="60" t="str">
        <f>Tabulacao!IB10</f>
        <v>Falta de conhecimento em espanhol</v>
      </c>
      <c r="DH15" s="52">
        <f>Tabulacao!IC10</f>
        <v>1</v>
      </c>
      <c r="DI15" s="53">
        <f t="shared" si="1"/>
        <v>3.6900369003690036E-3</v>
      </c>
      <c r="DJ15" s="48"/>
      <c r="DK15" s="48"/>
      <c r="DL15" s="60" t="str">
        <f>Tabulacao!IE10</f>
        <v>Conhecimento em espanhol</v>
      </c>
      <c r="DM15" s="52">
        <f>Tabulacao!IF10</f>
        <v>8</v>
      </c>
      <c r="DN15" s="53">
        <f t="shared" si="2"/>
        <v>2.9520295202952029E-2</v>
      </c>
      <c r="DO15" s="48"/>
      <c r="DP15" s="48"/>
    </row>
    <row r="16" spans="1:120" x14ac:dyDescent="0.2">
      <c r="B16" s="48"/>
      <c r="C16" s="323"/>
      <c r="D16" s="48"/>
      <c r="E16" s="48"/>
      <c r="F16" s="116" t="s">
        <v>18</v>
      </c>
      <c r="G16" s="50" t="s">
        <v>131</v>
      </c>
      <c r="H16" s="48"/>
      <c r="I16" s="48"/>
      <c r="J16" s="48"/>
      <c r="K16" s="48"/>
      <c r="L16" s="48"/>
      <c r="M16" s="52">
        <v>8</v>
      </c>
      <c r="N16" s="51" t="s">
        <v>409</v>
      </c>
      <c r="O16" s="70">
        <v>3</v>
      </c>
      <c r="P16" s="53">
        <f t="shared" si="3"/>
        <v>1.9607843137254902E-2</v>
      </c>
      <c r="Q16" s="48"/>
      <c r="R16" s="52">
        <v>8</v>
      </c>
      <c r="S16" s="51" t="str">
        <f t="array" ref="S16">INDEX($N$103:$N$188,SMALL(IF($O$103:$O$188=T16,ROW($O$103:$O$188)-102),COUNTIF($T$9:T16,T16)))</f>
        <v>Autônomo</v>
      </c>
      <c r="T16" s="70">
        <f t="shared" si="4"/>
        <v>1</v>
      </c>
      <c r="U16" s="53">
        <f t="shared" si="5"/>
        <v>4.3478260869565216E-2</v>
      </c>
      <c r="V16" s="48"/>
      <c r="W16" s="48"/>
      <c r="X16" s="48"/>
      <c r="Y16" s="48"/>
      <c r="Z16" s="48"/>
      <c r="AA16" s="48"/>
      <c r="AB16" s="48"/>
      <c r="AC16" s="48"/>
      <c r="AD16" s="48"/>
      <c r="AE16" s="48"/>
      <c r="AF16" s="48"/>
      <c r="AG16" s="138" t="s">
        <v>998</v>
      </c>
      <c r="AH16" s="138" t="s">
        <v>997</v>
      </c>
      <c r="AI16" s="138" t="s">
        <v>996</v>
      </c>
      <c r="AJ16" s="138">
        <v>1</v>
      </c>
      <c r="AK16" s="138">
        <v>2</v>
      </c>
      <c r="AL16" s="138">
        <v>3</v>
      </c>
      <c r="AM16" s="138">
        <v>4</v>
      </c>
      <c r="AN16" s="138">
        <v>5</v>
      </c>
      <c r="AO16" s="138" t="s">
        <v>621</v>
      </c>
      <c r="AP16" s="138" t="s">
        <v>160</v>
      </c>
      <c r="AQ16" s="138" t="s">
        <v>161</v>
      </c>
      <c r="AR16" s="138" t="s">
        <v>162</v>
      </c>
      <c r="AS16" s="138" t="s">
        <v>995</v>
      </c>
      <c r="AT16" s="48"/>
      <c r="AU16" s="48"/>
      <c r="AV16" s="48"/>
      <c r="AW16" s="48"/>
      <c r="AX16" s="60" t="str">
        <f>Tabulacao!DV12</f>
        <v>O meu emprego atual oferece possibilidades de trabalhar meio período</v>
      </c>
      <c r="AY16" s="52">
        <f>Tabulacao!DW12</f>
        <v>4</v>
      </c>
      <c r="AZ16" s="53">
        <f t="shared" si="8"/>
        <v>6.1538461538461542E-2</v>
      </c>
      <c r="BA16" s="48"/>
      <c r="BB16" s="48"/>
      <c r="BC16" s="48"/>
      <c r="BD16" s="48"/>
      <c r="BE16" s="48"/>
      <c r="BF16" s="48"/>
      <c r="BG16" s="48"/>
      <c r="BH16" s="48"/>
      <c r="BI16" s="48"/>
      <c r="BJ16" s="48"/>
      <c r="BK16" s="48"/>
      <c r="BL16" s="48"/>
      <c r="BM16" s="48"/>
      <c r="BN16" s="48"/>
      <c r="BO16" s="48"/>
      <c r="BP16" s="48"/>
      <c r="BQ16" s="60" t="str">
        <f>Tabulacao!EM10</f>
        <v>Pinhão</v>
      </c>
      <c r="BR16" s="52">
        <f>COUNTIF(Respostas_Formatadas!$BC:$BC,EmpAtual!BQ16)</f>
        <v>2</v>
      </c>
      <c r="BS16" s="53">
        <f t="shared" si="10"/>
        <v>1.3986013986013986E-2</v>
      </c>
      <c r="BT16" s="48"/>
      <c r="BU16" s="52">
        <v>8</v>
      </c>
      <c r="BV16" s="60" t="str">
        <f t="array" ref="BV16">INDEX($BQ$49:$BQ$82,SMALL(IF($BR$49:$BR$82=BW16,ROW($BR$49:$BR$82)-48),COUNTIF($BW$9:BW16,BW16)))</f>
        <v>Nossa Senhora do Socorro</v>
      </c>
      <c r="BW16" s="52">
        <f t="shared" si="11"/>
        <v>0</v>
      </c>
      <c r="BX16" s="53">
        <f t="shared" si="12"/>
        <v>0</v>
      </c>
      <c r="BY16" s="48"/>
      <c r="BZ16" s="81">
        <v>55</v>
      </c>
      <c r="CA16" s="51" t="s">
        <v>55</v>
      </c>
      <c r="CB16" s="120">
        <f>IFERROR(VLOOKUP(CB$25,Tabulacao!$FT$2:$FV$15,2,0),"-")</f>
        <v>4</v>
      </c>
      <c r="CC16" s="120">
        <f>IFERROR(VLOOKUP(CC$25,Tabulacao!$FT$2:$FV$15,2,0),"-")</f>
        <v>2</v>
      </c>
      <c r="CD16" s="120">
        <f>IFERROR(VLOOKUP(CD$25,Tabulacao!$FT$2:$FV$15,2,0),"-")</f>
        <v>20</v>
      </c>
      <c r="CE16" s="120">
        <f>IFERROR(VLOOKUP(CE$25,Tabulacao!$FT$2:$FV$15,2,0),"-")</f>
        <v>39</v>
      </c>
      <c r="CF16" s="120">
        <f>IFERROR(VLOOKUP(CF$25,Tabulacao!$FT$2:$FV$15,2,0),"-")</f>
        <v>92</v>
      </c>
      <c r="CG16" s="276">
        <f t="shared" si="13"/>
        <v>157</v>
      </c>
      <c r="CH16" s="173">
        <f>IFERROR(VLOOKUP(CH$8,Tabulacao!$FT$2:$FV$15,2,0),"-")</f>
        <v>4.3566878980891719</v>
      </c>
      <c r="CI16" s="122">
        <f>IFERROR(VLOOKUP(CI$8,Tabulacao!$FT$2:$FV$15,2,0),"-")</f>
        <v>5</v>
      </c>
      <c r="CJ16" s="122">
        <f>IFERROR(VLOOKUP(CJ$8,Tabulacao!$FT$2:$FV$15,2,0),"-")</f>
        <v>5</v>
      </c>
      <c r="CK16" s="176">
        <f>IFERROR(VLOOKUP(CK$8,Tabulacao!$FT$2:$FV$15,2,0),"-")</f>
        <v>0.21433415415644802</v>
      </c>
      <c r="CL16" s="91"/>
      <c r="CM16" s="81">
        <v>68</v>
      </c>
      <c r="CN16" s="51" t="s">
        <v>55</v>
      </c>
      <c r="CO16" s="120">
        <f>IFERROR(VLOOKUP(CO$25,Tabulacao!$FT$2:$FV$15,2,0),"-")</f>
        <v>4</v>
      </c>
      <c r="CP16" s="120">
        <f>IFERROR(VLOOKUP(CP$25,Tabulacao!$FT$2:$FV$15,2,0),"-")</f>
        <v>2</v>
      </c>
      <c r="CQ16" s="120">
        <f>IFERROR(VLOOKUP(CQ$25,Tabulacao!$FT$2:$FV$15,2,0),"-")</f>
        <v>20</v>
      </c>
      <c r="CR16" s="120">
        <f>IFERROR(VLOOKUP(CR$25,Tabulacao!$FT$2:$FV$15,2,0),"-")</f>
        <v>39</v>
      </c>
      <c r="CS16" s="120">
        <f>IFERROR(VLOOKUP(CS$25,Tabulacao!$FT$2:$FV$15,2,0),"-")</f>
        <v>92</v>
      </c>
      <c r="CT16" s="120">
        <f t="shared" si="14"/>
        <v>157</v>
      </c>
      <c r="CU16" s="173">
        <f>IFERROR(VLOOKUP(CU$8,Tabulacao!$FT$2:$FV$15,2,0),"-")</f>
        <v>4.3566878980891719</v>
      </c>
      <c r="CV16" s="122">
        <f>IFERROR(VLOOKUP(CV$8,Tabulacao!$FT$2:$FV$15,2,0),"-")</f>
        <v>5</v>
      </c>
      <c r="CW16" s="122">
        <f>IFERROR(VLOOKUP(CW$8,Tabulacao!$FT$2:$FV$15,2,0),"-")</f>
        <v>5</v>
      </c>
      <c r="CX16" s="176">
        <f>IFERROR(VLOOKUP(CX$8,Tabulacao!$FT$2:$FV$15,2,0),"-")</f>
        <v>0.21433415415644802</v>
      </c>
      <c r="CY16" s="48"/>
      <c r="CZ16" s="61" t="str">
        <f>Tabulacao!HY11</f>
        <v>Moda</v>
      </c>
      <c r="DA16" s="64">
        <f>Tabulacao!HZ11</f>
        <v>3</v>
      </c>
      <c r="DB16" s="63" t="s">
        <v>933</v>
      </c>
      <c r="DC16" s="48"/>
      <c r="DD16" s="48"/>
      <c r="DE16" s="48"/>
      <c r="DF16" s="48"/>
      <c r="DG16" s="60" t="str">
        <f>Tabulacao!IB11</f>
        <v>Pouca experiência profissional</v>
      </c>
      <c r="DH16" s="52">
        <f>Tabulacao!IC11</f>
        <v>93</v>
      </c>
      <c r="DI16" s="53">
        <f t="shared" si="1"/>
        <v>0.34317343173431736</v>
      </c>
      <c r="DJ16" s="48"/>
      <c r="DK16" s="48"/>
      <c r="DL16" s="60" t="str">
        <f>Tabulacao!IE11</f>
        <v>Experiências internacionais</v>
      </c>
      <c r="DM16" s="52">
        <f>Tabulacao!IF11</f>
        <v>6</v>
      </c>
      <c r="DN16" s="53">
        <f t="shared" si="2"/>
        <v>2.2140221402214021E-2</v>
      </c>
      <c r="DO16" s="48"/>
      <c r="DP16" s="48"/>
    </row>
    <row r="17" spans="2:120" x14ac:dyDescent="0.2">
      <c r="B17" s="48"/>
      <c r="C17" s="323"/>
      <c r="D17" s="48"/>
      <c r="E17" s="48"/>
      <c r="F17" s="60" t="s">
        <v>134</v>
      </c>
      <c r="G17" s="52">
        <v>97</v>
      </c>
      <c r="H17" s="48"/>
      <c r="I17" s="48"/>
      <c r="J17" s="48"/>
      <c r="K17" s="48"/>
      <c r="L17" s="48"/>
      <c r="M17" s="52">
        <v>9</v>
      </c>
      <c r="N17" s="51" t="s">
        <v>506</v>
      </c>
      <c r="O17" s="70">
        <v>3</v>
      </c>
      <c r="P17" s="53">
        <f t="shared" si="3"/>
        <v>1.9607843137254902E-2</v>
      </c>
      <c r="Q17" s="48"/>
      <c r="R17" s="52">
        <v>9</v>
      </c>
      <c r="S17" s="51" t="str">
        <f t="array" ref="S17">INDEX($N$103:$N$188,SMALL(IF($O$103:$O$188=T17,ROW($O$103:$O$188)-102),COUNTIF($T$9:T17,T17)))</f>
        <v>Trainee - Engenheiro Civil</v>
      </c>
      <c r="T17" s="70">
        <f t="shared" si="4"/>
        <v>1</v>
      </c>
      <c r="U17" s="53">
        <f t="shared" si="5"/>
        <v>4.3478260869565216E-2</v>
      </c>
      <c r="V17" s="48"/>
      <c r="W17" s="48"/>
      <c r="X17" s="48"/>
      <c r="Y17" s="48"/>
      <c r="Z17" s="48"/>
      <c r="AA17" s="48"/>
      <c r="AB17" s="48"/>
      <c r="AC17" s="48"/>
      <c r="AD17" s="48"/>
      <c r="AE17" s="48"/>
      <c r="AF17" s="48"/>
      <c r="AG17" s="82">
        <v>37</v>
      </c>
      <c r="AH17" s="275" t="s">
        <v>1275</v>
      </c>
      <c r="AI17" s="65" t="str">
        <f>Tabulacao!DG2</f>
        <v>Em que medida você está satisfeito com a remuneração do seu emprego atual?</v>
      </c>
      <c r="AJ17" s="63">
        <f>VLOOKUP(AJ$16,Tabulacao!$DG$3:$DI$15,3,0)</f>
        <v>0.1464968152866242</v>
      </c>
      <c r="AK17" s="63">
        <f>VLOOKUP(AK$16,Tabulacao!$DG$3:$DI$15,3,0)</f>
        <v>0.17197452229299362</v>
      </c>
      <c r="AL17" s="63">
        <f>VLOOKUP(AL$16,Tabulacao!$DG$3:$DI$15,3,0)</f>
        <v>0.40764331210191085</v>
      </c>
      <c r="AM17" s="63">
        <f>VLOOKUP(AM$16,Tabulacao!$DG$3:$DI$15,3,0)</f>
        <v>0.16560509554140126</v>
      </c>
      <c r="AN17" s="63">
        <f>VLOOKUP(AN$16,Tabulacao!$DG$3:$DI$15,3,0)</f>
        <v>0.10828025477707007</v>
      </c>
      <c r="AO17" s="95">
        <f>SUM(AJ17:AN17)</f>
        <v>1</v>
      </c>
      <c r="AP17" s="170">
        <f>VLOOKUP(AP$16,Tabulacao!$DG$2:$DI$15,2,0)</f>
        <v>2.9171974522292992</v>
      </c>
      <c r="AQ17" s="171">
        <f>VLOOKUP(AQ$16,Tabulacao!$DG$2:$DI$15,2,0)</f>
        <v>3</v>
      </c>
      <c r="AR17" s="171">
        <f>VLOOKUP(AR$16,Tabulacao!$DG$2:$DI$15,2,0)</f>
        <v>3</v>
      </c>
      <c r="AS17" s="172">
        <f>VLOOKUP(AS$16,Tabulacao!$DG$2:$DI$15,2,0)</f>
        <v>0.39954113840220401</v>
      </c>
      <c r="AT17" s="48"/>
      <c r="AU17" s="48"/>
      <c r="AV17" s="48"/>
      <c r="AW17" s="48"/>
      <c r="AX17" s="60" t="str">
        <f>Tabulacao!DV13</f>
        <v>Meu emprego atual permite que eu trabalhe em um lugar que eu prefiro</v>
      </c>
      <c r="AY17" s="52">
        <f>Tabulacao!DW13</f>
        <v>3</v>
      </c>
      <c r="AZ17" s="53">
        <f t="shared" si="8"/>
        <v>4.6153846153846156E-2</v>
      </c>
      <c r="BA17" s="48"/>
      <c r="BB17" s="48"/>
      <c r="BC17" s="48"/>
      <c r="BD17" s="48"/>
      <c r="BE17" s="48"/>
      <c r="BF17" s="48"/>
      <c r="BG17" s="48"/>
      <c r="BH17" s="48"/>
      <c r="BI17" s="48"/>
      <c r="BJ17" s="48"/>
      <c r="BK17" s="48"/>
      <c r="BL17" s="48"/>
      <c r="BM17" s="48"/>
      <c r="BN17" s="48"/>
      <c r="BO17" s="48"/>
      <c r="BP17" s="48"/>
      <c r="BQ17" s="60" t="str">
        <f>Tabulacao!EM11</f>
        <v>Itabaiana</v>
      </c>
      <c r="BR17" s="52">
        <f>COUNTIF(Respostas_Formatadas!$BC:$BC,EmpAtual!BQ17)</f>
        <v>1</v>
      </c>
      <c r="BS17" s="53">
        <f t="shared" si="10"/>
        <v>6.993006993006993E-3</v>
      </c>
      <c r="BT17" s="48"/>
      <c r="BU17" s="52">
        <v>9</v>
      </c>
      <c r="BV17" s="60" t="str">
        <f t="array" ref="BV17">INDEX($BQ$49:$BQ$82,SMALL(IF($BR$49:$BR$82=BW17,ROW($BR$49:$BR$82)-48),COUNTIF($BW$9:BW17,BW17)))</f>
        <v>São Cristóvão</v>
      </c>
      <c r="BW17" s="52">
        <f t="shared" si="11"/>
        <v>0</v>
      </c>
      <c r="BX17" s="53">
        <f t="shared" si="12"/>
        <v>0</v>
      </c>
      <c r="BY17" s="48"/>
      <c r="BZ17" s="82">
        <v>56</v>
      </c>
      <c r="CA17" s="65" t="s">
        <v>56</v>
      </c>
      <c r="CB17" s="169">
        <f>IFERROR(VLOOKUP(CB$25,Tabulacao!$FW$2:$FY$15,2,0),"-")</f>
        <v>5</v>
      </c>
      <c r="CC17" s="169">
        <f>IFERROR(VLOOKUP(CC$25,Tabulacao!$FW$2:$FY$15,2,0),"-")</f>
        <v>8</v>
      </c>
      <c r="CD17" s="169">
        <f>IFERROR(VLOOKUP(CD$25,Tabulacao!$FW$2:$FY$15,2,0),"-")</f>
        <v>24</v>
      </c>
      <c r="CE17" s="169">
        <f>IFERROR(VLOOKUP(CE$25,Tabulacao!$FW$2:$FY$15,2,0),"-")</f>
        <v>64</v>
      </c>
      <c r="CF17" s="169">
        <f>IFERROR(VLOOKUP(CF$25,Tabulacao!$FW$2:$FY$15,2,0),"-")</f>
        <v>56</v>
      </c>
      <c r="CG17" s="253">
        <f t="shared" si="13"/>
        <v>157</v>
      </c>
      <c r="CH17" s="170">
        <f>IFERROR(VLOOKUP(CH$8,Tabulacao!$FW$2:$FY$15,2,0),"-")</f>
        <v>4.0063694267515926</v>
      </c>
      <c r="CI17" s="171">
        <f>IFERROR(VLOOKUP(CI$8,Tabulacao!$FW$2:$FY$15,2,0),"-")</f>
        <v>4</v>
      </c>
      <c r="CJ17" s="171">
        <f>IFERROR(VLOOKUP(CJ$8,Tabulacao!$FW$2:$FY$15,2,0),"-")</f>
        <v>4</v>
      </c>
      <c r="CK17" s="172">
        <f>IFERROR(VLOOKUP(CK$8,Tabulacao!$FW$2:$FY$15,2,0),"-")</f>
        <v>0.25039619451066264</v>
      </c>
      <c r="CL17" s="91"/>
      <c r="CM17" s="82">
        <v>69</v>
      </c>
      <c r="CN17" s="65" t="s">
        <v>56</v>
      </c>
      <c r="CO17" s="169">
        <f>IFERROR(VLOOKUP(CO$25,Tabulacao!$FW$2:$FY$15,2,0),"-")</f>
        <v>5</v>
      </c>
      <c r="CP17" s="169">
        <f>IFERROR(VLOOKUP(CP$25,Tabulacao!$FW$2:$FY$15,2,0),"-")</f>
        <v>8</v>
      </c>
      <c r="CQ17" s="169">
        <f>IFERROR(VLOOKUP(CQ$25,Tabulacao!$FW$2:$FY$15,2,0),"-")</f>
        <v>24</v>
      </c>
      <c r="CR17" s="169">
        <f>IFERROR(VLOOKUP(CR$25,Tabulacao!$FW$2:$FY$15,2,0),"-")</f>
        <v>64</v>
      </c>
      <c r="CS17" s="169">
        <f>IFERROR(VLOOKUP(CS$25,Tabulacao!$FW$2:$FY$15,2,0),"-")</f>
        <v>56</v>
      </c>
      <c r="CT17" s="169">
        <f t="shared" si="14"/>
        <v>157</v>
      </c>
      <c r="CU17" s="170">
        <f>IFERROR(VLOOKUP(CU$8,Tabulacao!$FW$2:$FY$15,2,0),"-")</f>
        <v>4.0063694267515926</v>
      </c>
      <c r="CV17" s="171">
        <f>IFERROR(VLOOKUP(CV$8,Tabulacao!$FW$2:$FY$15,2,0),"-")</f>
        <v>4</v>
      </c>
      <c r="CW17" s="171">
        <f>IFERROR(VLOOKUP(CW$8,Tabulacao!$FW$2:$FY$15,2,0),"-")</f>
        <v>4</v>
      </c>
      <c r="CX17" s="172">
        <f>IFERROR(VLOOKUP(CX$8,Tabulacao!$FW$2:$FY$15,2,0),"-")</f>
        <v>0.25039619451066264</v>
      </c>
      <c r="CY17" s="48"/>
      <c r="CZ17" s="61" t="str">
        <f>Tabulacao!HY13</f>
        <v>Desvio Padrão</v>
      </c>
      <c r="DA17" s="62">
        <f>Tabulacao!HZ13</f>
        <v>1.2858711189871814</v>
      </c>
      <c r="DB17" s="63" t="s">
        <v>933</v>
      </c>
      <c r="DC17" s="48"/>
      <c r="DD17" s="48"/>
      <c r="DE17" s="48"/>
      <c r="DF17" s="48"/>
      <c r="DG17" s="60" t="str">
        <f>Tabulacao!IB12</f>
        <v>Falta de cursos de aperfeiçoamento</v>
      </c>
      <c r="DH17" s="52">
        <f>Tabulacao!IC12</f>
        <v>21</v>
      </c>
      <c r="DI17" s="53">
        <f t="shared" si="1"/>
        <v>7.7490774907749083E-2</v>
      </c>
      <c r="DJ17" s="48"/>
      <c r="DK17" s="48"/>
      <c r="DL17" s="60" t="str">
        <f>Tabulacao!IE12</f>
        <v>Experiência profissional</v>
      </c>
      <c r="DM17" s="52">
        <f>Tabulacao!IF12</f>
        <v>70</v>
      </c>
      <c r="DN17" s="53">
        <f t="shared" si="2"/>
        <v>0.25830258302583026</v>
      </c>
      <c r="DO17" s="48"/>
      <c r="DP17" s="48"/>
    </row>
    <row r="18" spans="2:120" x14ac:dyDescent="0.2">
      <c r="B18" s="48"/>
      <c r="C18" s="323"/>
      <c r="D18" s="48"/>
      <c r="E18" s="48"/>
      <c r="F18" s="60" t="s">
        <v>165</v>
      </c>
      <c r="G18" s="52">
        <v>100</v>
      </c>
      <c r="H18" s="48"/>
      <c r="I18" s="48"/>
      <c r="J18" s="48"/>
      <c r="K18" s="48"/>
      <c r="L18" s="48"/>
      <c r="M18" s="52">
        <v>10</v>
      </c>
      <c r="N18" s="51" t="s">
        <v>289</v>
      </c>
      <c r="O18" s="70">
        <v>2</v>
      </c>
      <c r="P18" s="53">
        <f t="shared" si="3"/>
        <v>1.3071895424836602E-2</v>
      </c>
      <c r="Q18" s="48"/>
      <c r="R18" s="52">
        <v>10</v>
      </c>
      <c r="S18" s="51" t="str">
        <f t="array" ref="S18">INDEX($N$103:$N$188,SMALL(IF($O$103:$O$188=T18,ROW($O$103:$O$188)-102),COUNTIF($T$9:T18,T18)))</f>
        <v>Auxiliar em Administração</v>
      </c>
      <c r="T18" s="70">
        <f t="shared" si="4"/>
        <v>1</v>
      </c>
      <c r="U18" s="53">
        <f t="shared" si="5"/>
        <v>4.3478260869565216E-2</v>
      </c>
      <c r="V18" s="48"/>
      <c r="W18" s="48"/>
      <c r="X18" s="48"/>
      <c r="Y18" s="48"/>
      <c r="Z18" s="48"/>
      <c r="AA18" s="48"/>
      <c r="AB18" s="48"/>
      <c r="AC18" s="48"/>
      <c r="AD18" s="48"/>
      <c r="AE18" s="48"/>
      <c r="AF18" s="48"/>
      <c r="AG18" s="81">
        <v>38</v>
      </c>
      <c r="AH18" s="70" t="s">
        <v>1274</v>
      </c>
      <c r="AI18" s="51" t="str">
        <f>Tabulacao!DJ2</f>
        <v>Em que medida os conhecimentos adquiridos no IFS são úteis para você desempenhar suas atividades em seu emprego atual?</v>
      </c>
      <c r="AJ18" s="53">
        <f>VLOOKUP(AJ$16,Tabulacao!$DJ$3:$DL$15,3,0)</f>
        <v>0.12101910828025478</v>
      </c>
      <c r="AK18" s="53">
        <f>VLOOKUP(AK$16,Tabulacao!$DJ$3:$DL$15,3,0)</f>
        <v>0.11464968152866242</v>
      </c>
      <c r="AL18" s="53">
        <f>VLOOKUP(AL$16,Tabulacao!$DJ$3:$DL$15,3,0)</f>
        <v>0.22292993630573249</v>
      </c>
      <c r="AM18" s="53">
        <f>VLOOKUP(AM$16,Tabulacao!$DJ$3:$DL$15,3,0)</f>
        <v>0.20382165605095542</v>
      </c>
      <c r="AN18" s="53">
        <f>VLOOKUP(AN$16,Tabulacao!$DJ$3:$DL$15,3,0)</f>
        <v>0.33757961783439489</v>
      </c>
      <c r="AO18" s="277">
        <f t="shared" ref="AO18:AO21" si="16">SUM(AJ18:AN18)</f>
        <v>1</v>
      </c>
      <c r="AP18" s="173">
        <f>VLOOKUP(AP$16,Tabulacao!$DJ$2:$DL$15,2,0)</f>
        <v>3.5222929936305731</v>
      </c>
      <c r="AQ18" s="122">
        <f>VLOOKUP(AQ$16,Tabulacao!$DJ$2:$DL$15,2,0)</f>
        <v>5</v>
      </c>
      <c r="AR18" s="122">
        <f>VLOOKUP(AR$16,Tabulacao!$DJ$2:$DL$15,2,0)</f>
        <v>4</v>
      </c>
      <c r="AS18" s="176">
        <f>VLOOKUP(AS$16,Tabulacao!$DJ$2:$DL$15,2,0)</f>
        <v>0.39052584624846509</v>
      </c>
      <c r="AT18" s="48"/>
      <c r="AU18" s="48"/>
      <c r="AV18" s="48"/>
      <c r="AW18" s="48"/>
      <c r="AX18" s="60" t="str">
        <f>Tabulacao!DV14</f>
        <v>No início da carreira que pretendo seguir, eu devo aceitar um emprego pouco relacionado com os meus estudos</v>
      </c>
      <c r="AY18" s="52">
        <f>Tabulacao!DW14</f>
        <v>1</v>
      </c>
      <c r="AZ18" s="53">
        <f t="shared" si="8"/>
        <v>1.5384615384615385E-2</v>
      </c>
      <c r="BA18" s="48"/>
      <c r="BB18" s="48"/>
      <c r="BC18" s="48"/>
      <c r="BD18" s="48"/>
      <c r="BE18" s="48"/>
      <c r="BF18" s="48"/>
      <c r="BG18" s="48"/>
      <c r="BH18" s="48"/>
      <c r="BI18" s="48"/>
      <c r="BJ18" s="48"/>
      <c r="BK18" s="48"/>
      <c r="BL18" s="48"/>
      <c r="BM18" s="48"/>
      <c r="BN18" s="48"/>
      <c r="BO18" s="48"/>
      <c r="BP18" s="48"/>
      <c r="BQ18" s="60" t="str">
        <f>Tabulacao!EM12</f>
        <v>Barra dos Coqueiros</v>
      </c>
      <c r="BR18" s="52">
        <f>COUNTIF(Respostas_Formatadas!$BC:$BC,EmpAtual!BQ18)</f>
        <v>1</v>
      </c>
      <c r="BS18" s="53">
        <f t="shared" si="10"/>
        <v>6.993006993006993E-3</v>
      </c>
      <c r="BT18" s="48"/>
      <c r="BU18" s="52">
        <v>10</v>
      </c>
      <c r="BV18" s="60" t="str">
        <f t="array" ref="BV18">INDEX($BQ$49:$BQ$82,SMALL(IF($BR$49:$BR$82=BW18,ROW($BR$49:$BR$82)-48),COUNTIF($BW$9:BW18,BW18)))</f>
        <v>Recife - PE</v>
      </c>
      <c r="BW18" s="52">
        <f t="shared" si="11"/>
        <v>0</v>
      </c>
      <c r="BX18" s="53">
        <f t="shared" si="12"/>
        <v>0</v>
      </c>
      <c r="BY18" s="48"/>
      <c r="BZ18" s="81">
        <v>57</v>
      </c>
      <c r="CA18" s="51" t="s">
        <v>57</v>
      </c>
      <c r="CB18" s="120">
        <f>IFERROR(VLOOKUP(CB$25,Tabulacao!$FZ$2:$GB$15,2,0),"-")</f>
        <v>5</v>
      </c>
      <c r="CC18" s="120">
        <f>IFERROR(VLOOKUP(CC$25,Tabulacao!$FZ$2:$GB$15,2,0),"-")</f>
        <v>12</v>
      </c>
      <c r="CD18" s="120">
        <f>IFERROR(VLOOKUP(CD$25,Tabulacao!$FZ$2:$GB$15,2,0),"-")</f>
        <v>38</v>
      </c>
      <c r="CE18" s="120">
        <f>IFERROR(VLOOKUP(CE$25,Tabulacao!$FZ$2:$GB$15,2,0),"-")</f>
        <v>44</v>
      </c>
      <c r="CF18" s="120">
        <f>IFERROR(VLOOKUP(CF$25,Tabulacao!$FZ$2:$GB$15,2,0),"-")</f>
        <v>58</v>
      </c>
      <c r="CG18" s="276">
        <f t="shared" si="13"/>
        <v>157</v>
      </c>
      <c r="CH18" s="173">
        <f>IFERROR(VLOOKUP(CH$8,Tabulacao!$FZ$2:$GB$15,2,0),"-")</f>
        <v>3.878980891719745</v>
      </c>
      <c r="CI18" s="122">
        <f>IFERROR(VLOOKUP(CI$8,Tabulacao!$FZ$2:$GB$15,2,0),"-")</f>
        <v>5</v>
      </c>
      <c r="CJ18" s="122">
        <f>IFERROR(VLOOKUP(CJ$8,Tabulacao!$FZ$2:$GB$15,2,0),"-")</f>
        <v>4</v>
      </c>
      <c r="CK18" s="176">
        <f>IFERROR(VLOOKUP(CK$8,Tabulacao!$FZ$2:$GB$15,2,0),"-")</f>
        <v>0.28202847585758828</v>
      </c>
      <c r="CL18" s="91"/>
      <c r="CM18" s="81">
        <v>70</v>
      </c>
      <c r="CN18" s="51" t="s">
        <v>57</v>
      </c>
      <c r="CO18" s="120">
        <f>IFERROR(VLOOKUP(CO$25,Tabulacao!$FZ$2:$GB$15,2,0),"-")</f>
        <v>5</v>
      </c>
      <c r="CP18" s="120">
        <f>IFERROR(VLOOKUP(CP$25,Tabulacao!$FZ$2:$GB$15,2,0),"-")</f>
        <v>12</v>
      </c>
      <c r="CQ18" s="120">
        <f>IFERROR(VLOOKUP(CQ$25,Tabulacao!$FZ$2:$GB$15,2,0),"-")</f>
        <v>38</v>
      </c>
      <c r="CR18" s="120">
        <f>IFERROR(VLOOKUP(CR$25,Tabulacao!$FZ$2:$GB$15,2,0),"-")</f>
        <v>44</v>
      </c>
      <c r="CS18" s="120">
        <f>IFERROR(VLOOKUP(CS$25,Tabulacao!$FZ$2:$GB$15,2,0),"-")</f>
        <v>58</v>
      </c>
      <c r="CT18" s="120">
        <f t="shared" si="14"/>
        <v>157</v>
      </c>
      <c r="CU18" s="173">
        <f>IFERROR(VLOOKUP(CU$8,Tabulacao!$FZ$2:$GB$15,2,0),"-")</f>
        <v>3.878980891719745</v>
      </c>
      <c r="CV18" s="122">
        <f>IFERROR(VLOOKUP(CV$8,Tabulacao!$FZ$2:$GB$15,2,0),"-")</f>
        <v>5</v>
      </c>
      <c r="CW18" s="122">
        <f>IFERROR(VLOOKUP(CW$8,Tabulacao!$FZ$2:$GB$15,2,0),"-")</f>
        <v>4</v>
      </c>
      <c r="CX18" s="176">
        <f>IFERROR(VLOOKUP(CX$8,Tabulacao!$FZ$2:$GB$15,2,0),"-")</f>
        <v>0.28202847585758828</v>
      </c>
      <c r="CY18" s="48"/>
      <c r="CZ18" s="61" t="str">
        <f>Tabulacao!HY14</f>
        <v>Variância</v>
      </c>
      <c r="DA18" s="62">
        <f>Tabulacao!HZ14</f>
        <v>1.653464534645346</v>
      </c>
      <c r="DB18" s="63" t="s">
        <v>933</v>
      </c>
      <c r="DC18" s="48"/>
      <c r="DD18" s="48"/>
      <c r="DE18" s="48"/>
      <c r="DF18" s="48"/>
      <c r="DG18" s="60" t="str">
        <f>Tabulacao!IB13</f>
        <v>Discriminação (racial, cor, gênero, social, etc.)</v>
      </c>
      <c r="DH18" s="52">
        <f>Tabulacao!IC13</f>
        <v>7</v>
      </c>
      <c r="DI18" s="53">
        <f t="shared" si="1"/>
        <v>2.5830258302583026E-2</v>
      </c>
      <c r="DJ18" s="48"/>
      <c r="DK18" s="48"/>
      <c r="DL18" s="60" t="str">
        <f>Tabulacao!IE13</f>
        <v>Cursos de aperfeiçoamento</v>
      </c>
      <c r="DM18" s="52">
        <f>Tabulacao!IF13</f>
        <v>72</v>
      </c>
      <c r="DN18" s="53">
        <f t="shared" si="2"/>
        <v>0.26568265682656828</v>
      </c>
      <c r="DO18" s="48"/>
      <c r="DP18" s="48"/>
    </row>
    <row r="19" spans="2:120" x14ac:dyDescent="0.2">
      <c r="B19" s="48"/>
      <c r="C19" s="323"/>
      <c r="D19" s="48"/>
      <c r="E19" s="48"/>
      <c r="F19" s="60" t="s">
        <v>166</v>
      </c>
      <c r="G19" s="52">
        <v>74</v>
      </c>
      <c r="H19" s="48"/>
      <c r="I19" s="48"/>
      <c r="J19" s="48"/>
      <c r="K19" s="48"/>
      <c r="L19" s="48"/>
      <c r="M19" s="52">
        <v>11</v>
      </c>
      <c r="N19" s="51" t="s">
        <v>340</v>
      </c>
      <c r="O19" s="70">
        <v>2</v>
      </c>
      <c r="P19" s="53">
        <f t="shared" si="3"/>
        <v>1.3071895424836602E-2</v>
      </c>
      <c r="Q19" s="48"/>
      <c r="R19" s="52">
        <v>11</v>
      </c>
      <c r="S19" s="51" t="str">
        <f t="array" ref="S19">INDEX($N$103:$N$188,SMALL(IF($O$103:$O$188=T19,ROW($O$103:$O$188)-102),COUNTIF($T$9:T19,T19)))</f>
        <v>Analista de Sistemas</v>
      </c>
      <c r="T19" s="70">
        <f t="shared" si="4"/>
        <v>0</v>
      </c>
      <c r="U19" s="53">
        <f t="shared" si="5"/>
        <v>0</v>
      </c>
      <c r="V19" s="48"/>
      <c r="W19" s="48"/>
      <c r="X19" s="48"/>
      <c r="Y19" s="48"/>
      <c r="Z19" s="48"/>
      <c r="AA19" s="48"/>
      <c r="AB19" s="48"/>
      <c r="AC19" s="48"/>
      <c r="AD19" s="48"/>
      <c r="AE19" s="48"/>
      <c r="AF19" s="48"/>
      <c r="AG19" s="82">
        <v>39</v>
      </c>
      <c r="AH19" s="275" t="s">
        <v>1274</v>
      </c>
      <c r="AI19" s="65" t="str">
        <f>Tabulacao!DM2</f>
        <v>Em que medida seu emprego atual demanda por conhecimentos e habilidades além do que você pode oferecer?</v>
      </c>
      <c r="AJ19" s="63">
        <f>VLOOKUP(AJ$16,Tabulacao!$DM$3:$DO$15,3,0)</f>
        <v>0.19108280254777071</v>
      </c>
      <c r="AK19" s="63">
        <f>VLOOKUP(AK$16,Tabulacao!$DM$3:$DO$15,3,0)</f>
        <v>0.15286624203821655</v>
      </c>
      <c r="AL19" s="63">
        <f>VLOOKUP(AL$16,Tabulacao!$DM$3:$DO$15,3,0)</f>
        <v>0.32484076433121017</v>
      </c>
      <c r="AM19" s="63">
        <f>VLOOKUP(AM$16,Tabulacao!$DM$3:$DO$15,3,0)</f>
        <v>0.15286624203821655</v>
      </c>
      <c r="AN19" s="63">
        <f>VLOOKUP(AN$16,Tabulacao!$DM$3:$DO$15,3,0)</f>
        <v>0.17834394904458598</v>
      </c>
      <c r="AO19" s="95">
        <f t="shared" si="16"/>
        <v>1</v>
      </c>
      <c r="AP19" s="170">
        <f>VLOOKUP(AP$16,Tabulacao!$DM$2:$DO$15,2,0)</f>
        <v>2.9745222929936306</v>
      </c>
      <c r="AQ19" s="171">
        <f>VLOOKUP(AQ$16,Tabulacao!$DM$2:$DO$15,2,0)</f>
        <v>3</v>
      </c>
      <c r="AR19" s="171">
        <f>VLOOKUP(AR$16,Tabulacao!$DM$2:$DO$15,2,0)</f>
        <v>3</v>
      </c>
      <c r="AS19" s="172">
        <f>VLOOKUP(AS$16,Tabulacao!$DM$2:$DO$15,2,0)</f>
        <v>0.45031917443724362</v>
      </c>
      <c r="AT19" s="48"/>
      <c r="AU19" s="48"/>
      <c r="AV19" s="48"/>
      <c r="AW19" s="48"/>
      <c r="AX19" s="93" t="s">
        <v>621</v>
      </c>
      <c r="AY19" s="94">
        <f>SUM(AY9:AY18)</f>
        <v>65</v>
      </c>
      <c r="AZ19" s="95">
        <f>SUM(AZ9:AZ18)</f>
        <v>1</v>
      </c>
      <c r="BA19" s="48"/>
      <c r="BB19" s="48"/>
      <c r="BC19" s="48"/>
      <c r="BD19" s="48"/>
      <c r="BE19" s="48"/>
      <c r="BF19" s="48"/>
      <c r="BG19" s="48"/>
      <c r="BH19" s="48"/>
      <c r="BI19" s="48"/>
      <c r="BJ19" s="48"/>
      <c r="BK19" s="48"/>
      <c r="BL19" s="48"/>
      <c r="BM19" s="48"/>
      <c r="BN19" s="48"/>
      <c r="BO19" s="48"/>
      <c r="BP19" s="48"/>
      <c r="BQ19" s="60" t="str">
        <f>Tabulacao!EM13</f>
        <v>Belém - PA</v>
      </c>
      <c r="BR19" s="52">
        <f>COUNTIF(Respostas_Formatadas!$BC:$BC,EmpAtual!BQ19)</f>
        <v>1</v>
      </c>
      <c r="BS19" s="53">
        <f t="shared" si="10"/>
        <v>6.993006993006993E-3</v>
      </c>
      <c r="BT19" s="48"/>
      <c r="BU19" s="52">
        <v>11</v>
      </c>
      <c r="BV19" s="60" t="str">
        <f t="array" ref="BV19">INDEX($BQ$49:$BQ$82,SMALL(IF($BR$49:$BR$82=BW19,ROW($BR$49:$BR$82)-48),COUNTIF($BW$9:BW19,BW19)))</f>
        <v>Pinhão</v>
      </c>
      <c r="BW19" s="52">
        <f t="shared" si="11"/>
        <v>0</v>
      </c>
      <c r="BX19" s="53">
        <f t="shared" si="12"/>
        <v>0</v>
      </c>
      <c r="BY19" s="48"/>
      <c r="BZ19" s="82">
        <v>58</v>
      </c>
      <c r="CA19" s="65" t="s">
        <v>58</v>
      </c>
      <c r="CB19" s="169">
        <f>IFERROR(VLOOKUP(CB$25,Tabulacao!$GC$2:$GE$15,2,0),"-")</f>
        <v>20</v>
      </c>
      <c r="CC19" s="169">
        <f>IFERROR(VLOOKUP(CC$25,Tabulacao!$GC$2:$GE$15,2,0),"-")</f>
        <v>16</v>
      </c>
      <c r="CD19" s="169">
        <f>IFERROR(VLOOKUP(CD$25,Tabulacao!$GC$2:$GE$15,2,0),"-")</f>
        <v>38</v>
      </c>
      <c r="CE19" s="169">
        <f>IFERROR(VLOOKUP(CE$25,Tabulacao!$GC$2:$GE$15,2,0),"-")</f>
        <v>39</v>
      </c>
      <c r="CF19" s="169">
        <f>IFERROR(VLOOKUP(CF$25,Tabulacao!$GC$2:$GE$15,2,0),"-")</f>
        <v>44</v>
      </c>
      <c r="CG19" s="253">
        <f t="shared" si="13"/>
        <v>157</v>
      </c>
      <c r="CH19" s="170">
        <f>IFERROR(VLOOKUP(CH$8,Tabulacao!$GC$2:$GE$15,2,0),"-")</f>
        <v>3.4522292993630574</v>
      </c>
      <c r="CI19" s="171">
        <f>IFERROR(VLOOKUP(CI$8,Tabulacao!$GC$2:$GE$15,2,0),"-")</f>
        <v>5</v>
      </c>
      <c r="CJ19" s="171">
        <f>IFERROR(VLOOKUP(CJ$8,Tabulacao!$GC$2:$GE$15,2,0),"-")</f>
        <v>4</v>
      </c>
      <c r="CK19" s="172">
        <f>IFERROR(VLOOKUP(CK$8,Tabulacao!$GC$2:$GE$15,2,0),"-")</f>
        <v>0.3873074731630165</v>
      </c>
      <c r="CL19" s="91"/>
      <c r="CM19" s="82">
        <v>71</v>
      </c>
      <c r="CN19" s="65" t="s">
        <v>58</v>
      </c>
      <c r="CO19" s="169">
        <f>IFERROR(VLOOKUP(CO$25,Tabulacao!$GC$2:$GE$15,2,0),"-")</f>
        <v>20</v>
      </c>
      <c r="CP19" s="169">
        <f>IFERROR(VLOOKUP(CP$25,Tabulacao!$GC$2:$GE$15,2,0),"-")</f>
        <v>16</v>
      </c>
      <c r="CQ19" s="169">
        <f>IFERROR(VLOOKUP(CQ$25,Tabulacao!$GC$2:$GE$15,2,0),"-")</f>
        <v>38</v>
      </c>
      <c r="CR19" s="169">
        <f>IFERROR(VLOOKUP(CR$25,Tabulacao!$GC$2:$GE$15,2,0),"-")</f>
        <v>39</v>
      </c>
      <c r="CS19" s="169">
        <f>IFERROR(VLOOKUP(CS$25,Tabulacao!$GC$2:$GE$15,2,0),"-")</f>
        <v>44</v>
      </c>
      <c r="CT19" s="169">
        <f t="shared" si="14"/>
        <v>157</v>
      </c>
      <c r="CU19" s="170">
        <f>IFERROR(VLOOKUP(CU$8,Tabulacao!$GC$2:$GE$15,2,0),"-")</f>
        <v>3.4522292993630574</v>
      </c>
      <c r="CV19" s="171">
        <f>IFERROR(VLOOKUP(CV$8,Tabulacao!$GC$2:$GE$15,2,0),"-")</f>
        <v>5</v>
      </c>
      <c r="CW19" s="171">
        <f>IFERROR(VLOOKUP(CW$8,Tabulacao!$GC$2:$GE$15,2,0),"-")</f>
        <v>4</v>
      </c>
      <c r="CX19" s="172">
        <f>IFERROR(VLOOKUP(CX$8,Tabulacao!$GC$2:$GE$15,2,0),"-")</f>
        <v>0.3873074731630165</v>
      </c>
      <c r="CY19" s="48"/>
      <c r="CZ19" s="61" t="str">
        <f>Tabulacao!HY15</f>
        <v>CV</v>
      </c>
      <c r="DA19" s="92">
        <f>Tabulacao!HZ15</f>
        <v>0.3959898559608252</v>
      </c>
      <c r="DB19" s="63" t="s">
        <v>933</v>
      </c>
      <c r="DC19" s="48"/>
      <c r="DD19" s="48"/>
      <c r="DE19" s="48"/>
      <c r="DF19" s="48"/>
      <c r="DG19" s="60" t="str">
        <f>Tabulacao!IB14</f>
        <v>Outros</v>
      </c>
      <c r="DH19" s="52">
        <f>Tabulacao!IC14</f>
        <v>31</v>
      </c>
      <c r="DI19" s="53">
        <f t="shared" si="1"/>
        <v>0.11439114391143912</v>
      </c>
      <c r="DJ19" s="48"/>
      <c r="DK19" s="48"/>
      <c r="DL19" s="60" t="str">
        <f>Tabulacao!IE14</f>
        <v>Discriminação (racial, cor, gênero, social, etc.)</v>
      </c>
      <c r="DM19" s="52">
        <f>Tabulacao!IF14</f>
        <v>1</v>
      </c>
      <c r="DN19" s="53">
        <f t="shared" si="2"/>
        <v>3.6900369003690036E-3</v>
      </c>
      <c r="DO19" s="48"/>
      <c r="DP19" s="48"/>
    </row>
    <row r="20" spans="2:120" x14ac:dyDescent="0.2">
      <c r="B20" s="48"/>
      <c r="C20" s="323"/>
      <c r="D20" s="48"/>
      <c r="E20" s="48"/>
      <c r="F20" s="93" t="s">
        <v>621</v>
      </c>
      <c r="G20" s="94">
        <f>SUM(G17:G19)</f>
        <v>271</v>
      </c>
      <c r="H20" s="48"/>
      <c r="I20" s="48"/>
      <c r="J20" s="48"/>
      <c r="K20" s="48"/>
      <c r="L20" s="48"/>
      <c r="M20" s="52">
        <v>12</v>
      </c>
      <c r="N20" s="51" t="s">
        <v>418</v>
      </c>
      <c r="O20" s="70">
        <v>2</v>
      </c>
      <c r="P20" s="53">
        <f t="shared" si="3"/>
        <v>1.3071895424836602E-2</v>
      </c>
      <c r="Q20" s="48"/>
      <c r="R20" s="52">
        <v>12</v>
      </c>
      <c r="S20" s="51" t="str">
        <f t="array" ref="S20">INDEX($N$103:$N$188,SMALL(IF($O$103:$O$188=T20,ROW($O$103:$O$188)-102),COUNTIF($T$9:T20,T20)))</f>
        <v>Analista Ambiental</v>
      </c>
      <c r="T20" s="70">
        <f t="shared" si="4"/>
        <v>0</v>
      </c>
      <c r="U20" s="53">
        <f t="shared" si="5"/>
        <v>0</v>
      </c>
      <c r="V20" s="48"/>
      <c r="W20" s="48"/>
      <c r="X20" s="48"/>
      <c r="Y20" s="48"/>
      <c r="Z20" s="48"/>
      <c r="AA20" s="48"/>
      <c r="AB20" s="48"/>
      <c r="AC20" s="48"/>
      <c r="AD20" s="48"/>
      <c r="AE20" s="48"/>
      <c r="AF20" s="48"/>
      <c r="AG20" s="81">
        <v>40</v>
      </c>
      <c r="AH20" s="70" t="s">
        <v>1275</v>
      </c>
      <c r="AI20" s="51" t="str">
        <f>Tabulacao!DP2</f>
        <v>No geral, quão satisfeito você está com seu emprego atual?</v>
      </c>
      <c r="AJ20" s="53">
        <f>VLOOKUP(AJ$16,Tabulacao!$DP$3:$DR$15,3,0)</f>
        <v>7.0063694267515922E-2</v>
      </c>
      <c r="AK20" s="53">
        <f>VLOOKUP(AK$16,Tabulacao!$DP$3:$DR$15,3,0)</f>
        <v>7.0063694267515922E-2</v>
      </c>
      <c r="AL20" s="53">
        <f>VLOOKUP(AL$16,Tabulacao!$DP$3:$DR$15,3,0)</f>
        <v>0.3503184713375796</v>
      </c>
      <c r="AM20" s="53">
        <f>VLOOKUP(AM$16,Tabulacao!$DP$3:$DR$15,3,0)</f>
        <v>0.3503184713375796</v>
      </c>
      <c r="AN20" s="53">
        <f>VLOOKUP(AN$16,Tabulacao!$DP$3:$DR$15,3,0)</f>
        <v>0.15923566878980891</v>
      </c>
      <c r="AO20" s="277">
        <f t="shared" si="16"/>
        <v>1</v>
      </c>
      <c r="AP20" s="173">
        <f>VLOOKUP(AP$16,Tabulacao!$DP$2:$DR$15,2,0)</f>
        <v>3.4585987261146496</v>
      </c>
      <c r="AQ20" s="122">
        <f>VLOOKUP(AQ$16,Tabulacao!$DP$2:$DR$15,2,0)</f>
        <v>3</v>
      </c>
      <c r="AR20" s="122">
        <f>VLOOKUP(AR$16,Tabulacao!$DP$2:$DR$15,2,0)</f>
        <v>4</v>
      </c>
      <c r="AS20" s="176">
        <f>VLOOKUP(AS$16,Tabulacao!$DP$2:$DR$15,2,0)</f>
        <v>0.30796453983877997</v>
      </c>
      <c r="AT20" s="48"/>
      <c r="AU20" s="48"/>
      <c r="AV20" s="48"/>
      <c r="AW20" s="48"/>
      <c r="AX20" s="48"/>
      <c r="AY20" s="48"/>
      <c r="AZ20" s="48"/>
      <c r="BA20" s="48"/>
      <c r="BB20" s="48"/>
      <c r="BC20" s="48"/>
      <c r="BD20" s="48"/>
      <c r="BE20" s="48"/>
      <c r="BF20" s="48"/>
      <c r="BG20" s="48"/>
      <c r="BH20" s="48"/>
      <c r="BI20" s="48"/>
      <c r="BJ20" s="48"/>
      <c r="BK20" s="48"/>
      <c r="BL20" s="48"/>
      <c r="BM20" s="48"/>
      <c r="BN20" s="48"/>
      <c r="BO20" s="48"/>
      <c r="BP20" s="48"/>
      <c r="BQ20" s="60" t="str">
        <f>Tabulacao!EM14</f>
        <v>Simão Dias</v>
      </c>
      <c r="BR20" s="52">
        <f>COUNTIF(Respostas_Formatadas!$BC:$BC,EmpAtual!BQ20)</f>
        <v>1</v>
      </c>
      <c r="BS20" s="53">
        <f t="shared" si="10"/>
        <v>6.993006993006993E-3</v>
      </c>
      <c r="BT20" s="48"/>
      <c r="BU20" s="52">
        <v>12</v>
      </c>
      <c r="BV20" s="60" t="str">
        <f t="array" ref="BV20">INDEX($BQ$49:$BQ$82,SMALL(IF($BR$49:$BR$82=BW20,ROW($BR$49:$BR$82)-48),COUNTIF($BW$9:BW20,BW20)))</f>
        <v>Itabaiana</v>
      </c>
      <c r="BW20" s="52">
        <f t="shared" si="11"/>
        <v>0</v>
      </c>
      <c r="BX20" s="53">
        <f t="shared" si="12"/>
        <v>0</v>
      </c>
      <c r="BY20" s="48"/>
      <c r="BZ20" s="81">
        <v>59</v>
      </c>
      <c r="CA20" s="51" t="s">
        <v>59</v>
      </c>
      <c r="CB20" s="120">
        <f>IFERROR(VLOOKUP(CB$25,Tabulacao!$GF$2:$GH$15,2,0),"-")</f>
        <v>19</v>
      </c>
      <c r="CC20" s="120">
        <f>IFERROR(VLOOKUP(CC$25,Tabulacao!$GF$2:$GH$15,2,0),"-")</f>
        <v>22</v>
      </c>
      <c r="CD20" s="120">
        <f>IFERROR(VLOOKUP(CD$25,Tabulacao!$GF$2:$GH$15,2,0),"-")</f>
        <v>28</v>
      </c>
      <c r="CE20" s="120">
        <f>IFERROR(VLOOKUP(CE$25,Tabulacao!$GF$2:$GH$15,2,0),"-")</f>
        <v>35</v>
      </c>
      <c r="CF20" s="120">
        <f>IFERROR(VLOOKUP(CF$25,Tabulacao!$GF$2:$GH$15,2,0),"-")</f>
        <v>53</v>
      </c>
      <c r="CG20" s="276">
        <f t="shared" si="13"/>
        <v>157</v>
      </c>
      <c r="CH20" s="173">
        <f>IFERROR(VLOOKUP(CH$8,Tabulacao!$GF$2:$GH$15,2,0),"-")</f>
        <v>3.515923566878981</v>
      </c>
      <c r="CI20" s="122">
        <f>IFERROR(VLOOKUP(CI$8,Tabulacao!$GF$2:$GH$15,2,0),"-")</f>
        <v>5</v>
      </c>
      <c r="CJ20" s="122">
        <f>IFERROR(VLOOKUP(CJ$8,Tabulacao!$GF$2:$GH$15,2,0),"-")</f>
        <v>4</v>
      </c>
      <c r="CK20" s="176">
        <f>IFERROR(VLOOKUP(CK$8,Tabulacao!$GF$2:$GH$15,2,0),"-")</f>
        <v>0.39652463365705376</v>
      </c>
      <c r="CL20" s="91"/>
      <c r="CM20" s="81">
        <v>72</v>
      </c>
      <c r="CN20" s="51" t="s">
        <v>59</v>
      </c>
      <c r="CO20" s="120">
        <f>IFERROR(VLOOKUP(CO$25,Tabulacao!$GF$2:$GH$15,2,0),"-")</f>
        <v>19</v>
      </c>
      <c r="CP20" s="120">
        <f>IFERROR(VLOOKUP(CP$25,Tabulacao!$GF$2:$GH$15,2,0),"-")</f>
        <v>22</v>
      </c>
      <c r="CQ20" s="120">
        <f>IFERROR(VLOOKUP(CQ$25,Tabulacao!$GF$2:$GH$15,2,0),"-")</f>
        <v>28</v>
      </c>
      <c r="CR20" s="120">
        <f>IFERROR(VLOOKUP(CR$25,Tabulacao!$GF$2:$GH$15,2,0),"-")</f>
        <v>35</v>
      </c>
      <c r="CS20" s="120">
        <f>IFERROR(VLOOKUP(CS$25,Tabulacao!$GF$2:$GH$15,2,0),"-")</f>
        <v>53</v>
      </c>
      <c r="CT20" s="120">
        <f t="shared" si="14"/>
        <v>157</v>
      </c>
      <c r="CU20" s="173">
        <f>IFERROR(VLOOKUP(CU$8,Tabulacao!$GF$2:$GH$15,2,0),"-")</f>
        <v>3.515923566878981</v>
      </c>
      <c r="CV20" s="122">
        <f>IFERROR(VLOOKUP(CV$8,Tabulacao!$GF$2:$GH$15,2,0),"-")</f>
        <v>5</v>
      </c>
      <c r="CW20" s="122">
        <f>IFERROR(VLOOKUP(CW$8,Tabulacao!$GF$2:$GH$15,2,0),"-")</f>
        <v>4</v>
      </c>
      <c r="CX20" s="176">
        <f>IFERROR(VLOOKUP(CX$8,Tabulacao!$GF$2:$GH$15,2,0),"-")</f>
        <v>0.39652463365705376</v>
      </c>
      <c r="CY20" s="48"/>
      <c r="CZ20" s="48"/>
      <c r="DA20" s="48"/>
      <c r="DB20" s="48"/>
      <c r="DC20" s="48"/>
      <c r="DD20" s="48"/>
      <c r="DE20" s="48"/>
      <c r="DF20" s="48"/>
      <c r="DG20" s="93" t="s">
        <v>621</v>
      </c>
      <c r="DH20" s="94">
        <v>271</v>
      </c>
      <c r="DI20" s="95" t="s">
        <v>933</v>
      </c>
      <c r="DJ20" s="48"/>
      <c r="DK20" s="48"/>
      <c r="DL20" s="60" t="str">
        <f>Tabulacao!IE15</f>
        <v>Outros</v>
      </c>
      <c r="DM20" s="52">
        <f>Tabulacao!IF15</f>
        <v>30</v>
      </c>
      <c r="DN20" s="53">
        <f t="shared" si="2"/>
        <v>0.11070110701107011</v>
      </c>
      <c r="DO20" s="48"/>
      <c r="DP20" s="48"/>
    </row>
    <row r="21" spans="2:120" x14ac:dyDescent="0.2">
      <c r="B21" s="48"/>
      <c r="C21" s="323"/>
      <c r="D21" s="48"/>
      <c r="E21" s="48"/>
      <c r="F21" s="48"/>
      <c r="G21" s="48"/>
      <c r="H21" s="48"/>
      <c r="I21" s="48"/>
      <c r="J21" s="48"/>
      <c r="K21" s="48"/>
      <c r="L21" s="48"/>
      <c r="M21" s="52">
        <v>13</v>
      </c>
      <c r="N21" s="51" t="s">
        <v>1122</v>
      </c>
      <c r="O21" s="70">
        <v>2</v>
      </c>
      <c r="P21" s="53">
        <f t="shared" si="3"/>
        <v>1.3071895424836602E-2</v>
      </c>
      <c r="Q21" s="48"/>
      <c r="R21" s="52">
        <v>13</v>
      </c>
      <c r="S21" s="51" t="str">
        <f t="array" ref="S21">INDEX($N$103:$N$188,SMALL(IF($O$103:$O$188=T21,ROW($O$103:$O$188)-102),COUNTIF($T$9:T21,T21)))</f>
        <v>Assistente Administrativo</v>
      </c>
      <c r="T21" s="70">
        <f t="shared" si="4"/>
        <v>0</v>
      </c>
      <c r="U21" s="53">
        <f t="shared" si="5"/>
        <v>0</v>
      </c>
      <c r="V21" s="48"/>
      <c r="W21" s="48"/>
      <c r="X21" s="48"/>
      <c r="Y21" s="48"/>
      <c r="Z21" s="48"/>
      <c r="AA21" s="48"/>
      <c r="AB21" s="48"/>
      <c r="AC21" s="48"/>
      <c r="AD21" s="48"/>
      <c r="AE21" s="48"/>
      <c r="AF21" s="48"/>
      <c r="AG21" s="82">
        <v>41</v>
      </c>
      <c r="AH21" s="275" t="s">
        <v>1276</v>
      </c>
      <c r="AI21" s="65" t="str">
        <f>Tabulacao!DS2</f>
        <v>Na sua opinião, em que medida o seu emprego está apropriado ao seu nível de educação?</v>
      </c>
      <c r="AJ21" s="63">
        <f>VLOOKUP(AJ$16,Tabulacao!$DS$3:$DU$15,3,0)</f>
        <v>0.10828025477707007</v>
      </c>
      <c r="AK21" s="63">
        <f>VLOOKUP(AK$16,Tabulacao!$DS$3:$DU$15,3,0)</f>
        <v>0.15923566878980891</v>
      </c>
      <c r="AL21" s="63">
        <f>VLOOKUP(AL$16,Tabulacao!$DS$3:$DU$15,3,0)</f>
        <v>0.19745222929936307</v>
      </c>
      <c r="AM21" s="63">
        <f>VLOOKUP(AM$16,Tabulacao!$DS$3:$DU$15,3,0)</f>
        <v>0.2356687898089172</v>
      </c>
      <c r="AN21" s="63">
        <f>VLOOKUP(AN$16,Tabulacao!$DS$3:$DU$15,3,0)</f>
        <v>0.29936305732484075</v>
      </c>
      <c r="AO21" s="95">
        <f t="shared" si="16"/>
        <v>1</v>
      </c>
      <c r="AP21" s="170">
        <f>VLOOKUP(AP$16,Tabulacao!$DS$2:$DU$15,2,0)</f>
        <v>3.4585987261146496</v>
      </c>
      <c r="AQ21" s="171">
        <f>VLOOKUP(AQ$16,Tabulacao!$DS$2:$DU$15,2,0)</f>
        <v>5</v>
      </c>
      <c r="AR21" s="171">
        <f>VLOOKUP(AR$16,Tabulacao!$DS$2:$DU$15,2,0)</f>
        <v>4</v>
      </c>
      <c r="AS21" s="172">
        <f>VLOOKUP(AS$16,Tabulacao!$DS$2:$DU$15,2,0)</f>
        <v>0.39079175667479815</v>
      </c>
      <c r="AT21" s="48"/>
      <c r="AU21" s="48"/>
      <c r="AV21" s="48"/>
      <c r="AW21" s="48"/>
      <c r="AX21" s="48"/>
      <c r="AY21" s="48"/>
      <c r="AZ21" s="48"/>
      <c r="BA21" s="48"/>
      <c r="BB21" s="48"/>
      <c r="BC21" s="48"/>
      <c r="BD21" s="48"/>
      <c r="BE21" s="48"/>
      <c r="BF21" s="48"/>
      <c r="BG21" s="48"/>
      <c r="BH21" s="48"/>
      <c r="BI21" s="48"/>
      <c r="BJ21" s="48"/>
      <c r="BK21" s="48"/>
      <c r="BL21" s="48"/>
      <c r="BM21" s="48"/>
      <c r="BN21" s="48"/>
      <c r="BO21" s="48"/>
      <c r="BP21" s="48"/>
      <c r="BQ21" s="60" t="str">
        <f>Tabulacao!EM15</f>
        <v>Pedra Mole</v>
      </c>
      <c r="BR21" s="52">
        <f>COUNTIF(Respostas_Formatadas!$BC:$BC,EmpAtual!BQ21)</f>
        <v>1</v>
      </c>
      <c r="BS21" s="53">
        <f t="shared" si="10"/>
        <v>6.993006993006993E-3</v>
      </c>
      <c r="BT21" s="48"/>
      <c r="BU21" s="52">
        <v>13</v>
      </c>
      <c r="BV21" s="60" t="str">
        <f t="array" ref="BV21">INDEX($BQ$49:$BQ$82,SMALL(IF($BR$49:$BR$82=BW21,ROW($BR$49:$BR$82)-48),COUNTIF($BW$9:BW21,BW21)))</f>
        <v>Barra dos Coqueiros</v>
      </c>
      <c r="BW21" s="52">
        <f t="shared" si="11"/>
        <v>0</v>
      </c>
      <c r="BX21" s="53">
        <f t="shared" si="12"/>
        <v>0</v>
      </c>
      <c r="BY21" s="48"/>
      <c r="BZ21" s="82">
        <v>60</v>
      </c>
      <c r="CA21" s="65" t="s">
        <v>60</v>
      </c>
      <c r="CB21" s="169">
        <f>IFERROR(VLOOKUP(CB$25,Tabulacao!$GI$2:$GK$15,2,0),"-")</f>
        <v>77</v>
      </c>
      <c r="CC21" s="169">
        <f>IFERROR(VLOOKUP(CC$25,Tabulacao!$GI$2:$GK$15,2,0),"-")</f>
        <v>34</v>
      </c>
      <c r="CD21" s="169">
        <f>IFERROR(VLOOKUP(CD$25,Tabulacao!$GI$2:$GK$15,2,0),"-")</f>
        <v>27</v>
      </c>
      <c r="CE21" s="169">
        <f>IFERROR(VLOOKUP(CE$25,Tabulacao!$GI$2:$GK$15,2,0),"-")</f>
        <v>13</v>
      </c>
      <c r="CF21" s="169">
        <f>IFERROR(VLOOKUP(CF$25,Tabulacao!$GI$2:$GK$15,2,0),"-")</f>
        <v>6</v>
      </c>
      <c r="CG21" s="253">
        <f t="shared" si="13"/>
        <v>157</v>
      </c>
      <c r="CH21" s="170">
        <f>IFERROR(VLOOKUP(CH$8,Tabulacao!$GI$2:$GK$15,2,0),"-")</f>
        <v>1.9617834394904459</v>
      </c>
      <c r="CI21" s="171">
        <f>IFERROR(VLOOKUP(CI$8,Tabulacao!$GI$2:$GK$15,2,0),"-")</f>
        <v>5</v>
      </c>
      <c r="CJ21" s="171">
        <f>IFERROR(VLOOKUP(CJ$8,Tabulacao!$GI$2:$GK$15,2,0),"-")</f>
        <v>2</v>
      </c>
      <c r="CK21" s="172">
        <f>IFERROR(VLOOKUP(CK$8,Tabulacao!$GI$2:$GK$15,2,0),"-")</f>
        <v>0.59109740278122613</v>
      </c>
      <c r="CL21" s="91"/>
      <c r="CM21" s="82">
        <v>73</v>
      </c>
      <c r="CN21" s="65" t="s">
        <v>60</v>
      </c>
      <c r="CO21" s="169">
        <f>IFERROR(VLOOKUP(CO$25,Tabulacao!$GI$2:$GK$15,2,0),"-")</f>
        <v>77</v>
      </c>
      <c r="CP21" s="169">
        <f>IFERROR(VLOOKUP(CP$25,Tabulacao!$GI$2:$GK$15,2,0),"-")</f>
        <v>34</v>
      </c>
      <c r="CQ21" s="169">
        <f>IFERROR(VLOOKUP(CQ$25,Tabulacao!$GI$2:$GK$15,2,0),"-")</f>
        <v>27</v>
      </c>
      <c r="CR21" s="169">
        <f>IFERROR(VLOOKUP(CR$25,Tabulacao!$GI$2:$GK$15,2,0),"-")</f>
        <v>13</v>
      </c>
      <c r="CS21" s="169">
        <f>IFERROR(VLOOKUP(CS$25,Tabulacao!$GI$2:$GK$15,2,0),"-")</f>
        <v>6</v>
      </c>
      <c r="CT21" s="169">
        <f t="shared" si="14"/>
        <v>157</v>
      </c>
      <c r="CU21" s="170">
        <f>IFERROR(VLOOKUP(CU$8,Tabulacao!$GI$2:$GK$15,2,0),"-")</f>
        <v>1.9617834394904459</v>
      </c>
      <c r="CV21" s="171">
        <f>IFERROR(VLOOKUP(CV$8,Tabulacao!$GI$2:$GK$15,2,0),"-")</f>
        <v>5</v>
      </c>
      <c r="CW21" s="171">
        <f>IFERROR(VLOOKUP(CW$8,Tabulacao!$GI$2:$GK$15,2,0),"-")</f>
        <v>2</v>
      </c>
      <c r="CX21" s="172">
        <f>IFERROR(VLOOKUP(CX$8,Tabulacao!$GI$2:$GK$15,2,0),"-")</f>
        <v>0.59109740278122613</v>
      </c>
      <c r="CY21" s="48"/>
      <c r="CZ21" s="48"/>
      <c r="DA21" s="48"/>
      <c r="DB21" s="48"/>
      <c r="DC21" s="48"/>
      <c r="DD21" s="48"/>
      <c r="DE21" s="48"/>
      <c r="DF21" s="48"/>
      <c r="DG21" s="48"/>
      <c r="DH21" s="48"/>
      <c r="DI21" s="48"/>
      <c r="DJ21" s="48"/>
      <c r="DK21" s="48"/>
      <c r="DL21" s="93" t="s">
        <v>621</v>
      </c>
      <c r="DM21" s="94">
        <v>271</v>
      </c>
      <c r="DN21" s="95" t="s">
        <v>933</v>
      </c>
      <c r="DO21" s="48"/>
      <c r="DP21" s="48"/>
    </row>
    <row r="22" spans="2:120" ht="25.5" x14ac:dyDescent="0.2">
      <c r="B22" s="48"/>
      <c r="C22" s="323"/>
      <c r="D22" s="48"/>
      <c r="E22" s="48"/>
      <c r="F22" s="166">
        <v>28</v>
      </c>
      <c r="G22" s="48"/>
      <c r="H22" s="48"/>
      <c r="I22" s="48"/>
      <c r="J22" s="48"/>
      <c r="K22" s="48"/>
      <c r="L22" s="48"/>
      <c r="M22" s="52">
        <v>14</v>
      </c>
      <c r="N22" s="51" t="s">
        <v>542</v>
      </c>
      <c r="O22" s="70">
        <v>2</v>
      </c>
      <c r="P22" s="53">
        <f t="shared" si="3"/>
        <v>1.3071895424836602E-2</v>
      </c>
      <c r="Q22" s="48"/>
      <c r="R22" s="52">
        <v>14</v>
      </c>
      <c r="S22" s="51" t="str">
        <f t="array" ref="S22">INDEX($N$103:$N$188,SMALL(IF($O$103:$O$188=T22,ROW($O$103:$O$188)-102),COUNTIF($T$9:T22,T22)))</f>
        <v>Auxiliar Administrativo</v>
      </c>
      <c r="T22" s="70">
        <f t="shared" si="4"/>
        <v>0</v>
      </c>
      <c r="U22" s="53">
        <f t="shared" si="5"/>
        <v>0</v>
      </c>
      <c r="V22" s="48"/>
      <c r="W22" s="48"/>
      <c r="X22" s="48"/>
      <c r="Y22" s="48"/>
      <c r="Z22" s="48"/>
      <c r="AA22" s="48"/>
      <c r="AB22" s="48"/>
      <c r="AC22" s="48"/>
      <c r="AD22" s="48"/>
      <c r="AE22" s="48"/>
      <c r="AF22" s="48"/>
      <c r="AG22" s="48"/>
      <c r="AH22" s="48"/>
      <c r="AI22" s="48"/>
      <c r="AJ22" s="48"/>
      <c r="AK22" s="48"/>
      <c r="AL22" s="48"/>
      <c r="AM22" s="48"/>
      <c r="AN22" s="48"/>
      <c r="AO22" s="48"/>
      <c r="AP22" s="48"/>
      <c r="AQ22" s="48"/>
      <c r="AR22" s="48"/>
      <c r="AS22" s="48"/>
      <c r="AT22" s="48"/>
      <c r="AU22" s="48"/>
      <c r="AV22" s="48"/>
      <c r="AW22" s="48"/>
      <c r="AX22" s="156" t="s">
        <v>1258</v>
      </c>
      <c r="AY22" s="48"/>
      <c r="AZ22" s="48"/>
      <c r="BA22" s="48"/>
      <c r="BB22" s="156" t="s">
        <v>1259</v>
      </c>
      <c r="BC22" s="48"/>
      <c r="BD22" s="48"/>
      <c r="BE22" s="48"/>
      <c r="BF22" s="48"/>
      <c r="BG22" s="156" t="s">
        <v>1260</v>
      </c>
      <c r="BH22" s="48"/>
      <c r="BI22" s="48"/>
      <c r="BJ22" s="48"/>
      <c r="BK22" s="48"/>
      <c r="BL22" s="156" t="s">
        <v>1260</v>
      </c>
      <c r="BM22" s="48"/>
      <c r="BN22" s="48"/>
      <c r="BO22" s="48"/>
      <c r="BP22" s="48"/>
      <c r="BQ22" s="60" t="str">
        <f>Tabulacao!EM16</f>
        <v>Campo do Brito</v>
      </c>
      <c r="BR22" s="52">
        <f>COUNTIF(Respostas_Formatadas!$BC:$BC,EmpAtual!BQ22)</f>
        <v>1</v>
      </c>
      <c r="BS22" s="53">
        <f t="shared" si="10"/>
        <v>6.993006993006993E-3</v>
      </c>
      <c r="BT22" s="48"/>
      <c r="BU22" s="52">
        <v>14</v>
      </c>
      <c r="BV22" s="60" t="str">
        <f t="array" ref="BV22">INDEX($BQ$49:$BQ$82,SMALL(IF($BR$49:$BR$82=BW22,ROW($BR$49:$BR$82)-48),COUNTIF($BW$9:BW22,BW22)))</f>
        <v>Belém - PA</v>
      </c>
      <c r="BW22" s="52">
        <f t="shared" si="11"/>
        <v>0</v>
      </c>
      <c r="BX22" s="53">
        <f t="shared" si="12"/>
        <v>0</v>
      </c>
      <c r="BY22" s="48"/>
      <c r="BZ22" s="48"/>
      <c r="CA22" s="48"/>
      <c r="CB22" s="48"/>
      <c r="CC22" s="48"/>
      <c r="CD22" s="48"/>
      <c r="CE22" s="48"/>
      <c r="CF22" s="48"/>
      <c r="CG22" s="48"/>
      <c r="CH22" s="48"/>
      <c r="CI22" s="48"/>
      <c r="CJ22" s="48"/>
      <c r="CK22" s="48"/>
      <c r="CL22" s="48"/>
      <c r="CM22" s="48"/>
      <c r="CN22" s="48"/>
      <c r="CO22" s="48"/>
      <c r="CP22" s="48"/>
      <c r="CQ22" s="48"/>
      <c r="CR22" s="48"/>
      <c r="CS22" s="48"/>
      <c r="CT22" s="48"/>
      <c r="CU22" s="48"/>
      <c r="CV22" s="48"/>
      <c r="CW22" s="48"/>
      <c r="CX22" s="48"/>
      <c r="CY22" s="48"/>
      <c r="CZ22" s="48"/>
      <c r="DA22" s="48"/>
      <c r="DB22" s="48"/>
      <c r="DC22" s="48"/>
      <c r="DD22" s="48"/>
      <c r="DE22" s="48"/>
      <c r="DF22" s="48"/>
      <c r="DG22" s="48"/>
      <c r="DH22" s="48"/>
      <c r="DI22" s="48"/>
      <c r="DJ22" s="48"/>
      <c r="DK22" s="48"/>
      <c r="DL22" s="48"/>
      <c r="DM22" s="48"/>
      <c r="DN22" s="48"/>
      <c r="DO22" s="48"/>
      <c r="DP22" s="48"/>
    </row>
    <row r="23" spans="2:120" x14ac:dyDescent="0.2">
      <c r="B23" s="48"/>
      <c r="C23" s="323"/>
      <c r="D23" s="48"/>
      <c r="E23" s="48"/>
      <c r="F23" s="49" t="s">
        <v>988</v>
      </c>
      <c r="G23" s="50" t="s">
        <v>131</v>
      </c>
      <c r="H23" s="48"/>
      <c r="I23" s="48"/>
      <c r="J23" s="48"/>
      <c r="K23" s="48"/>
      <c r="L23" s="48"/>
      <c r="M23" s="52">
        <v>15</v>
      </c>
      <c r="N23" s="51" t="s">
        <v>526</v>
      </c>
      <c r="O23" s="70">
        <v>2</v>
      </c>
      <c r="P23" s="53">
        <f t="shared" si="3"/>
        <v>1.3071895424836602E-2</v>
      </c>
      <c r="Q23" s="48"/>
      <c r="R23" s="52">
        <v>15</v>
      </c>
      <c r="S23" s="51" t="str">
        <f t="array" ref="S23">INDEX($N$103:$N$188,SMALL(IF($O$103:$O$188=T23,ROW($O$103:$O$188)-102),COUNTIF($T$9:T23,T23)))</f>
        <v>Assistente em Administração</v>
      </c>
      <c r="T23" s="70">
        <f t="shared" si="4"/>
        <v>0</v>
      </c>
      <c r="U23" s="53">
        <f t="shared" si="5"/>
        <v>0</v>
      </c>
      <c r="V23" s="48"/>
      <c r="W23" s="48"/>
      <c r="X23" s="48"/>
      <c r="Y23" s="48"/>
      <c r="Z23" s="48"/>
      <c r="AA23" s="48"/>
      <c r="AB23" s="48"/>
      <c r="AC23" s="48"/>
      <c r="AD23" s="48"/>
      <c r="AE23" s="48"/>
      <c r="AF23" s="48"/>
      <c r="AG23" s="48"/>
      <c r="AH23" s="48"/>
      <c r="AI23" s="48"/>
      <c r="AJ23" s="48"/>
      <c r="AK23" s="88"/>
      <c r="AL23" s="48"/>
      <c r="AM23" s="48"/>
      <c r="AN23" s="48"/>
      <c r="AO23" s="48"/>
      <c r="AP23" s="48"/>
      <c r="AQ23" s="48"/>
      <c r="AR23" s="48"/>
      <c r="AS23" s="48"/>
      <c r="AT23" s="48"/>
      <c r="AU23" s="48"/>
      <c r="AV23" s="48"/>
      <c r="AW23" s="48"/>
      <c r="AX23" s="48"/>
      <c r="AY23" s="48"/>
      <c r="AZ23" s="48"/>
      <c r="BA23" s="48"/>
      <c r="BB23" s="48"/>
      <c r="BC23" s="48"/>
      <c r="BD23" s="48"/>
      <c r="BE23" s="48"/>
      <c r="BF23" s="48"/>
      <c r="BG23" s="48"/>
      <c r="BH23" s="48"/>
      <c r="BI23" s="48"/>
      <c r="BJ23" s="48"/>
      <c r="BK23" s="48"/>
      <c r="BL23" s="48"/>
      <c r="BM23" s="48"/>
      <c r="BN23" s="48"/>
      <c r="BO23" s="48"/>
      <c r="BP23" s="48"/>
      <c r="BQ23" s="60" t="str">
        <f>Tabulacao!EM17</f>
        <v>Boquim</v>
      </c>
      <c r="BR23" s="52">
        <f>COUNTIF(Respostas_Formatadas!$BC:$BC,EmpAtual!BQ23)</f>
        <v>1</v>
      </c>
      <c r="BS23" s="53">
        <f t="shared" si="10"/>
        <v>6.993006993006993E-3</v>
      </c>
      <c r="BT23" s="48"/>
      <c r="BU23" s="52">
        <v>15</v>
      </c>
      <c r="BV23" s="60" t="str">
        <f t="array" ref="BV23">INDEX($BQ$49:$BQ$82,SMALL(IF($BR$49:$BR$82=BW23,ROW($BR$49:$BR$82)-48),COUNTIF($BW$9:BW23,BW23)))</f>
        <v>Pedra Mole</v>
      </c>
      <c r="BW23" s="52">
        <f t="shared" si="11"/>
        <v>0</v>
      </c>
      <c r="BX23" s="53">
        <f t="shared" si="12"/>
        <v>0</v>
      </c>
      <c r="BY23" s="48"/>
      <c r="BZ23" s="48"/>
      <c r="CA23" s="48"/>
      <c r="CB23" s="48"/>
      <c r="CC23" s="48"/>
      <c r="CD23" s="48"/>
      <c r="CE23" s="48"/>
      <c r="CF23" s="48"/>
      <c r="CG23" s="48"/>
      <c r="CH23" s="48"/>
      <c r="CI23" s="48"/>
      <c r="CJ23" s="48"/>
      <c r="CK23" s="48"/>
      <c r="CL23" s="48"/>
      <c r="CM23" s="48"/>
      <c r="CN23" s="48"/>
      <c r="CO23" s="48"/>
      <c r="CP23" s="48"/>
      <c r="CQ23" s="48"/>
      <c r="CR23" s="48"/>
      <c r="CS23" s="48"/>
      <c r="CT23" s="48"/>
      <c r="CU23" s="48"/>
      <c r="CV23" s="48"/>
      <c r="CW23" s="48"/>
      <c r="CX23" s="48"/>
      <c r="CY23" s="48"/>
      <c r="CZ23" s="48"/>
      <c r="DA23" s="48"/>
      <c r="DB23" s="48"/>
      <c r="DC23" s="48"/>
      <c r="DD23" s="48"/>
      <c r="DE23" s="48"/>
      <c r="DF23" s="48"/>
      <c r="DG23" s="48"/>
      <c r="DH23" s="48"/>
      <c r="DI23" s="48"/>
      <c r="DJ23" s="48"/>
      <c r="DK23" s="48"/>
      <c r="DL23" s="48"/>
      <c r="DM23" s="48"/>
      <c r="DN23" s="48"/>
      <c r="DO23" s="48"/>
      <c r="DP23" s="48"/>
    </row>
    <row r="24" spans="2:120" x14ac:dyDescent="0.2">
      <c r="B24" s="48"/>
      <c r="C24" s="323"/>
      <c r="D24" s="48"/>
      <c r="E24" s="48"/>
      <c r="F24" s="60" t="s">
        <v>133</v>
      </c>
      <c r="G24" s="52">
        <v>95</v>
      </c>
      <c r="H24" s="48"/>
      <c r="I24" s="48"/>
      <c r="J24" s="48"/>
      <c r="K24" s="48"/>
      <c r="L24" s="48"/>
      <c r="M24" s="52">
        <v>16</v>
      </c>
      <c r="N24" s="51" t="s">
        <v>382</v>
      </c>
      <c r="O24" s="70">
        <v>2</v>
      </c>
      <c r="P24" s="53">
        <f t="shared" si="3"/>
        <v>1.3071895424836602E-2</v>
      </c>
      <c r="Q24" s="48"/>
      <c r="R24" s="52">
        <v>16</v>
      </c>
      <c r="S24" s="51" t="str">
        <f t="array" ref="S24">INDEX($N$103:$N$188,SMALL(IF($O$103:$O$188=T24,ROW($O$103:$O$188)-102),COUNTIF($T$9:T24,T24)))</f>
        <v>Policial Militar</v>
      </c>
      <c r="T24" s="70">
        <f t="shared" si="4"/>
        <v>0</v>
      </c>
      <c r="U24" s="53">
        <f t="shared" si="5"/>
        <v>0</v>
      </c>
      <c r="V24" s="48"/>
      <c r="W24" s="48"/>
      <c r="X24" s="48"/>
      <c r="Y24" s="48"/>
      <c r="Z24" s="48"/>
      <c r="AA24" s="48"/>
      <c r="AB24" s="48"/>
      <c r="AC24" s="48"/>
      <c r="AD24" s="48"/>
      <c r="AE24" s="48"/>
      <c r="AF24" s="48"/>
      <c r="AG24" s="48"/>
      <c r="AH24" s="48"/>
      <c r="AI24" s="177" t="s">
        <v>1066</v>
      </c>
      <c r="AJ24" s="90"/>
      <c r="AK24" s="90"/>
      <c r="AL24" s="48"/>
      <c r="AM24" s="48"/>
      <c r="AN24" s="48"/>
      <c r="AO24" s="48"/>
      <c r="AP24" s="48"/>
      <c r="AQ24" s="48"/>
      <c r="AR24" s="48"/>
      <c r="AS24" s="48"/>
      <c r="AT24" s="48"/>
      <c r="AU24" s="48"/>
      <c r="AV24" s="48"/>
      <c r="AW24" s="341" t="s">
        <v>1159</v>
      </c>
      <c r="AX24" s="261" t="s">
        <v>126</v>
      </c>
      <c r="AY24" s="48"/>
      <c r="AZ24" s="48"/>
      <c r="BA24" s="341" t="s">
        <v>1159</v>
      </c>
      <c r="BB24" s="261" t="s">
        <v>121</v>
      </c>
      <c r="BC24" s="48"/>
      <c r="BD24" s="48"/>
      <c r="BE24" s="273"/>
      <c r="BF24" s="341" t="s">
        <v>1159</v>
      </c>
      <c r="BG24" s="261" t="s">
        <v>119</v>
      </c>
      <c r="BH24" s="48"/>
      <c r="BI24" s="48"/>
      <c r="BJ24" s="273"/>
      <c r="BK24" s="341" t="s">
        <v>1159</v>
      </c>
      <c r="BL24" s="261" t="s">
        <v>124</v>
      </c>
      <c r="BM24" s="48"/>
      <c r="BN24" s="48"/>
      <c r="BO24" s="48"/>
      <c r="BP24" s="48"/>
      <c r="BQ24" s="60" t="str">
        <f>Tabulacao!EM18</f>
        <v>Itaporanga D'Ajuda</v>
      </c>
      <c r="BR24" s="52">
        <f>COUNTIF(Respostas_Formatadas!$BC:$BC,EmpAtual!BQ24)</f>
        <v>1</v>
      </c>
      <c r="BS24" s="53">
        <f t="shared" si="10"/>
        <v>6.993006993006993E-3</v>
      </c>
      <c r="BT24" s="48"/>
      <c r="BU24" s="52">
        <v>16</v>
      </c>
      <c r="BV24" s="60" t="str">
        <f t="array" ref="BV24">INDEX($BQ$49:$BQ$82,SMALL(IF($BR$49:$BR$82=BW24,ROW($BR$49:$BR$82)-48),COUNTIF($BW$9:BW24,BW24)))</f>
        <v>Campo do Brito</v>
      </c>
      <c r="BW24" s="52">
        <f t="shared" si="11"/>
        <v>0</v>
      </c>
      <c r="BX24" s="53">
        <f t="shared" si="12"/>
        <v>0</v>
      </c>
      <c r="BY24" s="48"/>
      <c r="BZ24" s="48"/>
      <c r="CA24" s="48"/>
      <c r="CB24" s="48"/>
      <c r="CC24" s="48"/>
      <c r="CD24" s="48"/>
      <c r="CE24" s="48"/>
      <c r="CF24" s="48"/>
      <c r="CG24" s="48"/>
      <c r="CH24" s="48"/>
      <c r="CI24" s="48"/>
      <c r="CJ24" s="48"/>
      <c r="CK24" s="48"/>
      <c r="CL24" s="48"/>
      <c r="CM24" s="48"/>
      <c r="CN24" s="48"/>
      <c r="CO24" s="48"/>
      <c r="CP24" s="48"/>
      <c r="CQ24" s="48"/>
      <c r="CR24" s="48"/>
      <c r="CS24" s="48"/>
      <c r="CT24" s="48"/>
      <c r="CU24" s="48"/>
      <c r="CV24" s="48"/>
      <c r="CW24" s="48"/>
      <c r="CX24" s="48"/>
      <c r="CY24" s="48"/>
      <c r="CZ24" s="48"/>
      <c r="DA24" s="48" t="s">
        <v>1019</v>
      </c>
      <c r="DB24" s="48"/>
      <c r="DC24" s="48"/>
      <c r="DD24" s="48"/>
      <c r="DE24" s="48"/>
      <c r="DF24" s="48"/>
      <c r="DG24" s="48"/>
      <c r="DH24" s="48"/>
      <c r="DI24" s="48"/>
      <c r="DJ24" s="48"/>
      <c r="DK24" s="48"/>
      <c r="DL24" s="48"/>
      <c r="DM24" s="48"/>
      <c r="DN24" s="48"/>
      <c r="DO24" s="48"/>
      <c r="DP24" s="48"/>
    </row>
    <row r="25" spans="2:120" ht="25.5" x14ac:dyDescent="0.2">
      <c r="B25" s="48"/>
      <c r="C25" s="323"/>
      <c r="D25" s="48"/>
      <c r="E25" s="48"/>
      <c r="F25" s="60" t="s">
        <v>134</v>
      </c>
      <c r="G25" s="52">
        <v>79</v>
      </c>
      <c r="H25" s="48"/>
      <c r="I25" s="48"/>
      <c r="J25" s="48"/>
      <c r="K25" s="48"/>
      <c r="L25" s="48"/>
      <c r="M25" s="52">
        <v>17</v>
      </c>
      <c r="N25" s="51" t="s">
        <v>903</v>
      </c>
      <c r="O25" s="70">
        <v>2</v>
      </c>
      <c r="P25" s="53">
        <f t="shared" si="3"/>
        <v>1.3071895424836602E-2</v>
      </c>
      <c r="Q25" s="48"/>
      <c r="R25" s="52">
        <v>17</v>
      </c>
      <c r="S25" s="51" t="str">
        <f t="array" ref="S25">INDEX($N$103:$N$188,SMALL(IF($O$103:$O$188=T25,ROW($O$103:$O$188)-102),COUNTIF($T$9:T25,T25)))</f>
        <v>Vendedor</v>
      </c>
      <c r="T25" s="70">
        <f t="shared" si="4"/>
        <v>0</v>
      </c>
      <c r="U25" s="53">
        <f t="shared" si="5"/>
        <v>0</v>
      </c>
      <c r="V25" s="48"/>
      <c r="W25" s="48"/>
      <c r="X25" s="48"/>
      <c r="Y25" s="48"/>
      <c r="Z25" s="48"/>
      <c r="AA25" s="48"/>
      <c r="AB25" s="48"/>
      <c r="AC25" s="48"/>
      <c r="AD25" s="48"/>
      <c r="AE25" s="48"/>
      <c r="AF25" s="48"/>
      <c r="AG25" s="48"/>
      <c r="AH25" s="48"/>
      <c r="AI25" s="48"/>
      <c r="AJ25" s="48"/>
      <c r="AK25" s="48"/>
      <c r="AL25" s="48"/>
      <c r="AM25" s="48"/>
      <c r="AN25" s="48"/>
      <c r="AO25" s="48"/>
      <c r="AP25" s="48"/>
      <c r="AQ25" s="48"/>
      <c r="AR25" s="48"/>
      <c r="AS25" s="48"/>
      <c r="AT25" s="48"/>
      <c r="AU25" s="48"/>
      <c r="AV25" s="48"/>
      <c r="AW25" s="48"/>
      <c r="AX25" s="186" t="s">
        <v>1003</v>
      </c>
      <c r="AY25" s="187" t="s">
        <v>131</v>
      </c>
      <c r="AZ25" s="187" t="s">
        <v>132</v>
      </c>
      <c r="BA25" s="48"/>
      <c r="BB25" s="186" t="s">
        <v>1004</v>
      </c>
      <c r="BC25" s="187" t="s">
        <v>131</v>
      </c>
      <c r="BD25" s="187" t="s">
        <v>132</v>
      </c>
      <c r="BE25" s="48"/>
      <c r="BF25" s="48"/>
      <c r="BG25" s="186" t="s">
        <v>1005</v>
      </c>
      <c r="BH25" s="187" t="s">
        <v>131</v>
      </c>
      <c r="BI25" s="187" t="s">
        <v>132</v>
      </c>
      <c r="BJ25" s="48"/>
      <c r="BK25" s="48"/>
      <c r="BL25" s="186" t="s">
        <v>1005</v>
      </c>
      <c r="BM25" s="187" t="s">
        <v>131</v>
      </c>
      <c r="BN25" s="187" t="s">
        <v>132</v>
      </c>
      <c r="BO25" s="48"/>
      <c r="BP25" s="48"/>
      <c r="BQ25" s="60" t="str">
        <f>Tabulacao!EM19</f>
        <v>Alagoinhas - BA</v>
      </c>
      <c r="BR25" s="52">
        <f>COUNTIF(Respostas_Formatadas!$BC:$BC,EmpAtual!BQ25)</f>
        <v>1</v>
      </c>
      <c r="BS25" s="53">
        <f t="shared" si="10"/>
        <v>6.993006993006993E-3</v>
      </c>
      <c r="BT25" s="48"/>
      <c r="BU25" s="52">
        <v>17</v>
      </c>
      <c r="BV25" s="60" t="str">
        <f t="array" ref="BV25">INDEX($BQ$49:$BQ$82,SMALL(IF($BR$49:$BR$82=BW25,ROW($BR$49:$BR$82)-48),COUNTIF($BW$9:BW25,BW25)))</f>
        <v>Boquim</v>
      </c>
      <c r="BW25" s="52">
        <f t="shared" si="11"/>
        <v>0</v>
      </c>
      <c r="BX25" s="53">
        <f t="shared" si="12"/>
        <v>0</v>
      </c>
      <c r="BY25" s="48"/>
      <c r="BZ25" s="138" t="str">
        <f>BZ8</f>
        <v>Q</v>
      </c>
      <c r="CA25" s="160" t="s">
        <v>1264</v>
      </c>
      <c r="CB25" s="138">
        <f t="shared" ref="CB25:CK25" si="17">CB8</f>
        <v>1</v>
      </c>
      <c r="CC25" s="138">
        <f t="shared" si="17"/>
        <v>2</v>
      </c>
      <c r="CD25" s="138">
        <f t="shared" si="17"/>
        <v>3</v>
      </c>
      <c r="CE25" s="138">
        <f t="shared" si="17"/>
        <v>4</v>
      </c>
      <c r="CF25" s="138">
        <f t="shared" si="17"/>
        <v>5</v>
      </c>
      <c r="CG25" s="138" t="str">
        <f t="shared" si="17"/>
        <v>Total</v>
      </c>
      <c r="CH25" s="138" t="str">
        <f t="shared" si="17"/>
        <v>Média</v>
      </c>
      <c r="CI25" s="138" t="str">
        <f t="shared" si="17"/>
        <v>Moda</v>
      </c>
      <c r="CJ25" s="138" t="str">
        <f t="shared" si="17"/>
        <v>Mediana</v>
      </c>
      <c r="CK25" s="138" t="str">
        <f t="shared" si="17"/>
        <v>CV</v>
      </c>
      <c r="CL25" s="48"/>
      <c r="CM25" s="138" t="str">
        <f>CM8</f>
        <v>Q</v>
      </c>
      <c r="CN25" s="185" t="s">
        <v>1265</v>
      </c>
      <c r="CO25" s="138">
        <f t="shared" ref="CO25:CX25" si="18">CO8</f>
        <v>1</v>
      </c>
      <c r="CP25" s="138">
        <f t="shared" si="18"/>
        <v>2</v>
      </c>
      <c r="CQ25" s="138">
        <f t="shared" si="18"/>
        <v>3</v>
      </c>
      <c r="CR25" s="138">
        <f t="shared" si="18"/>
        <v>4</v>
      </c>
      <c r="CS25" s="138">
        <f t="shared" si="18"/>
        <v>5</v>
      </c>
      <c r="CT25" s="138" t="str">
        <f t="shared" si="18"/>
        <v>Total</v>
      </c>
      <c r="CU25" s="138" t="str">
        <f t="shared" si="18"/>
        <v>Média</v>
      </c>
      <c r="CV25" s="138" t="str">
        <f t="shared" si="18"/>
        <v>Moda</v>
      </c>
      <c r="CW25" s="138" t="str">
        <f t="shared" si="18"/>
        <v>Mediana</v>
      </c>
      <c r="CX25" s="138" t="str">
        <f t="shared" si="18"/>
        <v>CV</v>
      </c>
      <c r="CY25" s="48"/>
      <c r="CZ25" s="48"/>
      <c r="DA25" s="48"/>
      <c r="DB25" s="48"/>
      <c r="DC25" s="48"/>
      <c r="DD25" s="48"/>
      <c r="DE25" s="48"/>
      <c r="DF25" s="48"/>
      <c r="DG25" s="225" t="s">
        <v>1213</v>
      </c>
      <c r="DH25" s="48"/>
      <c r="DI25" s="48"/>
      <c r="DJ25" s="48"/>
      <c r="DK25" s="48"/>
      <c r="DL25" s="225"/>
      <c r="DM25" s="48"/>
      <c r="DN25" s="48"/>
      <c r="DO25" s="48"/>
      <c r="DP25" s="48"/>
    </row>
    <row r="26" spans="2:120" x14ac:dyDescent="0.2">
      <c r="B26" s="48"/>
      <c r="C26" s="323"/>
      <c r="D26" s="48"/>
      <c r="E26" s="48"/>
      <c r="F26" s="93" t="s">
        <v>621</v>
      </c>
      <c r="G26" s="94">
        <f>SUM(G23:G25)</f>
        <v>174</v>
      </c>
      <c r="H26" s="48"/>
      <c r="I26" s="48"/>
      <c r="J26" s="48"/>
      <c r="K26" s="48"/>
      <c r="L26" s="48"/>
      <c r="M26" s="52">
        <v>18</v>
      </c>
      <c r="N26" s="51" t="s">
        <v>1235</v>
      </c>
      <c r="O26" s="70">
        <v>2</v>
      </c>
      <c r="P26" s="53">
        <f t="shared" si="3"/>
        <v>1.3071895424836602E-2</v>
      </c>
      <c r="Q26" s="48"/>
      <c r="R26" s="52">
        <v>18</v>
      </c>
      <c r="S26" s="51" t="str">
        <f t="array" ref="S26">INDEX($N$103:$N$188,SMALL(IF($O$103:$O$188=T26,ROW($O$103:$O$188)-102),COUNTIF($T$9:T26,T26)))</f>
        <v>Técnico de Tecnologia da Informação</v>
      </c>
      <c r="T26" s="70">
        <f t="shared" si="4"/>
        <v>0</v>
      </c>
      <c r="U26" s="53">
        <f t="shared" si="5"/>
        <v>0</v>
      </c>
      <c r="V26" s="48"/>
      <c r="W26" s="48"/>
      <c r="X26" s="48"/>
      <c r="Y26" s="48"/>
      <c r="Z26" s="48"/>
      <c r="AA26" s="48"/>
      <c r="AB26" s="48"/>
      <c r="AC26" s="48"/>
      <c r="AD26" s="48"/>
      <c r="AE26" s="48"/>
      <c r="AF26" s="48"/>
      <c r="AG26" s="48"/>
      <c r="AH26" s="341" t="s">
        <v>1159</v>
      </c>
      <c r="AI26" s="261" t="s">
        <v>127</v>
      </c>
      <c r="AJ26" s="48"/>
      <c r="AK26" s="48"/>
      <c r="AL26" s="48"/>
      <c r="AM26" s="48"/>
      <c r="AN26" s="48"/>
      <c r="AO26" s="48"/>
      <c r="AP26" s="48"/>
      <c r="AQ26" s="48"/>
      <c r="AR26" s="48"/>
      <c r="AS26" s="48"/>
      <c r="AT26" s="48"/>
      <c r="AU26" s="48"/>
      <c r="AV26" s="48"/>
      <c r="AW26" s="48"/>
      <c r="AX26" s="60" t="str">
        <f>AX9</f>
        <v>Não pude encontrar um emprego mais apropriado</v>
      </c>
      <c r="AY26" s="52">
        <f>COUNTIFS(Respostas_Formatadas!$C:$C,EmpAtual!$AX$24,Respostas_Formatadas!$AW:$AW,EmpAtual!AX26)</f>
        <v>2</v>
      </c>
      <c r="AZ26" s="53">
        <f>IFERROR(AY26/$AY$36,"-")</f>
        <v>0.33333333333333331</v>
      </c>
      <c r="BA26" s="48"/>
      <c r="BB26" s="60" t="str">
        <f>BB9</f>
        <v>Até 20 horas</v>
      </c>
      <c r="BC26" s="52">
        <f>COUNTIFS(Respostas_Formatadas!$C:$C,EmpAtual!$BB$24,Respostas_Formatadas!$AX:$AX,EmpAtual!BB26)</f>
        <v>4</v>
      </c>
      <c r="BD26" s="53">
        <f>IFERROR(BC26/$BC$31,"-")</f>
        <v>0.26666666666666666</v>
      </c>
      <c r="BE26" s="48"/>
      <c r="BF26" s="48"/>
      <c r="BG26" s="60" t="str">
        <f>BG9</f>
        <v>Regime estatutário</v>
      </c>
      <c r="BH26" s="52">
        <f>COUNTIFS(Respostas_Formatadas!$C:$C,EmpAtual!$BG$24,Respostas_Formatadas!$AY:$AY,EmpAtual!BG26)</f>
        <v>5</v>
      </c>
      <c r="BI26" s="53">
        <f>IFERROR(BH26/$BH$30,"-")</f>
        <v>0.25</v>
      </c>
      <c r="BJ26" s="48"/>
      <c r="BK26" s="48"/>
      <c r="BL26" s="60" t="str">
        <f>BL9</f>
        <v>Até 6 meses</v>
      </c>
      <c r="BM26" s="52">
        <f>COUNTIFS(Respostas_Formatadas!$C:$C,EmpAtual!$BL$24,Respostas_Formatadas!$BA:$BA,EmpAtual!BL26)</f>
        <v>1</v>
      </c>
      <c r="BN26" s="53">
        <f>IFERROR(BM26/$BM$30,"-")</f>
        <v>3.4482758620689655E-2</v>
      </c>
      <c r="BO26" s="48"/>
      <c r="BP26" s="48"/>
      <c r="BQ26" s="60" t="str">
        <f>Tabulacao!EM20</f>
        <v>Poço Redondo</v>
      </c>
      <c r="BR26" s="52">
        <f>COUNTIF(Respostas_Formatadas!$BC:$BC,EmpAtual!BQ26)</f>
        <v>1</v>
      </c>
      <c r="BS26" s="53">
        <f t="shared" si="10"/>
        <v>6.993006993006993E-3</v>
      </c>
      <c r="BT26" s="48"/>
      <c r="BU26" s="52">
        <v>18</v>
      </c>
      <c r="BV26" s="60" t="str">
        <f t="array" ref="BV26">INDEX($BQ$49:$BQ$82,SMALL(IF($BR$49:$BR$82=BW26,ROW($BR$49:$BR$82)-48),COUNTIF($BW$9:BW26,BW26)))</f>
        <v>Itaporanga D'Ajuda</v>
      </c>
      <c r="BW26" s="52">
        <f t="shared" si="11"/>
        <v>0</v>
      </c>
      <c r="BX26" s="53">
        <f t="shared" si="12"/>
        <v>0</v>
      </c>
      <c r="BY26" s="48"/>
      <c r="BZ26" s="82">
        <v>48</v>
      </c>
      <c r="CA26" s="65" t="str">
        <f>Tabulacao!EY2</f>
        <v>Domínio em sua área ou disciplina</v>
      </c>
      <c r="CB26" s="63">
        <f>IFERROR(VLOOKUP(CB$25,Tabulacao!$EY$2:$FA$15,3,0),"-")</f>
        <v>0.12101910828025478</v>
      </c>
      <c r="CC26" s="63">
        <f>IFERROR(VLOOKUP(CC$25,Tabulacao!$EY$2:$FA$15,3,0),"-")</f>
        <v>7.6433121019108277E-2</v>
      </c>
      <c r="CD26" s="63">
        <f>IFERROR(VLOOKUP(CD$25,Tabulacao!$EY$2:$FA$15,3,0),"-")</f>
        <v>0.12738853503184713</v>
      </c>
      <c r="CE26" s="63">
        <f>IFERROR(VLOOKUP(CE$25,Tabulacao!$EY$2:$FA$15,3,0),"-")</f>
        <v>0.26751592356687898</v>
      </c>
      <c r="CF26" s="63">
        <f>IFERROR(VLOOKUP(CF$25,Tabulacao!$EY$2:$FA$15,3,0),"-")</f>
        <v>0.40764331210191085</v>
      </c>
      <c r="CG26" s="95">
        <f>SUM(CB26:CF26)</f>
        <v>1</v>
      </c>
      <c r="CH26" s="170">
        <f>IFERROR(VLOOKUP(CH$25,Tabulacao!$EY$2:$FA$15,2,0),"-")</f>
        <v>3.7643312101910826</v>
      </c>
      <c r="CI26" s="171">
        <f>IFERROR(VLOOKUP(CI$25,Tabulacao!$EY$2:$FA$15,2,0),"-")</f>
        <v>5</v>
      </c>
      <c r="CJ26" s="171">
        <f>IFERROR(VLOOKUP(CJ$25,Tabulacao!$EY$2:$FA$15,2,0),"-")</f>
        <v>4</v>
      </c>
      <c r="CK26" s="172">
        <f>IFERROR(VLOOKUP(CK$25,Tabulacao!$EY$2:$FA$15,2,0),"-")</f>
        <v>0.36486351192334981</v>
      </c>
      <c r="CL26" s="48"/>
      <c r="CM26" s="82">
        <v>61</v>
      </c>
      <c r="CN26" s="65" t="str">
        <f t="shared" ref="CN26:CN38" si="19">CA26</f>
        <v>Domínio em sua área ou disciplina</v>
      </c>
      <c r="CO26" s="63">
        <f>IFERROR(VLOOKUP(CO$25,Tabulacao!$GL$2:$GN$15,3,0),"-")</f>
        <v>2.2140221402214021E-2</v>
      </c>
      <c r="CP26" s="63">
        <f>IFERROR(VLOOKUP(CP$25,Tabulacao!$GL$2:$GN$15,3,0),"-")</f>
        <v>5.5350553505535055E-2</v>
      </c>
      <c r="CQ26" s="63">
        <f>IFERROR(VLOOKUP(CQ$25,Tabulacao!$GL$2:$GN$15,3,0),"-")</f>
        <v>0.23247232472324722</v>
      </c>
      <c r="CR26" s="63">
        <f>IFERROR(VLOOKUP(CR$25,Tabulacao!$GL$2:$GN$15,3,0),"-")</f>
        <v>0.41328413284132842</v>
      </c>
      <c r="CS26" s="63">
        <f>IFERROR(VLOOKUP(CS$25,Tabulacao!$GL$2:$GN$15,3,0),"-")</f>
        <v>0.2767527675276753</v>
      </c>
      <c r="CT26" s="184">
        <f>SUM(CO26:CS26)</f>
        <v>1</v>
      </c>
      <c r="CU26" s="170">
        <f>IFERROR(VLOOKUP(CU$25,Tabulacao!$GL$2:$GN$15,2,0),"-")</f>
        <v>3.8671586715867159</v>
      </c>
      <c r="CV26" s="171">
        <f>IFERROR(VLOOKUP(CV$25,Tabulacao!$GL$2:$GN$15,2,0),"-")</f>
        <v>4</v>
      </c>
      <c r="CW26" s="171">
        <f>IFERROR(VLOOKUP(CW$25,Tabulacao!$GL$2:$GN$15,2,0),"-")</f>
        <v>4</v>
      </c>
      <c r="CX26" s="172">
        <f>IFERROR(VLOOKUP(CX$25,Tabulacao!$GL$2:$GN$15,2,0),"-")</f>
        <v>0.2474377270795958</v>
      </c>
      <c r="CY26" s="48"/>
      <c r="CZ26" s="48"/>
      <c r="DA26" s="48"/>
      <c r="DB26" s="48"/>
      <c r="DC26" s="48"/>
      <c r="DD26" s="48"/>
      <c r="DE26" s="48"/>
      <c r="DF26" s="48"/>
      <c r="DG26" s="48"/>
      <c r="DH26" s="48"/>
      <c r="DI26" s="48"/>
      <c r="DJ26" s="48"/>
      <c r="DK26" s="48"/>
      <c r="DL26" s="48"/>
      <c r="DM26" s="48"/>
      <c r="DN26" s="48"/>
      <c r="DO26" s="48"/>
      <c r="DP26" s="48"/>
    </row>
    <row r="27" spans="2:120" x14ac:dyDescent="0.2">
      <c r="B27" s="48"/>
      <c r="C27" s="323"/>
      <c r="D27" s="48"/>
      <c r="E27" s="48"/>
      <c r="F27" s="48"/>
      <c r="G27" s="48"/>
      <c r="H27" s="48"/>
      <c r="I27" s="48"/>
      <c r="J27" s="48"/>
      <c r="K27" s="48"/>
      <c r="L27" s="48"/>
      <c r="M27" s="52">
        <v>19</v>
      </c>
      <c r="N27" s="51" t="s">
        <v>851</v>
      </c>
      <c r="O27" s="70">
        <v>2</v>
      </c>
      <c r="P27" s="53">
        <f t="shared" si="3"/>
        <v>1.3071895424836602E-2</v>
      </c>
      <c r="Q27" s="48"/>
      <c r="R27" s="52">
        <v>19</v>
      </c>
      <c r="S27" s="51" t="str">
        <f t="array" ref="S27">INDEX($N$103:$N$188,SMALL(IF($O$103:$O$188=T27,ROW($O$103:$O$188)-102),COUNTIF($T$9:T27,T27)))</f>
        <v>Programador de Sistemas</v>
      </c>
      <c r="T27" s="70">
        <f t="shared" si="4"/>
        <v>0</v>
      </c>
      <c r="U27" s="53">
        <f t="shared" si="5"/>
        <v>0</v>
      </c>
      <c r="V27" s="48"/>
      <c r="W27" s="48"/>
      <c r="X27" s="48"/>
      <c r="Y27" s="48"/>
      <c r="Z27" s="48"/>
      <c r="AA27" s="48"/>
      <c r="AB27" s="48"/>
      <c r="AC27" s="48"/>
      <c r="AD27" s="48"/>
      <c r="AE27" s="48"/>
      <c r="AF27" s="48"/>
      <c r="AG27" s="187" t="s">
        <v>998</v>
      </c>
      <c r="AH27" s="187" t="s">
        <v>997</v>
      </c>
      <c r="AI27" s="187" t="s">
        <v>996</v>
      </c>
      <c r="AJ27" s="187">
        <v>1</v>
      </c>
      <c r="AK27" s="187">
        <v>2</v>
      </c>
      <c r="AL27" s="187">
        <v>3</v>
      </c>
      <c r="AM27" s="187">
        <v>4</v>
      </c>
      <c r="AN27" s="187">
        <v>5</v>
      </c>
      <c r="AO27" s="187" t="s">
        <v>621</v>
      </c>
      <c r="AP27" s="187" t="s">
        <v>160</v>
      </c>
      <c r="AQ27" s="187" t="s">
        <v>1000</v>
      </c>
      <c r="AR27" s="187" t="s">
        <v>1001</v>
      </c>
      <c r="AS27" s="187" t="s">
        <v>995</v>
      </c>
      <c r="AT27" s="48"/>
      <c r="AU27" s="48"/>
      <c r="AV27" s="48"/>
      <c r="AW27" s="48"/>
      <c r="AX27" s="60" t="str">
        <f t="shared" ref="AX27:AX35" si="20">AX10</f>
        <v>Tenho melhores oportunidades de carreira ocupando este emprego</v>
      </c>
      <c r="AY27" s="52">
        <f>COUNTIFS(Respostas_Formatadas!$C:$C,EmpAtual!$AX$24,Respostas_Formatadas!$AW:$AW,EmpAtual!AX27)</f>
        <v>0</v>
      </c>
      <c r="AZ27" s="53">
        <f t="shared" ref="AZ27:AZ35" si="21">IFERROR(AY27/$AY$36,"-")</f>
        <v>0</v>
      </c>
      <c r="BA27" s="48"/>
      <c r="BB27" s="60" t="str">
        <f t="shared" ref="BB27:BB30" si="22">BB10</f>
        <v>De 21 a 30 horas</v>
      </c>
      <c r="BC27" s="52">
        <f>COUNTIFS(Respostas_Formatadas!$C:$C,EmpAtual!$BB$24,Respostas_Formatadas!$AX:$AX,EmpAtual!BB27)</f>
        <v>5</v>
      </c>
      <c r="BD27" s="53">
        <f t="shared" ref="BD27:BD30" si="23">IFERROR(BC27/$BC$31,"-")</f>
        <v>0.33333333333333331</v>
      </c>
      <c r="BE27" s="48"/>
      <c r="BF27" s="48"/>
      <c r="BG27" s="60" t="str">
        <f t="shared" ref="BG27:BG29" si="24">BG10</f>
        <v>Contrato temporário</v>
      </c>
      <c r="BH27" s="52">
        <f>COUNTIFS(Respostas_Formatadas!$C:$C,EmpAtual!$BG$24,Respostas_Formatadas!$AY:$AY,EmpAtual!BG27)</f>
        <v>6</v>
      </c>
      <c r="BI27" s="53">
        <f>IFERROR(BH27/$BH$30,"-")</f>
        <v>0.3</v>
      </c>
      <c r="BJ27" s="48"/>
      <c r="BK27" s="48"/>
      <c r="BL27" s="60" t="str">
        <f t="shared" ref="BL27:BL29" si="25">BL10</f>
        <v>Entre 6 meses e 1 ano</v>
      </c>
      <c r="BM27" s="52">
        <f>COUNTIFS(Respostas_Formatadas!$C:$C,EmpAtual!$BL$24,Respostas_Formatadas!$BA:$BA,EmpAtual!BL27)</f>
        <v>3</v>
      </c>
      <c r="BN27" s="53">
        <f t="shared" ref="BN27:BN29" si="26">IFERROR(BM27/$BM$30,"-")</f>
        <v>0.10344827586206896</v>
      </c>
      <c r="BO27" s="48"/>
      <c r="BP27" s="48"/>
      <c r="BQ27" s="60" t="str">
        <f>Tabulacao!EM21</f>
        <v>Feira de Santana - BA</v>
      </c>
      <c r="BR27" s="52">
        <f>COUNTIF(Respostas_Formatadas!$BC:$BC,EmpAtual!BQ27)</f>
        <v>1</v>
      </c>
      <c r="BS27" s="53">
        <f t="shared" si="10"/>
        <v>6.993006993006993E-3</v>
      </c>
      <c r="BT27" s="48"/>
      <c r="BU27" s="52">
        <v>19</v>
      </c>
      <c r="BV27" s="60" t="str">
        <f t="array" ref="BV27">INDEX($BQ$49:$BQ$82,SMALL(IF($BR$49:$BR$82=BW27,ROW($BR$49:$BR$82)-48),COUNTIF($BW$9:BW27,BW27)))</f>
        <v>Alagoinhas - BA</v>
      </c>
      <c r="BW27" s="52">
        <f t="shared" si="11"/>
        <v>0</v>
      </c>
      <c r="BX27" s="53">
        <f t="shared" si="12"/>
        <v>0</v>
      </c>
      <c r="BY27" s="48"/>
      <c r="BZ27" s="81">
        <v>49</v>
      </c>
      <c r="CA27" s="51" t="str">
        <f>Tabulacao!FB2</f>
        <v>Conhecimento em outras áreas ou disciplinas</v>
      </c>
      <c r="CB27" s="53">
        <f>IFERROR(VLOOKUP(CB$25,Tabulacao!$FB$2:$FD$15,3,0),"-")</f>
        <v>8.2802547770700632E-2</v>
      </c>
      <c r="CC27" s="53">
        <f>IFERROR(VLOOKUP(CC$25,Tabulacao!$FB$2:$FD$15,3,0),"-")</f>
        <v>6.3694267515923567E-2</v>
      </c>
      <c r="CD27" s="53">
        <f>IFERROR(VLOOKUP(CD$25,Tabulacao!$FB$2:$FD$15,3,0),"-")</f>
        <v>0.30573248407643311</v>
      </c>
      <c r="CE27" s="53">
        <f>IFERROR(VLOOKUP(CE$25,Tabulacao!$FB$2:$FD$15,3,0),"-")</f>
        <v>0.35668789808917195</v>
      </c>
      <c r="CF27" s="53">
        <f>IFERROR(VLOOKUP(CF$25,Tabulacao!$FB$2:$FD$15,3,0),"-")</f>
        <v>0.19108280254777071</v>
      </c>
      <c r="CG27" s="277">
        <f t="shared" ref="CG27:CG38" si="27">SUM(CB27:CF27)</f>
        <v>1</v>
      </c>
      <c r="CH27" s="173">
        <f>IFERROR(VLOOKUP(CH$25,Tabulacao!$FB$2:$FD$15,2,0),"-")</f>
        <v>3.5095541401273884</v>
      </c>
      <c r="CI27" s="122">
        <f>IFERROR(VLOOKUP(CI$25,Tabulacao!$FB$2:$FD$15,2,0),"-")</f>
        <v>4</v>
      </c>
      <c r="CJ27" s="122">
        <f>IFERROR(VLOOKUP(CJ$25,Tabulacao!$FB$2:$FD$15,2,0),"-")</f>
        <v>4</v>
      </c>
      <c r="CK27" s="176">
        <f>IFERROR(VLOOKUP(CK$25,Tabulacao!$FB$2:$FD$15,2,0),"-")</f>
        <v>0.32038965360930044</v>
      </c>
      <c r="CL27" s="48"/>
      <c r="CM27" s="81">
        <v>62</v>
      </c>
      <c r="CN27" s="51" t="str">
        <f t="shared" si="19"/>
        <v>Conhecimento em outras áreas ou disciplinas</v>
      </c>
      <c r="CO27" s="53">
        <f>IFERROR(VLOOKUP(CO$25,Tabulacao!$GO$2:$GQ$15,3,0),"-")</f>
        <v>2.2140221402214021E-2</v>
      </c>
      <c r="CP27" s="53">
        <f>IFERROR(VLOOKUP(CP$25,Tabulacao!$GO$2:$GQ$15,3,0),"-")</f>
        <v>6.6420664206642069E-2</v>
      </c>
      <c r="CQ27" s="53">
        <f>IFERROR(VLOOKUP(CQ$25,Tabulacao!$GO$2:$GQ$15,3,0),"-")</f>
        <v>0.38745387453874541</v>
      </c>
      <c r="CR27" s="53">
        <f>IFERROR(VLOOKUP(CR$25,Tabulacao!$GO$2:$GQ$15,3,0),"-")</f>
        <v>0.37638376383763839</v>
      </c>
      <c r="CS27" s="53">
        <f>IFERROR(VLOOKUP(CS$25,Tabulacao!$GO$2:$GQ$15,3,0),"-")</f>
        <v>0.14760147601476015</v>
      </c>
      <c r="CT27" s="125">
        <f t="shared" ref="CT27:CT38" si="28">SUM(CO27:CS27)</f>
        <v>1</v>
      </c>
      <c r="CU27" s="173">
        <f>IFERROR(VLOOKUP(CU$25,Tabulacao!$GO$2:$GQ$15,2,0),"-")</f>
        <v>3.5608856088560885</v>
      </c>
      <c r="CV27" s="122">
        <f>IFERROR(VLOOKUP(CV$25,Tabulacao!$GO$2:$GQ$15,2,0),"-")</f>
        <v>3</v>
      </c>
      <c r="CW27" s="122">
        <f>IFERROR(VLOOKUP(CW$25,Tabulacao!$GO$2:$GQ$15,2,0),"-")</f>
        <v>4</v>
      </c>
      <c r="CX27" s="176">
        <f>IFERROR(VLOOKUP(CX$25,Tabulacao!$GO$2:$GQ$15,2,0),"-")</f>
        <v>0.2527723392010543</v>
      </c>
      <c r="CY27" s="48"/>
      <c r="CZ27" s="48"/>
      <c r="DA27" s="48"/>
      <c r="DB27" s="48"/>
      <c r="DC27" s="48"/>
      <c r="DD27" s="48"/>
      <c r="DE27" s="48"/>
      <c r="DF27" s="48"/>
      <c r="DG27" s="48"/>
      <c r="DH27" s="48"/>
      <c r="DI27" s="48"/>
      <c r="DJ27" s="48"/>
      <c r="DK27" s="48"/>
      <c r="DL27" s="48"/>
      <c r="DM27" s="48"/>
      <c r="DN27" s="48"/>
      <c r="DO27" s="48"/>
      <c r="DP27" s="48"/>
    </row>
    <row r="28" spans="2:120" ht="25.5" x14ac:dyDescent="0.2">
      <c r="B28" s="48"/>
      <c r="C28" s="323"/>
      <c r="D28" s="48"/>
      <c r="E28" s="48"/>
      <c r="F28" s="48"/>
      <c r="G28" s="48"/>
      <c r="H28" s="48"/>
      <c r="I28" s="48"/>
      <c r="J28" s="48"/>
      <c r="K28" s="48"/>
      <c r="L28" s="48"/>
      <c r="M28" s="52">
        <v>20</v>
      </c>
      <c r="N28" s="51" t="s">
        <v>1109</v>
      </c>
      <c r="O28" s="70">
        <v>1</v>
      </c>
      <c r="P28" s="53">
        <f t="shared" si="3"/>
        <v>6.5359477124183009E-3</v>
      </c>
      <c r="Q28" s="48"/>
      <c r="R28" s="52">
        <v>20</v>
      </c>
      <c r="S28" s="51" t="str">
        <f t="array" ref="S28">INDEX($N$103:$N$188,SMALL(IF($O$103:$O$188=T28,ROW($O$103:$O$188)-102),COUNTIF($T$9:T28,T28)))</f>
        <v>Encarregado de Produção</v>
      </c>
      <c r="T28" s="70">
        <f t="shared" si="4"/>
        <v>0</v>
      </c>
      <c r="U28" s="53">
        <f t="shared" si="5"/>
        <v>0</v>
      </c>
      <c r="V28" s="48"/>
      <c r="W28" s="156" t="s">
        <v>984</v>
      </c>
      <c r="X28" s="48"/>
      <c r="Y28" s="48"/>
      <c r="Z28" s="48"/>
      <c r="AA28" s="48"/>
      <c r="AB28" s="48"/>
      <c r="AC28" s="48"/>
      <c r="AD28" s="48"/>
      <c r="AE28" s="48"/>
      <c r="AF28" s="48"/>
      <c r="AG28" s="198">
        <f t="shared" ref="AG28:AI32" si="29">AG17</f>
        <v>37</v>
      </c>
      <c r="AH28" s="274" t="str">
        <f t="shared" si="29"/>
        <v>(1) Muito insatisfeito ... a ... (5) Muito satisfeito</v>
      </c>
      <c r="AI28" s="199" t="str">
        <f t="shared" si="29"/>
        <v>Em que medida você está satisfeito com a remuneração do seu emprego atual?</v>
      </c>
      <c r="AJ28" s="200">
        <f>IFERROR(COUNTIFS(Respostas_Formatadas!$C:$C,EmpAtual!$AI$26,Respostas_Formatadas!$AR:$AR,EmpAtual!AJ$27),"-")</f>
        <v>2</v>
      </c>
      <c r="AK28" s="200">
        <f>IFERROR(COUNTIFS(Respostas_Formatadas!$C:$C,EmpAtual!$AI$26,Respostas_Formatadas!$AR:$AR,EmpAtual!AK$27),"-")</f>
        <v>0</v>
      </c>
      <c r="AL28" s="200">
        <f>IFERROR(COUNTIFS(Respostas_Formatadas!$C:$C,EmpAtual!$AI$26,Respostas_Formatadas!$AR:$AR,EmpAtual!AL$27),"-")</f>
        <v>4</v>
      </c>
      <c r="AM28" s="200">
        <f>IFERROR(COUNTIFS(Respostas_Formatadas!$C:$C,EmpAtual!$AI$26,Respostas_Formatadas!$AR:$AR,EmpAtual!AM$27),"-")</f>
        <v>2</v>
      </c>
      <c r="AN28" s="200">
        <f>IFERROR(COUNTIFS(Respostas_Formatadas!$C:$C,EmpAtual!$AI$26,Respostas_Formatadas!$AR:$AR,EmpAtual!AN$27),"-")</f>
        <v>0</v>
      </c>
      <c r="AO28" s="278">
        <f>SUM(AJ28:AN28)</f>
        <v>8</v>
      </c>
      <c r="AP28" s="202">
        <f>IFERROR(SUMPRODUCT($AJ$27:$AN$27,$AJ$28:$AN$28)/SUM($AJ$28:$AN$28),"-")</f>
        <v>2.75</v>
      </c>
      <c r="AQ28" s="202">
        <f>((AJ28*($AJ$27-$AP$28)^2)+(AK28*($AK$27-$AP$28)^2)+(AL28*($AL$27-$AP$28)^2)+(AM28*($AM$27-$AP$28)^2)+(AN28*($AN$27-$AP$28)^2))/(SUM($AJ$28:$AN$28)-1)</f>
        <v>1.3571428571428572</v>
      </c>
      <c r="AR28" s="202">
        <f>SQRT(AQ28)</f>
        <v>1.1649647450214351</v>
      </c>
      <c r="AS28" s="203">
        <f>AR28/AP28</f>
        <v>0.42362354364415822</v>
      </c>
      <c r="AT28" s="48"/>
      <c r="AU28" s="48"/>
      <c r="AV28" s="48"/>
      <c r="AW28" s="48"/>
      <c r="AX28" s="60" t="str">
        <f t="shared" si="20"/>
        <v>Prefiro um emprego que não esteja intimamente relacionado com os meus estudos</v>
      </c>
      <c r="AY28" s="52">
        <f>COUNTIFS(Respostas_Formatadas!$C:$C,EmpAtual!$AX$24,Respostas_Formatadas!$AW:$AW,EmpAtual!AX28)</f>
        <v>0</v>
      </c>
      <c r="AZ28" s="53">
        <f t="shared" si="21"/>
        <v>0</v>
      </c>
      <c r="BA28" s="48"/>
      <c r="BB28" s="60" t="str">
        <f t="shared" si="22"/>
        <v>De 31 a 39 horas</v>
      </c>
      <c r="BC28" s="52">
        <f>COUNTIFS(Respostas_Formatadas!$C:$C,EmpAtual!$BB$24,Respostas_Formatadas!$AX:$AX,EmpAtual!BB28)</f>
        <v>1</v>
      </c>
      <c r="BD28" s="53">
        <f t="shared" si="23"/>
        <v>6.6666666666666666E-2</v>
      </c>
      <c r="BE28" s="48"/>
      <c r="BF28" s="48"/>
      <c r="BG28" s="60" t="str">
        <f t="shared" si="24"/>
        <v>Contrato CLT por tempo indeterminado</v>
      </c>
      <c r="BH28" s="52">
        <f>COUNTIFS(Respostas_Formatadas!$C:$C,EmpAtual!$BG$24,Respostas_Formatadas!$AY:$AY,EmpAtual!BG28)</f>
        <v>5</v>
      </c>
      <c r="BI28" s="53">
        <f>IFERROR(BH28/$BH$30,"-")</f>
        <v>0.25</v>
      </c>
      <c r="BJ28" s="48"/>
      <c r="BK28" s="48"/>
      <c r="BL28" s="60" t="str">
        <f t="shared" si="25"/>
        <v>Entre 1 e 2 anos</v>
      </c>
      <c r="BM28" s="52">
        <f>COUNTIFS(Respostas_Formatadas!$C:$C,EmpAtual!$BL$24,Respostas_Formatadas!$BA:$BA,EmpAtual!BL28)</f>
        <v>4</v>
      </c>
      <c r="BN28" s="53">
        <f t="shared" si="26"/>
        <v>0.13793103448275862</v>
      </c>
      <c r="BO28" s="48"/>
      <c r="BP28" s="48"/>
      <c r="BQ28" s="60" t="str">
        <f>Tabulacao!EM22</f>
        <v>Ribeirópolis</v>
      </c>
      <c r="BR28" s="52">
        <f>COUNTIF(Respostas_Formatadas!$BC:$BC,EmpAtual!BQ28)</f>
        <v>1</v>
      </c>
      <c r="BS28" s="53">
        <f t="shared" si="10"/>
        <v>6.993006993006993E-3</v>
      </c>
      <c r="BT28" s="48"/>
      <c r="BU28" s="52">
        <v>20</v>
      </c>
      <c r="BV28" s="60" t="str">
        <f t="array" ref="BV28">INDEX($BQ$49:$BQ$82,SMALL(IF($BR$49:$BR$82=BW28,ROW($BR$49:$BR$82)-48),COUNTIF($BW$9:BW28,BW28)))</f>
        <v>Poço Redondo</v>
      </c>
      <c r="BW28" s="52">
        <f t="shared" si="11"/>
        <v>0</v>
      </c>
      <c r="BX28" s="53">
        <f t="shared" si="12"/>
        <v>0</v>
      </c>
      <c r="BY28" s="48"/>
      <c r="BZ28" s="82">
        <v>50</v>
      </c>
      <c r="CA28" s="65" t="str">
        <f>Tabulacao!FE2</f>
        <v>Pensamento analítico</v>
      </c>
      <c r="CB28" s="63">
        <f>IFERROR(VLOOKUP(CB$25,Tabulacao!$FE$2:$FG$15,3,0),"-")</f>
        <v>1.2738853503184714E-2</v>
      </c>
      <c r="CC28" s="63">
        <f>IFERROR(VLOOKUP(CC$25,Tabulacao!$FE$2:$FG$15,3,0),"-")</f>
        <v>6.3694267515923567E-2</v>
      </c>
      <c r="CD28" s="63">
        <f>IFERROR(VLOOKUP(CD$25,Tabulacao!$FE$2:$FG$15,3,0),"-")</f>
        <v>0.18471337579617833</v>
      </c>
      <c r="CE28" s="63">
        <f>IFERROR(VLOOKUP(CE$25,Tabulacao!$FE$2:$FG$15,3,0),"-")</f>
        <v>0.34394904458598724</v>
      </c>
      <c r="CF28" s="63">
        <f>IFERROR(VLOOKUP(CF$25,Tabulacao!$FE$2:$FG$15,3,0),"-")</f>
        <v>0.39490445859872614</v>
      </c>
      <c r="CG28" s="95">
        <f t="shared" si="27"/>
        <v>1</v>
      </c>
      <c r="CH28" s="170">
        <f>IFERROR(VLOOKUP(CH$25,Tabulacao!$FE$2:$FG$15,2,0),"-")</f>
        <v>4.0445859872611463</v>
      </c>
      <c r="CI28" s="171">
        <f>IFERROR(VLOOKUP(CI$25,Tabulacao!$FE$2:$FG$15,2,0),"-")</f>
        <v>5</v>
      </c>
      <c r="CJ28" s="171">
        <f>IFERROR(VLOOKUP(CJ$25,Tabulacao!$FE$2:$FG$15,2,0),"-")</f>
        <v>4</v>
      </c>
      <c r="CK28" s="172">
        <f>IFERROR(VLOOKUP(CK$25,Tabulacao!$FE$2:$FG$15,2,0),"-")</f>
        <v>0.24138008673517852</v>
      </c>
      <c r="CL28" s="48"/>
      <c r="CM28" s="82">
        <v>63</v>
      </c>
      <c r="CN28" s="65" t="str">
        <f t="shared" si="19"/>
        <v>Pensamento analítico</v>
      </c>
      <c r="CO28" s="63">
        <f>IFERROR(VLOOKUP(CO$25,Tabulacao!$GR$2:$GT$15,3,0),"-")</f>
        <v>1.107011070110701E-2</v>
      </c>
      <c r="CP28" s="63">
        <f>IFERROR(VLOOKUP(CP$25,Tabulacao!$GR$2:$GT$15,3,0),"-")</f>
        <v>3.6900369003690037E-2</v>
      </c>
      <c r="CQ28" s="63">
        <f>IFERROR(VLOOKUP(CQ$25,Tabulacao!$GR$2:$GT$15,3,0),"-")</f>
        <v>0.23247232472324722</v>
      </c>
      <c r="CR28" s="63">
        <f>IFERROR(VLOOKUP(CR$25,Tabulacao!$GR$2:$GT$15,3,0),"-")</f>
        <v>0.46494464944649444</v>
      </c>
      <c r="CS28" s="63">
        <f>IFERROR(VLOOKUP(CS$25,Tabulacao!$GR$2:$GT$15,3,0),"-")</f>
        <v>0.25461254612546125</v>
      </c>
      <c r="CT28" s="184">
        <f t="shared" si="28"/>
        <v>0.99999999999999989</v>
      </c>
      <c r="CU28" s="170">
        <f>IFERROR(VLOOKUP(CU$25,Tabulacao!$GR$2:$GT$15,2,0),"-")</f>
        <v>3.915129151291513</v>
      </c>
      <c r="CV28" s="171">
        <f>IFERROR(VLOOKUP(CV$25,Tabulacao!$GR$2:$GT$15,2,0),"-")</f>
        <v>4</v>
      </c>
      <c r="CW28" s="171">
        <f>IFERROR(VLOOKUP(CW$25,Tabulacao!$GR$2:$GT$15,2,0),"-")</f>
        <v>4</v>
      </c>
      <c r="CX28" s="172">
        <f>IFERROR(VLOOKUP(CX$25,Tabulacao!$GR$2:$GT$15,2,0),"-")</f>
        <v>0.21820163877194024</v>
      </c>
      <c r="CY28" s="48"/>
      <c r="CZ28" s="156" t="s">
        <v>1267</v>
      </c>
      <c r="DA28" s="325" t="s">
        <v>1266</v>
      </c>
      <c r="DB28" s="326"/>
      <c r="DC28" s="327"/>
      <c r="DD28" s="48"/>
      <c r="DE28" s="48"/>
      <c r="DF28" s="48"/>
      <c r="DG28" s="156" t="s">
        <v>1268</v>
      </c>
      <c r="DH28" s="48"/>
      <c r="DI28" s="48"/>
      <c r="DJ28" s="48"/>
      <c r="DK28" s="48"/>
      <c r="DL28" s="156" t="s">
        <v>1269</v>
      </c>
      <c r="DM28" s="48"/>
      <c r="DN28" s="48"/>
      <c r="DO28" s="48"/>
      <c r="DP28" s="48"/>
    </row>
    <row r="29" spans="2:120" x14ac:dyDescent="0.2">
      <c r="B29" s="48"/>
      <c r="C29" s="323"/>
      <c r="D29" s="48"/>
      <c r="E29" s="48"/>
      <c r="F29" s="48"/>
      <c r="G29" s="48"/>
      <c r="H29" s="48"/>
      <c r="I29" s="48"/>
      <c r="J29" s="48"/>
      <c r="K29" s="48"/>
      <c r="L29" s="48"/>
      <c r="M29" s="52">
        <v>21</v>
      </c>
      <c r="N29" s="51" t="s">
        <v>308</v>
      </c>
      <c r="O29" s="70">
        <v>1</v>
      </c>
      <c r="P29" s="53">
        <f t="shared" si="3"/>
        <v>6.5359477124183009E-3</v>
      </c>
      <c r="Q29" s="48"/>
      <c r="R29" s="52">
        <v>21</v>
      </c>
      <c r="S29" s="51" t="str">
        <f t="array" ref="S29">INDEX($N$103:$N$188,SMALL(IF($O$103:$O$188=T29,ROW($O$103:$O$188)-102),COUNTIF($T$9:T29,T29)))</f>
        <v>Auxiliar de Laboratório</v>
      </c>
      <c r="T29" s="70">
        <f t="shared" si="4"/>
        <v>0</v>
      </c>
      <c r="U29" s="53">
        <f t="shared" si="5"/>
        <v>0</v>
      </c>
      <c r="V29" s="48"/>
      <c r="W29" s="48"/>
      <c r="X29" s="48"/>
      <c r="Y29" s="48"/>
      <c r="Z29" s="48"/>
      <c r="AA29" s="48"/>
      <c r="AB29" s="48"/>
      <c r="AC29" s="48"/>
      <c r="AD29" s="48"/>
      <c r="AE29" s="48"/>
      <c r="AF29" s="48"/>
      <c r="AG29" s="81">
        <f t="shared" si="29"/>
        <v>38</v>
      </c>
      <c r="AH29" s="70" t="str">
        <f t="shared" si="29"/>
        <v>(1) Nem um pouco ... a ... (5) Em grande medida</v>
      </c>
      <c r="AI29" s="51" t="str">
        <f t="shared" si="29"/>
        <v>Em que medida os conhecimentos adquiridos no IFS são úteis para você desempenhar suas atividades em seu emprego atual?</v>
      </c>
      <c r="AJ29" s="122">
        <f>IFERROR(COUNTIFS(Respostas_Formatadas!$C:$C,EmpAtual!$AI$26,Respostas_Formatadas!$AS:$AS,EmpAtual!AJ$27),"-")</f>
        <v>0</v>
      </c>
      <c r="AK29" s="122">
        <f>IFERROR(COUNTIFS(Respostas_Formatadas!$C:$C,EmpAtual!$AI$26,Respostas_Formatadas!$AS:$AS,EmpAtual!AK$27),"-")</f>
        <v>2</v>
      </c>
      <c r="AL29" s="122">
        <f>IFERROR(COUNTIFS(Respostas_Formatadas!$C:$C,EmpAtual!$AI$26,Respostas_Formatadas!$AS:$AS,EmpAtual!AL$27),"-")</f>
        <v>2</v>
      </c>
      <c r="AM29" s="122">
        <f>IFERROR(COUNTIFS(Respostas_Formatadas!$C:$C,EmpAtual!$AI$26,Respostas_Formatadas!$AS:$AS,EmpAtual!AM$27),"-")</f>
        <v>2</v>
      </c>
      <c r="AN29" s="122">
        <f>IFERROR(COUNTIFS(Respostas_Formatadas!$C:$C,EmpAtual!$AI$26,Respostas_Formatadas!$AS:$AS,EmpAtual!AN$27),"-")</f>
        <v>2</v>
      </c>
      <c r="AO29" s="276">
        <f t="shared" ref="AO29:AO32" si="30">SUM(AJ29:AN29)</f>
        <v>8</v>
      </c>
      <c r="AP29" s="173">
        <f>IFERROR(SUMPRODUCT($AJ$27:$AN$27,$AJ$29:$AN$29)/SUM($AJ$29:$AN$29),"-")</f>
        <v>3.5</v>
      </c>
      <c r="AQ29" s="173">
        <f>((AJ29*($AJ$27-$AP$29)^2)+(AK29*($AK$27-$AP$29)^2)+(AL29*($AL$27-$AP$29)^2)+(AM29*($AM$27-$AP$29)^2)+(AN29*($AN$27-$AP$29)^2))/(SUM($AJ$29:$AN$29)-1)</f>
        <v>1.4285714285714286</v>
      </c>
      <c r="AR29" s="173">
        <f>SQRT(AQ29)</f>
        <v>1.1952286093343936</v>
      </c>
      <c r="AS29" s="176">
        <f>AR29/AP29</f>
        <v>0.34149388838125533</v>
      </c>
      <c r="AT29" s="48"/>
      <c r="AU29" s="48"/>
      <c r="AV29" s="48"/>
      <c r="AW29" s="48"/>
      <c r="AX29" s="60" t="str">
        <f t="shared" si="20"/>
        <v>Fui promovido a uma posição menos ligada aos meus estudos do que a anterior</v>
      </c>
      <c r="AY29" s="52">
        <f>COUNTIFS(Respostas_Formatadas!$C:$C,EmpAtual!$AX$24,Respostas_Formatadas!$AW:$AW,EmpAtual!AX29)</f>
        <v>0</v>
      </c>
      <c r="AZ29" s="53">
        <f t="shared" si="21"/>
        <v>0</v>
      </c>
      <c r="BA29" s="48"/>
      <c r="BB29" s="60" t="str">
        <f t="shared" si="22"/>
        <v>De 40 a 44 horas</v>
      </c>
      <c r="BC29" s="52">
        <f>COUNTIFS(Respostas_Formatadas!$C:$C,EmpAtual!$BB$24,Respostas_Formatadas!$AX:$AX,EmpAtual!BB29)</f>
        <v>3</v>
      </c>
      <c r="BD29" s="53">
        <f t="shared" si="23"/>
        <v>0.2</v>
      </c>
      <c r="BE29" s="48"/>
      <c r="BF29" s="48"/>
      <c r="BG29" s="60" t="str">
        <f t="shared" si="24"/>
        <v>Sou Autônomo</v>
      </c>
      <c r="BH29" s="52">
        <f>COUNTIFS(Respostas_Formatadas!$C:$C,EmpAtual!$BG$24,Respostas_Formatadas!$AY:$AY,EmpAtual!BG29)</f>
        <v>4</v>
      </c>
      <c r="BI29" s="53">
        <f>IFERROR(BH29/$BH$30,"-")</f>
        <v>0.2</v>
      </c>
      <c r="BJ29" s="48"/>
      <c r="BK29" s="48"/>
      <c r="BL29" s="60" t="str">
        <f t="shared" si="25"/>
        <v>Mais de 2 anos</v>
      </c>
      <c r="BM29" s="52">
        <f>COUNTIFS(Respostas_Formatadas!$C:$C,EmpAtual!$BL$24,Respostas_Formatadas!$BA:$BA,EmpAtual!BL29)</f>
        <v>21</v>
      </c>
      <c r="BN29" s="53">
        <f t="shared" si="26"/>
        <v>0.72413793103448276</v>
      </c>
      <c r="BO29" s="48"/>
      <c r="BP29" s="48"/>
      <c r="BQ29" s="60" t="str">
        <f>Tabulacao!EM23</f>
        <v>Frei Paulo</v>
      </c>
      <c r="BR29" s="52">
        <f>COUNTIF(Respostas_Formatadas!$BC:$BC,EmpAtual!BQ29)</f>
        <v>1</v>
      </c>
      <c r="BS29" s="53">
        <f t="shared" si="10"/>
        <v>6.993006993006993E-3</v>
      </c>
      <c r="BT29" s="48"/>
      <c r="BU29" s="52">
        <v>21</v>
      </c>
      <c r="BV29" s="60" t="str">
        <f t="array" ref="BV29">INDEX($BQ$49:$BQ$82,SMALL(IF($BR$49:$BR$82=BW29,ROW($BR$49:$BR$82)-48),COUNTIF($BW$9:BW29,BW29)))</f>
        <v>Feira de Santana - BA</v>
      </c>
      <c r="BW29" s="52">
        <f t="shared" si="11"/>
        <v>0</v>
      </c>
      <c r="BX29" s="53">
        <f t="shared" si="12"/>
        <v>0</v>
      </c>
      <c r="BY29" s="48"/>
      <c r="BZ29" s="81">
        <v>51</v>
      </c>
      <c r="CA29" s="51" t="str">
        <f>Tabulacao!FH2</f>
        <v>Habilidade para negociar</v>
      </c>
      <c r="CB29" s="53">
        <f>IFERROR(VLOOKUP(CB$25,Tabulacao!$FH$2:$FJ$15,3,0),"-")</f>
        <v>0.10191082802547771</v>
      </c>
      <c r="CC29" s="53">
        <f>IFERROR(VLOOKUP(CC$25,Tabulacao!$FH$2:$FJ$15,3,0),"-")</f>
        <v>0.12101910828025478</v>
      </c>
      <c r="CD29" s="53">
        <f>IFERROR(VLOOKUP(CD$25,Tabulacao!$FH$2:$FJ$15,3,0),"-")</f>
        <v>0.2356687898089172</v>
      </c>
      <c r="CE29" s="53">
        <f>IFERROR(VLOOKUP(CE$25,Tabulacao!$FH$2:$FJ$15,3,0),"-")</f>
        <v>0.20382165605095542</v>
      </c>
      <c r="CF29" s="53">
        <f>IFERROR(VLOOKUP(CF$25,Tabulacao!$FH$2:$FJ$15,3,0),"-")</f>
        <v>0.33757961783439489</v>
      </c>
      <c r="CG29" s="277">
        <f t="shared" si="27"/>
        <v>1</v>
      </c>
      <c r="CH29" s="173">
        <f>IFERROR(VLOOKUP(CH$25,Tabulacao!$FH$2:$FJ$15,2,0),"-")</f>
        <v>3.5541401273885351</v>
      </c>
      <c r="CI29" s="122">
        <f>IFERROR(VLOOKUP(CI$25,Tabulacao!$FH$2:$FJ$15,2,0),"-")</f>
        <v>5</v>
      </c>
      <c r="CJ29" s="122">
        <f>IFERROR(VLOOKUP(CJ$25,Tabulacao!$FH$2:$FJ$15,2,0),"-")</f>
        <v>4</v>
      </c>
      <c r="CK29" s="176">
        <f>IFERROR(VLOOKUP(CK$25,Tabulacao!$FH$2:$FJ$15,2,0),"-")</f>
        <v>0.37613314161180933</v>
      </c>
      <c r="CL29" s="48"/>
      <c r="CM29" s="81">
        <v>64</v>
      </c>
      <c r="CN29" s="51" t="str">
        <f t="shared" si="19"/>
        <v>Habilidade para negociar</v>
      </c>
      <c r="CO29" s="53">
        <f>IFERROR(VLOOKUP(CO$25,Tabulacao!$GU$2:$GW$15,3,0),"-")</f>
        <v>3.6900369003690037E-2</v>
      </c>
      <c r="CP29" s="53">
        <f>IFERROR(VLOOKUP(CP$25,Tabulacao!$GU$2:$GW$15,3,0),"-")</f>
        <v>8.1180811808118078E-2</v>
      </c>
      <c r="CQ29" s="53">
        <f>IFERROR(VLOOKUP(CQ$25,Tabulacao!$GU$2:$GW$15,3,0),"-")</f>
        <v>0.24723247232472326</v>
      </c>
      <c r="CR29" s="53">
        <f>IFERROR(VLOOKUP(CR$25,Tabulacao!$GU$2:$GW$15,3,0),"-")</f>
        <v>0.36900369003690037</v>
      </c>
      <c r="CS29" s="53">
        <f>IFERROR(VLOOKUP(CS$25,Tabulacao!$GU$2:$GW$15,3,0),"-")</f>
        <v>0.26568265682656828</v>
      </c>
      <c r="CT29" s="125">
        <f t="shared" si="28"/>
        <v>1</v>
      </c>
      <c r="CU29" s="173">
        <f>IFERROR(VLOOKUP(CU$25,Tabulacao!$GU$2:$GW$15,2,0),"-")</f>
        <v>3.7453874538745389</v>
      </c>
      <c r="CV29" s="122">
        <f>IFERROR(VLOOKUP(CV$25,Tabulacao!$GU$2:$GW$15,2,0),"-")</f>
        <v>4</v>
      </c>
      <c r="CW29" s="122">
        <f>IFERROR(VLOOKUP(CW$25,Tabulacao!$GU$2:$GW$15,2,0),"-")</f>
        <v>4</v>
      </c>
      <c r="CX29" s="176">
        <f>IFERROR(VLOOKUP(CX$25,Tabulacao!$GU$2:$GW$15,2,0),"-")</f>
        <v>0.28117084069417303</v>
      </c>
      <c r="CY29" s="48"/>
      <c r="CZ29" s="48"/>
      <c r="DA29" s="48"/>
      <c r="DB29" s="48"/>
      <c r="DC29" s="48"/>
      <c r="DD29" s="48"/>
      <c r="DE29" s="48"/>
      <c r="DF29" s="48"/>
      <c r="DG29" s="48"/>
      <c r="DH29" s="48"/>
      <c r="DI29" s="48"/>
      <c r="DJ29" s="48"/>
      <c r="DK29" s="48"/>
      <c r="DL29" s="48"/>
      <c r="DM29" s="48"/>
      <c r="DN29" s="48"/>
      <c r="DO29" s="48"/>
      <c r="DP29" s="48"/>
    </row>
    <row r="30" spans="2:120" x14ac:dyDescent="0.2">
      <c r="B30" s="48"/>
      <c r="C30" s="323"/>
      <c r="D30" s="48"/>
      <c r="E30" s="48"/>
      <c r="F30" s="156" t="s">
        <v>1186</v>
      </c>
      <c r="G30" s="48"/>
      <c r="H30" s="48"/>
      <c r="I30" s="48"/>
      <c r="J30" s="48"/>
      <c r="K30" s="48"/>
      <c r="L30" s="48"/>
      <c r="M30" s="52">
        <v>22</v>
      </c>
      <c r="N30" s="51" t="s">
        <v>1217</v>
      </c>
      <c r="O30" s="70">
        <v>1</v>
      </c>
      <c r="P30" s="53">
        <f t="shared" si="3"/>
        <v>6.5359477124183009E-3</v>
      </c>
      <c r="Q30" s="48"/>
      <c r="R30" s="52">
        <v>22</v>
      </c>
      <c r="S30" s="51" t="str">
        <f t="array" ref="S30">INDEX($N$103:$N$188,SMALL(IF($O$103:$O$188=T30,ROW($O$103:$O$188)-102),COUNTIF($T$9:T30,T30)))</f>
        <v>Técnico em Química</v>
      </c>
      <c r="T30" s="70">
        <f t="shared" si="4"/>
        <v>0</v>
      </c>
      <c r="U30" s="53">
        <f t="shared" si="5"/>
        <v>0</v>
      </c>
      <c r="V30" s="341" t="s">
        <v>1159</v>
      </c>
      <c r="W30" s="261" t="s">
        <v>120</v>
      </c>
      <c r="X30" s="48"/>
      <c r="Y30" s="48"/>
      <c r="Z30" s="48"/>
      <c r="AA30" s="48"/>
      <c r="AB30" s="48"/>
      <c r="AC30" s="48"/>
      <c r="AD30" s="48"/>
      <c r="AE30" s="48"/>
      <c r="AF30" s="48"/>
      <c r="AG30" s="198">
        <f t="shared" si="29"/>
        <v>39</v>
      </c>
      <c r="AH30" s="274" t="str">
        <f t="shared" si="29"/>
        <v>(1) Nem um pouco ... a ... (5) Em grande medida</v>
      </c>
      <c r="AI30" s="199" t="str">
        <f t="shared" si="29"/>
        <v>Em que medida seu emprego atual demanda por conhecimentos e habilidades além do que você pode oferecer?</v>
      </c>
      <c r="AJ30" s="200">
        <f>IFERROR(COUNTIFS(Respostas_Formatadas!$C:$C,EmpAtual!$AI$26,Respostas_Formatadas!$AT:$AT,EmpAtual!AJ$27),"-")</f>
        <v>0</v>
      </c>
      <c r="AK30" s="200">
        <f>IFERROR(COUNTIFS(Respostas_Formatadas!$C:$C,EmpAtual!$AI$26,Respostas_Formatadas!$AT:$AT,EmpAtual!AK$27),"-")</f>
        <v>2</v>
      </c>
      <c r="AL30" s="200">
        <f>IFERROR(COUNTIFS(Respostas_Formatadas!$C:$C,EmpAtual!$AI$26,Respostas_Formatadas!$AT:$AT,EmpAtual!AL$27),"-")</f>
        <v>4</v>
      </c>
      <c r="AM30" s="200">
        <f>IFERROR(COUNTIFS(Respostas_Formatadas!$C:$C,EmpAtual!$AI$26,Respostas_Formatadas!$AT:$AT,EmpAtual!AM$27),"-")</f>
        <v>2</v>
      </c>
      <c r="AN30" s="200">
        <f>IFERROR(COUNTIFS(Respostas_Formatadas!$C:$C,EmpAtual!$AI$26,Respostas_Formatadas!$AT:$AT,EmpAtual!AN$27),"-")</f>
        <v>0</v>
      </c>
      <c r="AO30" s="278">
        <f t="shared" si="30"/>
        <v>8</v>
      </c>
      <c r="AP30" s="202">
        <f>IFERROR(SUMPRODUCT($AJ$27:$AN$27,$AJ$30:$AN$30)/SUM($AJ$30:$AN$30),"-")</f>
        <v>3</v>
      </c>
      <c r="AQ30" s="202">
        <f>((AJ30*($AJ$27-$AP$30)^2)+(AK30*($AK$27-$AP$30)^2)+(AL30*($AL$27-$AP$30)^2)+(AM30*($AM$27-$AP$30)^2)+(AN30*($AN$27-$AP$30)^2))/(SUM($AJ$30:$AN$30)-1)</f>
        <v>0.5714285714285714</v>
      </c>
      <c r="AR30" s="202">
        <f>SQRT(AQ30)</f>
        <v>0.7559289460184544</v>
      </c>
      <c r="AS30" s="203">
        <f>AR30/AP30</f>
        <v>0.25197631533948478</v>
      </c>
      <c r="AT30" s="48"/>
      <c r="AU30" s="48"/>
      <c r="AV30" s="48"/>
      <c r="AW30" s="48"/>
      <c r="AX30" s="60" t="str">
        <f t="shared" si="20"/>
        <v>Eu posso ter um salário mais alto no meu emprego atual</v>
      </c>
      <c r="AY30" s="52">
        <f>COUNTIFS(Respostas_Formatadas!$C:$C,EmpAtual!$AX$24,Respostas_Formatadas!$AW:$AW,EmpAtual!AX30)</f>
        <v>1</v>
      </c>
      <c r="AZ30" s="53">
        <f t="shared" si="21"/>
        <v>0.16666666666666666</v>
      </c>
      <c r="BA30" s="48"/>
      <c r="BB30" s="60" t="str">
        <f t="shared" si="22"/>
        <v>Acima de 44 horas</v>
      </c>
      <c r="BC30" s="52">
        <f>COUNTIFS(Respostas_Formatadas!$C:$C,EmpAtual!$BB$24,Respostas_Formatadas!$AX:$AX,EmpAtual!BB30)</f>
        <v>2</v>
      </c>
      <c r="BD30" s="53">
        <f t="shared" si="23"/>
        <v>0.13333333333333333</v>
      </c>
      <c r="BE30" s="48"/>
      <c r="BF30" s="48"/>
      <c r="BG30" s="191" t="s">
        <v>621</v>
      </c>
      <c r="BH30" s="192">
        <f>SUM(BH26:BH29)</f>
        <v>20</v>
      </c>
      <c r="BI30" s="193">
        <f>SUM(BI26:BI29)</f>
        <v>1</v>
      </c>
      <c r="BJ30" s="48"/>
      <c r="BK30" s="48"/>
      <c r="BL30" s="191" t="s">
        <v>621</v>
      </c>
      <c r="BM30" s="192">
        <f>SUM(BM26:BM29)</f>
        <v>29</v>
      </c>
      <c r="BN30" s="193">
        <f>SUM(BN26:BN29)</f>
        <v>1</v>
      </c>
      <c r="BO30" s="48"/>
      <c r="BP30" s="48"/>
      <c r="BQ30" s="60" t="str">
        <f>Tabulacao!EM24</f>
        <v>Balneário Camboriú - SC</v>
      </c>
      <c r="BR30" s="52">
        <f>COUNTIF(Respostas_Formatadas!$BC:$BC,EmpAtual!BQ30)</f>
        <v>1</v>
      </c>
      <c r="BS30" s="53">
        <f t="shared" si="10"/>
        <v>6.993006993006993E-3</v>
      </c>
      <c r="BT30" s="48"/>
      <c r="BU30" s="52">
        <v>22</v>
      </c>
      <c r="BV30" s="60" t="str">
        <f t="array" ref="BV30">INDEX($BQ$49:$BQ$82,SMALL(IF($BR$49:$BR$82=BW30,ROW($BR$49:$BR$82)-48),COUNTIF($BW$9:BW30,BW30)))</f>
        <v>Frei Paulo</v>
      </c>
      <c r="BW30" s="52">
        <f t="shared" si="11"/>
        <v>0</v>
      </c>
      <c r="BX30" s="53">
        <f t="shared" si="12"/>
        <v>0</v>
      </c>
      <c r="BY30" s="48"/>
      <c r="BZ30" s="82">
        <v>52</v>
      </c>
      <c r="CA30" s="65" t="str">
        <f>Tabulacao!FK2</f>
        <v>Habilidade de coordenar atividades</v>
      </c>
      <c r="CB30" s="63">
        <f>IFERROR(VLOOKUP(CB$25,Tabulacao!$FK$2:$FM$15,3,0),"-")</f>
        <v>1.9108280254777069E-2</v>
      </c>
      <c r="CC30" s="63">
        <f>IFERROR(VLOOKUP(CC$25,Tabulacao!$FK$2:$FM$15,3,0),"-")</f>
        <v>4.4585987261146494E-2</v>
      </c>
      <c r="CD30" s="63">
        <f>IFERROR(VLOOKUP(CD$25,Tabulacao!$FK$2:$FM$15,3,0),"-")</f>
        <v>0.16560509554140126</v>
      </c>
      <c r="CE30" s="63">
        <f>IFERROR(VLOOKUP(CE$25,Tabulacao!$FK$2:$FM$15,3,0),"-")</f>
        <v>0.26114649681528662</v>
      </c>
      <c r="CF30" s="63">
        <f>IFERROR(VLOOKUP(CF$25,Tabulacao!$FK$2:$FM$15,3,0),"-")</f>
        <v>0.50955414012738853</v>
      </c>
      <c r="CG30" s="95">
        <f t="shared" si="27"/>
        <v>1</v>
      </c>
      <c r="CH30" s="170">
        <f>IFERROR(VLOOKUP(CH$25,Tabulacao!$FK$2:$FM$15,2,0),"-")</f>
        <v>4.1974522292993628</v>
      </c>
      <c r="CI30" s="171">
        <f>IFERROR(VLOOKUP(CI$25,Tabulacao!$FK$2:$FM$15,2,0),"-")</f>
        <v>5</v>
      </c>
      <c r="CJ30" s="171">
        <f>IFERROR(VLOOKUP(CJ$25,Tabulacao!$FK$2:$FM$15,2,0),"-")</f>
        <v>5</v>
      </c>
      <c r="CK30" s="172">
        <f>IFERROR(VLOOKUP(CK$25,Tabulacao!$FK$2:$FM$15,2,0),"-")</f>
        <v>0.23738221603215731</v>
      </c>
      <c r="CL30" s="48"/>
      <c r="CM30" s="82">
        <v>65</v>
      </c>
      <c r="CN30" s="65" t="str">
        <f t="shared" si="19"/>
        <v>Habilidade de coordenar atividades</v>
      </c>
      <c r="CO30" s="63">
        <f>IFERROR(VLOOKUP(CO$25,Tabulacao!$GX$2:$GZ$15,3,0),"-")</f>
        <v>1.107011070110701E-2</v>
      </c>
      <c r="CP30" s="63">
        <f>IFERROR(VLOOKUP(CP$25,Tabulacao!$GX$2:$GZ$15,3,0),"-")</f>
        <v>3.3210332103321034E-2</v>
      </c>
      <c r="CQ30" s="63">
        <f>IFERROR(VLOOKUP(CQ$25,Tabulacao!$GX$2:$GZ$15,3,0),"-")</f>
        <v>0.22140221402214022</v>
      </c>
      <c r="CR30" s="63">
        <f>IFERROR(VLOOKUP(CR$25,Tabulacao!$GX$2:$GZ$15,3,0),"-")</f>
        <v>0.39114391143911437</v>
      </c>
      <c r="CS30" s="63">
        <f>IFERROR(VLOOKUP(CS$25,Tabulacao!$GX$2:$GZ$15,3,0),"-")</f>
        <v>0.34317343173431736</v>
      </c>
      <c r="CT30" s="184">
        <f t="shared" si="28"/>
        <v>1</v>
      </c>
      <c r="CU30" s="170">
        <f>IFERROR(VLOOKUP(CU$25,Tabulacao!$GX$2:$GZ$15,2,0),"-")</f>
        <v>4.0221402214022142</v>
      </c>
      <c r="CV30" s="171">
        <f>IFERROR(VLOOKUP(CV$25,Tabulacao!$GX$2:$GZ$15,2,0),"-")</f>
        <v>4</v>
      </c>
      <c r="CW30" s="171">
        <f>IFERROR(VLOOKUP(CW$25,Tabulacao!$GX$2:$GZ$15,2,0),"-")</f>
        <v>4</v>
      </c>
      <c r="CX30" s="172">
        <f>IFERROR(VLOOKUP(CX$25,Tabulacao!$GX$2:$GZ$15,2,0),"-")</f>
        <v>0.22230754284242082</v>
      </c>
      <c r="CY30" s="341" t="s">
        <v>1159</v>
      </c>
      <c r="CZ30" s="261" t="s">
        <v>120</v>
      </c>
      <c r="DA30" s="48"/>
      <c r="DB30" s="48"/>
      <c r="DC30" s="48"/>
      <c r="DD30" s="48"/>
      <c r="DE30" s="48"/>
      <c r="DF30" s="341" t="s">
        <v>1159</v>
      </c>
      <c r="DG30" s="261" t="s">
        <v>120</v>
      </c>
      <c r="DH30" s="48"/>
      <c r="DI30" s="48"/>
      <c r="DJ30" s="48"/>
      <c r="DK30" s="341" t="s">
        <v>1159</v>
      </c>
      <c r="DL30" s="261" t="s">
        <v>120</v>
      </c>
      <c r="DM30" s="48"/>
      <c r="DN30" s="48"/>
      <c r="DO30" s="48"/>
      <c r="DP30" s="48"/>
    </row>
    <row r="31" spans="2:120" ht="38.25" x14ac:dyDescent="0.2">
      <c r="B31" s="48"/>
      <c r="C31" s="323"/>
      <c r="D31" s="48"/>
      <c r="E31" s="48"/>
      <c r="F31" s="48"/>
      <c r="G31" s="48"/>
      <c r="H31" s="48"/>
      <c r="I31" s="48"/>
      <c r="J31" s="48"/>
      <c r="K31" s="48"/>
      <c r="L31" s="48"/>
      <c r="M31" s="52">
        <v>23</v>
      </c>
      <c r="N31" s="51" t="s">
        <v>1218</v>
      </c>
      <c r="O31" s="70">
        <v>1</v>
      </c>
      <c r="P31" s="53">
        <f t="shared" si="3"/>
        <v>6.5359477124183009E-3</v>
      </c>
      <c r="Q31" s="48"/>
      <c r="R31" s="52">
        <v>23</v>
      </c>
      <c r="S31" s="51" t="str">
        <f t="array" ref="S31">INDEX($N$103:$N$188,SMALL(IF($O$103:$O$188=T31,ROW($O$103:$O$188)-102),COUNTIF($T$9:T31,T31)))</f>
        <v>Coordenador</v>
      </c>
      <c r="T31" s="70">
        <f t="shared" si="4"/>
        <v>0</v>
      </c>
      <c r="U31" s="53">
        <f t="shared" si="5"/>
        <v>0</v>
      </c>
      <c r="V31" s="48"/>
      <c r="W31" s="197" t="s">
        <v>994</v>
      </c>
      <c r="X31" s="187" t="str">
        <f>'1Emp'!$AF$30</f>
        <v>Bacharelado em Sistemas de Informação</v>
      </c>
      <c r="Y31" s="187" t="s">
        <v>156</v>
      </c>
      <c r="Z31" s="48"/>
      <c r="AA31" s="48"/>
      <c r="AB31" s="48"/>
      <c r="AC31" s="48"/>
      <c r="AD31" s="48"/>
      <c r="AE31" s="48"/>
      <c r="AF31" s="48"/>
      <c r="AG31" s="81">
        <f t="shared" si="29"/>
        <v>40</v>
      </c>
      <c r="AH31" s="70" t="str">
        <f t="shared" si="29"/>
        <v>(1) Muito insatisfeito ... a ... (5) Muito satisfeito</v>
      </c>
      <c r="AI31" s="51" t="str">
        <f t="shared" si="29"/>
        <v>No geral, quão satisfeito você está com seu emprego atual?</v>
      </c>
      <c r="AJ31" s="122">
        <f>IFERROR(COUNTIFS(Respostas_Formatadas!$C:$C,EmpAtual!$AI$26,Respostas_Formatadas!$AU:$AU,EmpAtual!AJ$27),"-")</f>
        <v>0</v>
      </c>
      <c r="AK31" s="122">
        <f>IFERROR(COUNTIFS(Respostas_Formatadas!$C:$C,EmpAtual!$AI$26,Respostas_Formatadas!$AU:$AU,EmpAtual!AK$27),"-")</f>
        <v>0</v>
      </c>
      <c r="AL31" s="122">
        <f>IFERROR(COUNTIFS(Respostas_Formatadas!$C:$C,EmpAtual!$AI$26,Respostas_Formatadas!$AU:$AU,EmpAtual!AL$27),"-")</f>
        <v>6</v>
      </c>
      <c r="AM31" s="122">
        <f>IFERROR(COUNTIFS(Respostas_Formatadas!$C:$C,EmpAtual!$AI$26,Respostas_Formatadas!$AU:$AU,EmpAtual!AM$27),"-")</f>
        <v>2</v>
      </c>
      <c r="AN31" s="122">
        <f>IFERROR(COUNTIFS(Respostas_Formatadas!$C:$C,EmpAtual!$AI$26,Respostas_Formatadas!$AU:$AU,EmpAtual!AN$27),"-")</f>
        <v>0</v>
      </c>
      <c r="AO31" s="276">
        <f t="shared" si="30"/>
        <v>8</v>
      </c>
      <c r="AP31" s="173">
        <f>IFERROR(SUMPRODUCT($AJ$27:$AN$27,$AJ$31:$AN$31)/SUM($AJ$31:$AN$31),"-")</f>
        <v>3.25</v>
      </c>
      <c r="AQ31" s="173">
        <f>((AJ31*($AJ$27-$AP$31)^2)+(AK31*($AK$27-$AP$31)^2)+(AL31*($AL$27-$AP$31)^2)+(AM31*($AM$27-$AP$31)^2)+(AN31*($AN$27-$AP$31)^2))/(SUM($AJ$31:$AN$31)-1)</f>
        <v>0.21428571428571427</v>
      </c>
      <c r="AR31" s="173">
        <f>SQRT(AQ31)</f>
        <v>0.46291004988627571</v>
      </c>
      <c r="AS31" s="176">
        <f>AR31/AP31</f>
        <v>0.14243386150346946</v>
      </c>
      <c r="AT31" s="48"/>
      <c r="AU31" s="48"/>
      <c r="AV31" s="48"/>
      <c r="AW31" s="48"/>
      <c r="AX31" s="60" t="str">
        <f t="shared" si="20"/>
        <v>Meu emprego atual oferece mais segurança</v>
      </c>
      <c r="AY31" s="52">
        <f>COUNTIFS(Respostas_Formatadas!$C:$C,EmpAtual!$AX$24,Respostas_Formatadas!$AW:$AW,EmpAtual!AX31)</f>
        <v>2</v>
      </c>
      <c r="AZ31" s="53">
        <f t="shared" si="21"/>
        <v>0.33333333333333331</v>
      </c>
      <c r="BA31" s="48"/>
      <c r="BB31" s="191" t="s">
        <v>621</v>
      </c>
      <c r="BC31" s="192">
        <f>SUM(BC26:BC30)</f>
        <v>15</v>
      </c>
      <c r="BD31" s="193">
        <f>SUM(BD26:BD30)</f>
        <v>1</v>
      </c>
      <c r="BE31" s="48"/>
      <c r="BF31" s="48"/>
      <c r="BG31" s="48"/>
      <c r="BH31" s="48"/>
      <c r="BI31" s="48"/>
      <c r="BJ31" s="48"/>
      <c r="BK31" s="48"/>
      <c r="BL31" s="48"/>
      <c r="BM31" s="48"/>
      <c r="BN31" s="48"/>
      <c r="BO31" s="48"/>
      <c r="BP31" s="48"/>
      <c r="BQ31" s="60" t="str">
        <f>Tabulacao!EM25</f>
        <v>João Pessoa - PB</v>
      </c>
      <c r="BR31" s="52">
        <f>COUNTIF(Respostas_Formatadas!$BC:$BC,EmpAtual!BQ31)</f>
        <v>1</v>
      </c>
      <c r="BS31" s="53">
        <f t="shared" si="10"/>
        <v>6.993006993006993E-3</v>
      </c>
      <c r="BT31" s="48"/>
      <c r="BU31" s="52">
        <v>23</v>
      </c>
      <c r="BV31" s="60" t="str">
        <f t="array" ref="BV31">INDEX($BQ$49:$BQ$82,SMALL(IF($BR$49:$BR$82=BW31,ROW($BR$49:$BR$82)-48),COUNTIF($BW$9:BW31,BW31)))</f>
        <v>Balneário Camboriú - SC</v>
      </c>
      <c r="BW31" s="52">
        <f t="shared" si="11"/>
        <v>0</v>
      </c>
      <c r="BX31" s="53">
        <f t="shared" si="12"/>
        <v>0</v>
      </c>
      <c r="BY31" s="48"/>
      <c r="BZ31" s="81">
        <v>53</v>
      </c>
      <c r="CA31" s="51" t="str">
        <f>Tabulacao!FN2</f>
        <v>Habilidade de trabalhar produtivamente em grupo</v>
      </c>
      <c r="CB31" s="53">
        <f>IFERROR(VLOOKUP(CB$25,Tabulacao!$FN$2:$FP$15,3,0),"-")</f>
        <v>1.9108280254777069E-2</v>
      </c>
      <c r="CC31" s="53">
        <f>IFERROR(VLOOKUP(CC$25,Tabulacao!$FN$2:$FP$15,3,0),"-")</f>
        <v>2.5477707006369428E-2</v>
      </c>
      <c r="CD31" s="53">
        <f>IFERROR(VLOOKUP(CD$25,Tabulacao!$FN$2:$FP$15,3,0),"-")</f>
        <v>0.15286624203821655</v>
      </c>
      <c r="CE31" s="53">
        <f>IFERROR(VLOOKUP(CE$25,Tabulacao!$FN$2:$FP$15,3,0),"-")</f>
        <v>0.24840764331210191</v>
      </c>
      <c r="CF31" s="53">
        <f>IFERROR(VLOOKUP(CF$25,Tabulacao!$FN$2:$FP$15,3,0),"-")</f>
        <v>0.55414012738853502</v>
      </c>
      <c r="CG31" s="277">
        <f t="shared" si="27"/>
        <v>1</v>
      </c>
      <c r="CH31" s="173">
        <f>IFERROR(VLOOKUP(CH$25,Tabulacao!$FN$2:$FP$15,2,0),"-")</f>
        <v>4.2929936305732488</v>
      </c>
      <c r="CI31" s="122">
        <f>IFERROR(VLOOKUP(CI$25,Tabulacao!$FN$2:$FP$15,2,0),"-")</f>
        <v>5</v>
      </c>
      <c r="CJ31" s="122">
        <f>IFERROR(VLOOKUP(CJ$25,Tabulacao!$FN$2:$FP$15,2,0),"-")</f>
        <v>5</v>
      </c>
      <c r="CK31" s="176">
        <f>IFERROR(VLOOKUP(CK$25,Tabulacao!$FN$2:$FP$15,2,0),"-")</f>
        <v>0.22108031292101366</v>
      </c>
      <c r="CL31" s="48"/>
      <c r="CM31" s="81">
        <v>66</v>
      </c>
      <c r="CN31" s="51" t="str">
        <f t="shared" si="19"/>
        <v>Habilidade de trabalhar produtivamente em grupo</v>
      </c>
      <c r="CO31" s="53">
        <f>IFERROR(VLOOKUP(CO$25,Tabulacao!$HA$2:$HC$15,3,0),"-")</f>
        <v>7.3800738007380072E-3</v>
      </c>
      <c r="CP31" s="53">
        <f>IFERROR(VLOOKUP(CP$25,Tabulacao!$HA$2:$HC$15,3,0),"-")</f>
        <v>2.5830258302583026E-2</v>
      </c>
      <c r="CQ31" s="53">
        <f>IFERROR(VLOOKUP(CQ$25,Tabulacao!$HA$2:$HC$15,3,0),"-")</f>
        <v>0.12915129151291513</v>
      </c>
      <c r="CR31" s="53">
        <f>IFERROR(VLOOKUP(CR$25,Tabulacao!$HA$2:$HC$15,3,0),"-")</f>
        <v>0.36531365313653136</v>
      </c>
      <c r="CS31" s="53">
        <f>IFERROR(VLOOKUP(CS$25,Tabulacao!$HA$2:$HC$15,3,0),"-")</f>
        <v>0.47232472324723246</v>
      </c>
      <c r="CT31" s="125">
        <f t="shared" si="28"/>
        <v>1</v>
      </c>
      <c r="CU31" s="173">
        <f>IFERROR(VLOOKUP(CU$25,Tabulacao!$HA$2:$HC$15,2,0),"-")</f>
        <v>4.269372693726937</v>
      </c>
      <c r="CV31" s="122">
        <f>IFERROR(VLOOKUP(CV$25,Tabulacao!$HA$2:$HC$15,2,0),"-")</f>
        <v>5</v>
      </c>
      <c r="CW31" s="122">
        <f>IFERROR(VLOOKUP(CW$25,Tabulacao!$HA$2:$HC$15,2,0),"-")</f>
        <v>4</v>
      </c>
      <c r="CX31" s="176">
        <f>IFERROR(VLOOKUP(CX$25,Tabulacao!$HA$2:$HC$15,2,0),"-")</f>
        <v>0.19614191526407276</v>
      </c>
      <c r="CY31" s="48"/>
      <c r="CZ31" s="186" t="s">
        <v>1007</v>
      </c>
      <c r="DA31" s="187" t="str">
        <f>CZ30</f>
        <v>Bacharelado em Sistemas de Informação</v>
      </c>
      <c r="DB31" s="187" t="str">
        <f>DA31</f>
        <v>Bacharelado em Sistemas de Informação</v>
      </c>
      <c r="DC31" s="187" t="s">
        <v>156</v>
      </c>
      <c r="DD31" s="187" t="s">
        <v>156</v>
      </c>
      <c r="DE31" s="48"/>
      <c r="DF31" s="48"/>
      <c r="DG31" s="186" t="str">
        <f t="shared" ref="DG31:DG41" si="31">DG8</f>
        <v>Pontos que mais dificultaram o acesso ao mercado de trabalho</v>
      </c>
      <c r="DH31" s="187" t="s">
        <v>131</v>
      </c>
      <c r="DI31" s="187" t="s">
        <v>132</v>
      </c>
      <c r="DJ31" s="48"/>
      <c r="DK31" s="48"/>
      <c r="DL31" s="194" t="s">
        <v>1031</v>
      </c>
      <c r="DM31" s="187" t="s">
        <v>131</v>
      </c>
      <c r="DN31" s="187" t="s">
        <v>132</v>
      </c>
      <c r="DO31" s="48"/>
      <c r="DP31" s="48"/>
    </row>
    <row r="32" spans="2:120" x14ac:dyDescent="0.2">
      <c r="B32" s="48"/>
      <c r="C32" s="323"/>
      <c r="D32" s="48"/>
      <c r="E32" s="341" t="s">
        <v>1159</v>
      </c>
      <c r="F32" s="261" t="s">
        <v>120</v>
      </c>
      <c r="G32" s="48"/>
      <c r="H32" s="48"/>
      <c r="I32" s="48"/>
      <c r="J32" s="48"/>
      <c r="K32" s="48"/>
      <c r="L32" s="48"/>
      <c r="M32" s="52">
        <v>24</v>
      </c>
      <c r="N32" s="51" t="s">
        <v>323</v>
      </c>
      <c r="O32" s="70">
        <v>1</v>
      </c>
      <c r="P32" s="53">
        <f t="shared" si="3"/>
        <v>6.5359477124183009E-3</v>
      </c>
      <c r="Q32" s="48"/>
      <c r="R32" s="52">
        <v>24</v>
      </c>
      <c r="S32" s="51" t="str">
        <f t="array" ref="S32">INDEX($N$103:$N$188,SMALL(IF($O$103:$O$188=T32,ROW($O$103:$O$188)-102),COUNTIF($T$9:T32,T32)))</f>
        <v>Recepcionista</v>
      </c>
      <c r="T32" s="70">
        <f t="shared" si="4"/>
        <v>0</v>
      </c>
      <c r="U32" s="53">
        <f t="shared" si="5"/>
        <v>0</v>
      </c>
      <c r="V32" s="48"/>
      <c r="W32" s="60" t="str">
        <f>W9</f>
        <v>Média</v>
      </c>
      <c r="X32" s="68">
        <f>IFERROR(AVERAGEIF(Respostas_Formatadas!$C:$C,$W$30,Respostas_Formatadas!$AQ:$AQ),"-")</f>
        <v>3845.2352941176468</v>
      </c>
      <c r="Y32" s="68">
        <f>X9</f>
        <v>2845.6081081081079</v>
      </c>
      <c r="Z32" s="48"/>
      <c r="AA32" s="48"/>
      <c r="AB32" s="48"/>
      <c r="AC32" s="48"/>
      <c r="AD32" s="48"/>
      <c r="AE32" s="48"/>
      <c r="AF32" s="48"/>
      <c r="AG32" s="198">
        <f t="shared" si="29"/>
        <v>41</v>
      </c>
      <c r="AH32" s="274" t="str">
        <f t="shared" si="29"/>
        <v>(1) Nem um pouco apropriado ... a ... (5) Totalmente apropriado</v>
      </c>
      <c r="AI32" s="199" t="str">
        <f t="shared" si="29"/>
        <v>Na sua opinião, em que medida o seu emprego está apropriado ao seu nível de educação?</v>
      </c>
      <c r="AJ32" s="200">
        <f>IFERROR(COUNTIFS(Respostas_Formatadas!$C:$C,EmpAtual!$AI$26,Respostas_Formatadas!$AV:$AV,EmpAtual!AJ$27),"-")</f>
        <v>0</v>
      </c>
      <c r="AK32" s="200">
        <f>IFERROR(COUNTIFS(Respostas_Formatadas!$C:$C,EmpAtual!$AI$26,Respostas_Formatadas!$AV:$AV,EmpAtual!AK$27),"-")</f>
        <v>3</v>
      </c>
      <c r="AL32" s="200">
        <f>IFERROR(COUNTIFS(Respostas_Formatadas!$C:$C,EmpAtual!$AI$26,Respostas_Formatadas!$AV:$AV,EmpAtual!AL$27),"-")</f>
        <v>3</v>
      </c>
      <c r="AM32" s="200">
        <f>IFERROR(COUNTIFS(Respostas_Formatadas!$C:$C,EmpAtual!$AI$26,Respostas_Formatadas!$AV:$AV,EmpAtual!AM$27),"-")</f>
        <v>2</v>
      </c>
      <c r="AN32" s="200">
        <f>IFERROR(COUNTIFS(Respostas_Formatadas!$C:$C,EmpAtual!$AI$26,Respostas_Formatadas!$AV:$AV,EmpAtual!AN$27),"-")</f>
        <v>0</v>
      </c>
      <c r="AO32" s="278">
        <f t="shared" si="30"/>
        <v>8</v>
      </c>
      <c r="AP32" s="202">
        <f>IFERROR(SUMPRODUCT($AJ$27:$AN$27,$AJ$32:$AN$32)/SUM($AJ$32:$AN$32),"-")</f>
        <v>2.875</v>
      </c>
      <c r="AQ32" s="202">
        <f>((AJ32*($AJ$27-$AP$32)^2)+(AK32*($AK$27-$AP$32)^2)+(AL32*($AL$27-$AP$32)^2)+(AM32*($AM$27-$AP$32)^2)+(AN32*($AN$27-$AP$32)^2))/(SUM($AJ$32:$AN$32)-1)</f>
        <v>0.6964285714285714</v>
      </c>
      <c r="AR32" s="202">
        <f>SQRT(AQ32)</f>
        <v>0.83452296039628016</v>
      </c>
      <c r="AS32" s="203">
        <f>AR32/AP32</f>
        <v>0.29026885579001049</v>
      </c>
      <c r="AT32" s="85"/>
      <c r="AU32" s="48"/>
      <c r="AV32" s="48"/>
      <c r="AW32" s="48"/>
      <c r="AX32" s="60" t="str">
        <f t="shared" si="20"/>
        <v>Meu emprego atual é mais interessante</v>
      </c>
      <c r="AY32" s="52">
        <f>COUNTIFS(Respostas_Formatadas!$C:$C,EmpAtual!$AX$24,Respostas_Formatadas!$AW:$AW,EmpAtual!AX32)</f>
        <v>0</v>
      </c>
      <c r="AZ32" s="53">
        <f t="shared" si="21"/>
        <v>0</v>
      </c>
      <c r="BA32" s="48"/>
      <c r="BB32" s="48"/>
      <c r="BC32" s="48"/>
      <c r="BD32" s="48"/>
      <c r="BE32" s="48"/>
      <c r="BF32" s="48"/>
      <c r="BG32" s="48"/>
      <c r="BH32" s="48"/>
      <c r="BI32" s="48"/>
      <c r="BJ32" s="48"/>
      <c r="BK32" s="48"/>
      <c r="BL32" s="48"/>
      <c r="BM32" s="48"/>
      <c r="BN32" s="48"/>
      <c r="BO32" s="48"/>
      <c r="BP32" s="48"/>
      <c r="BQ32" s="60" t="str">
        <f>Tabulacao!EM26</f>
        <v>Macapá - AP</v>
      </c>
      <c r="BR32" s="52">
        <f>COUNTIF(Respostas_Formatadas!$BC:$BC,EmpAtual!BQ32)</f>
        <v>1</v>
      </c>
      <c r="BS32" s="53">
        <f t="shared" si="10"/>
        <v>6.993006993006993E-3</v>
      </c>
      <c r="BT32" s="48"/>
      <c r="BU32" s="52">
        <v>24</v>
      </c>
      <c r="BV32" s="60" t="str">
        <f t="array" ref="BV32">INDEX($BQ$49:$BQ$82,SMALL(IF($BR$49:$BR$82=BW32,ROW($BR$49:$BR$82)-48),COUNTIF($BW$9:BW32,BW32)))</f>
        <v>João Pessoa - PB</v>
      </c>
      <c r="BW32" s="52">
        <f t="shared" si="11"/>
        <v>0</v>
      </c>
      <c r="BX32" s="53">
        <f t="shared" si="12"/>
        <v>0</v>
      </c>
      <c r="BY32" s="48"/>
      <c r="BZ32" s="82">
        <v>54</v>
      </c>
      <c r="CA32" s="65" t="str">
        <f>Tabulacao!FQ2</f>
        <v>Habilidade de expressar uma ideia de maneira clara</v>
      </c>
      <c r="CB32" s="63">
        <f>IFERROR(VLOOKUP(CB$25,Tabulacao!$FQ$2:$FS$15,3,0),"-")</f>
        <v>2.5477707006369428E-2</v>
      </c>
      <c r="CC32" s="63">
        <f>IFERROR(VLOOKUP(CC$25,Tabulacao!$FQ$2:$FS$15,3,0),"-")</f>
        <v>1.9108280254777069E-2</v>
      </c>
      <c r="CD32" s="63">
        <f>IFERROR(VLOOKUP(CD$25,Tabulacao!$FQ$2:$FS$15,3,0),"-")</f>
        <v>8.9171974522292988E-2</v>
      </c>
      <c r="CE32" s="63">
        <f>IFERROR(VLOOKUP(CE$25,Tabulacao!$FQ$2:$FS$15,3,0),"-")</f>
        <v>0.25477707006369427</v>
      </c>
      <c r="CF32" s="63">
        <f>IFERROR(VLOOKUP(CF$25,Tabulacao!$FQ$2:$FS$15,3,0),"-")</f>
        <v>0.61146496815286622</v>
      </c>
      <c r="CG32" s="95">
        <f t="shared" si="27"/>
        <v>1</v>
      </c>
      <c r="CH32" s="170">
        <f>IFERROR(VLOOKUP(CH$25,Tabulacao!$FQ$2:$FS$15,2,0),"-")</f>
        <v>4.4076433121019107</v>
      </c>
      <c r="CI32" s="171">
        <f>IFERROR(VLOOKUP(CI$25,Tabulacao!$FQ$2:$FS$15,2,0),"-")</f>
        <v>5</v>
      </c>
      <c r="CJ32" s="171">
        <f>IFERROR(VLOOKUP(CJ$25,Tabulacao!$FQ$2:$FS$15,2,0),"-")</f>
        <v>5</v>
      </c>
      <c r="CK32" s="172">
        <f>IFERROR(VLOOKUP(CK$25,Tabulacao!$FQ$2:$FS$15,2,0),"-")</f>
        <v>0.20862746546693173</v>
      </c>
      <c r="CL32" s="48"/>
      <c r="CM32" s="82">
        <v>67</v>
      </c>
      <c r="CN32" s="65" t="str">
        <f t="shared" si="19"/>
        <v>Habilidade de expressar uma ideia de maneira clara</v>
      </c>
      <c r="CO32" s="63">
        <f>IFERROR(VLOOKUP(CO$25,Tabulacao!$HD$2:$HF$15,3,0),"-")</f>
        <v>3.6900369003690036E-3</v>
      </c>
      <c r="CP32" s="63">
        <f>IFERROR(VLOOKUP(CP$25,Tabulacao!$HD$2:$HF$15,3,0),"-")</f>
        <v>2.9520295202952029E-2</v>
      </c>
      <c r="CQ32" s="63">
        <f>IFERROR(VLOOKUP(CQ$25,Tabulacao!$HD$2:$HF$15,3,0),"-")</f>
        <v>0.15129151291512916</v>
      </c>
      <c r="CR32" s="63">
        <f>IFERROR(VLOOKUP(CR$25,Tabulacao!$HD$2:$HF$15,3,0),"-")</f>
        <v>0.40221402214022139</v>
      </c>
      <c r="CS32" s="63">
        <f>IFERROR(VLOOKUP(CS$25,Tabulacao!$HD$2:$HF$15,3,0),"-")</f>
        <v>0.41328413284132842</v>
      </c>
      <c r="CT32" s="184">
        <f t="shared" si="28"/>
        <v>1</v>
      </c>
      <c r="CU32" s="170">
        <f>IFERROR(VLOOKUP(CU$25,Tabulacao!$HD$2:$HF$15,2,0),"-")</f>
        <v>4.1918819188191883</v>
      </c>
      <c r="CV32" s="171">
        <f>IFERROR(VLOOKUP(CV$25,Tabulacao!$HD$2:$HF$15,2,0),"-")</f>
        <v>5</v>
      </c>
      <c r="CW32" s="171">
        <f>IFERROR(VLOOKUP(CW$25,Tabulacao!$HD$2:$HF$15,2,0),"-")</f>
        <v>4</v>
      </c>
      <c r="CX32" s="172">
        <f>IFERROR(VLOOKUP(CX$25,Tabulacao!$HD$2:$HF$15,2,0),"-")</f>
        <v>0.19694461752751555</v>
      </c>
      <c r="CY32" s="48"/>
      <c r="CZ32" s="60">
        <f t="shared" ref="CZ32:CZ36" si="32">CZ9</f>
        <v>1</v>
      </c>
      <c r="DA32" s="52">
        <f>IFERROR(COUNTIFS(Respostas_Formatadas!$C:$C,$CZ$30,Respostas_Formatadas!$CG:$CG,EmpAtual!$CZ32),"-")</f>
        <v>0</v>
      </c>
      <c r="DB32" s="53">
        <f>IFERROR(DA32/SUM($DA$32:$DA$36),"-")</f>
        <v>0</v>
      </c>
      <c r="DC32" s="52">
        <f t="shared" ref="DC32:DD36" si="33">DA9</f>
        <v>32</v>
      </c>
      <c r="DD32" s="53">
        <f t="shared" si="33"/>
        <v>0.11808118081180811</v>
      </c>
      <c r="DE32" s="48"/>
      <c r="DF32" s="48"/>
      <c r="DG32" s="60" t="str">
        <f t="shared" si="31"/>
        <v>Baixa demanda do mercado para minha área de atuação</v>
      </c>
      <c r="DH32" s="52">
        <f>COUNTIFS(Respostas_Formatadas!$C:$C,EmpAtual!$DG$30,Respostas_Formatadas!$CH:$CH,EmpAtual!$DG32)+COUNTIFS(Respostas_Formatadas!$C:$C,EmpAtual!$DG$30,Respostas_Formatadas!$CI:$CI,EmpAtual!$DG32)+COUNTIFS(Respostas_Formatadas!$C:$C,EmpAtual!$DG$30,Respostas_Formatadas!$CJ:$CJ,EmpAtual!$DG32)</f>
        <v>4</v>
      </c>
      <c r="DI32" s="53">
        <f t="shared" ref="DI32:DI41" si="34">DH32/$DH$42</f>
        <v>0.21052631578947367</v>
      </c>
      <c r="DJ32" s="48"/>
      <c r="DK32" s="48"/>
      <c r="DL32" s="60" t="str">
        <f t="shared" ref="DL32:DL42" si="35">DL9</f>
        <v>Alta demanda do mercado para minha área de atuação</v>
      </c>
      <c r="DM32" s="52">
        <f>COUNTIFS(Respostas_Formatadas!$C:$C,EmpAtual!$DL$30,Respostas_Formatadas!$CK:$CK,EmpAtual!$DL32)+COUNTIFS(Respostas_Formatadas!$C:$C,EmpAtual!$DL$30,Respostas_Formatadas!$CL:$CL,EmpAtual!$DL32)+COUNTIFS(Respostas_Formatadas!$C:$C,EmpAtual!$DL$30,Respostas_Formatadas!$CM:$CM,EmpAtual!$DL32)</f>
        <v>6</v>
      </c>
      <c r="DN32" s="53">
        <f t="shared" ref="DN32:DN42" si="36">DM32/$DM$43</f>
        <v>0.31578947368421051</v>
      </c>
      <c r="DO32" s="48"/>
      <c r="DP32" s="48"/>
    </row>
    <row r="33" spans="2:120" ht="38.25" x14ac:dyDescent="0.2">
      <c r="B33" s="48"/>
      <c r="C33" s="323"/>
      <c r="D33" s="48"/>
      <c r="E33" s="48"/>
      <c r="F33" s="197" t="str">
        <f>F8</f>
        <v>Está em um empregado remunerado atualmente?</v>
      </c>
      <c r="G33" s="187" t="str">
        <f>F32</f>
        <v>Bacharelado em Sistemas de Informação</v>
      </c>
      <c r="H33" s="187" t="str">
        <f>G33</f>
        <v>Bacharelado em Sistemas de Informação</v>
      </c>
      <c r="I33" s="187" t="s">
        <v>156</v>
      </c>
      <c r="J33" s="187" t="s">
        <v>156</v>
      </c>
      <c r="K33" s="48"/>
      <c r="L33" s="48"/>
      <c r="M33" s="52">
        <v>25</v>
      </c>
      <c r="N33" s="51" t="s">
        <v>1219</v>
      </c>
      <c r="O33" s="70">
        <v>1</v>
      </c>
      <c r="P33" s="53">
        <f t="shared" si="3"/>
        <v>6.5359477124183009E-3</v>
      </c>
      <c r="Q33" s="48"/>
      <c r="R33" s="52">
        <v>25</v>
      </c>
      <c r="S33" s="51" t="str">
        <f t="array" ref="S33">INDEX($N$103:$N$188,SMALL(IF($O$103:$O$188=T33,ROW($O$103:$O$188)-102),COUNTIF($T$9:T33,T33)))</f>
        <v>Secretário</v>
      </c>
      <c r="T33" s="70">
        <f t="shared" si="4"/>
        <v>0</v>
      </c>
      <c r="U33" s="53">
        <f t="shared" si="5"/>
        <v>0</v>
      </c>
      <c r="V33" s="48"/>
      <c r="W33" s="60" t="s">
        <v>975</v>
      </c>
      <c r="X33" s="68">
        <f>IFERROR(VLOOKUP($W$30,$W$41:$AE$53,7,0),"-")</f>
        <v>8000</v>
      </c>
      <c r="Y33" s="68"/>
      <c r="Z33" s="48"/>
      <c r="AA33" s="48"/>
      <c r="AB33" s="48"/>
      <c r="AC33" s="48"/>
      <c r="AD33" s="48"/>
      <c r="AE33" s="48"/>
      <c r="AF33" s="48"/>
      <c r="AG33" s="48"/>
      <c r="AH33" s="48"/>
      <c r="AI33" s="48"/>
      <c r="AJ33" s="48"/>
      <c r="AK33" s="48"/>
      <c r="AL33" s="48"/>
      <c r="AM33" s="48"/>
      <c r="AN33" s="48"/>
      <c r="AO33" s="48"/>
      <c r="AP33" s="48"/>
      <c r="AQ33" s="48"/>
      <c r="AR33" s="48"/>
      <c r="AS33" s="48"/>
      <c r="AT33" s="48"/>
      <c r="AU33" s="48"/>
      <c r="AV33" s="48"/>
      <c r="AW33" s="48"/>
      <c r="AX33" s="60" t="str">
        <f t="shared" si="20"/>
        <v>O meu emprego atual oferece possibilidades de trabalhar meio período</v>
      </c>
      <c r="AY33" s="52">
        <f>COUNTIFS(Respostas_Formatadas!$C:$C,EmpAtual!$AX$24,Respostas_Formatadas!$AW:$AW,EmpAtual!AX33)</f>
        <v>0</v>
      </c>
      <c r="AZ33" s="53">
        <f t="shared" si="21"/>
        <v>0</v>
      </c>
      <c r="BA33" s="48"/>
      <c r="BB33" s="48"/>
      <c r="BC33" s="48"/>
      <c r="BD33" s="48"/>
      <c r="BE33" s="48"/>
      <c r="BF33" s="48"/>
      <c r="BG33" s="48"/>
      <c r="BH33" s="48"/>
      <c r="BI33" s="48"/>
      <c r="BJ33" s="48"/>
      <c r="BK33" s="48"/>
      <c r="BL33" s="48"/>
      <c r="BM33" s="48"/>
      <c r="BN33" s="48"/>
      <c r="BO33" s="48"/>
      <c r="BP33" s="48"/>
      <c r="BQ33" s="60" t="str">
        <f>Tabulacao!EM27</f>
        <v>Palmas - TO</v>
      </c>
      <c r="BR33" s="52">
        <f>COUNTIF(Respostas_Formatadas!$BC:$BC,EmpAtual!BQ33)</f>
        <v>1</v>
      </c>
      <c r="BS33" s="53">
        <f t="shared" si="10"/>
        <v>6.993006993006993E-3</v>
      </c>
      <c r="BT33" s="48"/>
      <c r="BU33" s="52">
        <v>25</v>
      </c>
      <c r="BV33" s="60" t="str">
        <f t="array" ref="BV33">INDEX($BQ$49:$BQ$82,SMALL(IF($BR$49:$BR$82=BW33,ROW($BR$49:$BR$82)-48),COUNTIF($BW$9:BW33,BW33)))</f>
        <v>Macapá - AP</v>
      </c>
      <c r="BW33" s="52">
        <f t="shared" si="11"/>
        <v>0</v>
      </c>
      <c r="BX33" s="53">
        <f t="shared" si="12"/>
        <v>0</v>
      </c>
      <c r="BY33" s="48"/>
      <c r="BZ33" s="81">
        <v>55</v>
      </c>
      <c r="CA33" s="51" t="str">
        <f>Tabulacao!FT2</f>
        <v>Habilidade de usar computadores e internet</v>
      </c>
      <c r="CB33" s="53">
        <f>IFERROR(VLOOKUP(CB$25,Tabulacao!$FT$2:$FV$15,3,0),"-")</f>
        <v>2.5477707006369428E-2</v>
      </c>
      <c r="CC33" s="53">
        <f>IFERROR(VLOOKUP(CC$25,Tabulacao!$FT$2:$FV$15,3,0),"-")</f>
        <v>1.2738853503184714E-2</v>
      </c>
      <c r="CD33" s="53">
        <f>IFERROR(VLOOKUP(CD$25,Tabulacao!$FT$2:$FV$15,3,0),"-")</f>
        <v>0.12738853503184713</v>
      </c>
      <c r="CE33" s="53">
        <f>IFERROR(VLOOKUP(CE$25,Tabulacao!$FT$2:$FV$15,3,0),"-")</f>
        <v>0.24840764331210191</v>
      </c>
      <c r="CF33" s="53">
        <f>IFERROR(VLOOKUP(CF$25,Tabulacao!$FT$2:$FV$15,3,0),"-")</f>
        <v>0.5859872611464968</v>
      </c>
      <c r="CG33" s="277">
        <f t="shared" si="27"/>
        <v>1</v>
      </c>
      <c r="CH33" s="173">
        <f>IFERROR(VLOOKUP(CH$25,Tabulacao!$FT$2:$FV$15,2,0),"-")</f>
        <v>4.3566878980891719</v>
      </c>
      <c r="CI33" s="122">
        <f>IFERROR(VLOOKUP(CI$25,Tabulacao!$FT$2:$FV$15,2,0),"-")</f>
        <v>5</v>
      </c>
      <c r="CJ33" s="122">
        <f>IFERROR(VLOOKUP(CJ$25,Tabulacao!$FT$2:$FV$15,2,0),"-")</f>
        <v>5</v>
      </c>
      <c r="CK33" s="176">
        <f>IFERROR(VLOOKUP(CK$25,Tabulacao!$FT$2:$FV$15,2,0),"-")</f>
        <v>0.21433415415644802</v>
      </c>
      <c r="CL33" s="48"/>
      <c r="CM33" s="81">
        <v>68</v>
      </c>
      <c r="CN33" s="51" t="str">
        <f t="shared" si="19"/>
        <v>Habilidade de usar computadores e internet</v>
      </c>
      <c r="CO33" s="53">
        <f>IFERROR(VLOOKUP(CO$25,Tabulacao!$HG$2:$HI$15,3,0),"-")</f>
        <v>1.107011070110701E-2</v>
      </c>
      <c r="CP33" s="53">
        <f>IFERROR(VLOOKUP(CP$25,Tabulacao!$HG$2:$HI$15,3,0),"-")</f>
        <v>1.107011070110701E-2</v>
      </c>
      <c r="CQ33" s="53">
        <f>IFERROR(VLOOKUP(CQ$25,Tabulacao!$HG$2:$HI$15,3,0),"-")</f>
        <v>9.9630996309963096E-2</v>
      </c>
      <c r="CR33" s="53">
        <f>IFERROR(VLOOKUP(CR$25,Tabulacao!$HG$2:$HI$15,3,0),"-")</f>
        <v>0.33948339483394835</v>
      </c>
      <c r="CS33" s="53">
        <f>IFERROR(VLOOKUP(CS$25,Tabulacao!$HG$2:$HI$15,3,0),"-")</f>
        <v>0.53874538745387457</v>
      </c>
      <c r="CT33" s="125">
        <f t="shared" si="28"/>
        <v>1</v>
      </c>
      <c r="CU33" s="173">
        <f>IFERROR(VLOOKUP(CU$25,Tabulacao!$HG$2:$HI$15,2,0),"-")</f>
        <v>4.3837638376383765</v>
      </c>
      <c r="CV33" s="122">
        <f>IFERROR(VLOOKUP(CV$25,Tabulacao!$HG$2:$HI$15,2,0),"-")</f>
        <v>5</v>
      </c>
      <c r="CW33" s="122">
        <f>IFERROR(VLOOKUP(CW$25,Tabulacao!$HG$2:$HI$15,2,0),"-")</f>
        <v>5</v>
      </c>
      <c r="CX33" s="176">
        <f>IFERROR(VLOOKUP(CX$25,Tabulacao!$HG$2:$HI$15,2,0),"-")</f>
        <v>0.18211552474013362</v>
      </c>
      <c r="CY33" s="48"/>
      <c r="CZ33" s="60">
        <f t="shared" si="32"/>
        <v>2</v>
      </c>
      <c r="DA33" s="52">
        <f>IFERROR(COUNTIFS(Respostas_Formatadas!$C:$C,$CZ$30,Respostas_Formatadas!$CG:$CG,EmpAtual!$CZ33),"-")</f>
        <v>0</v>
      </c>
      <c r="DB33" s="53">
        <f>IFERROR(DA33/SUM($DA$32:$DA$36),"-")</f>
        <v>0</v>
      </c>
      <c r="DC33" s="52">
        <f t="shared" si="33"/>
        <v>45</v>
      </c>
      <c r="DD33" s="53">
        <f t="shared" si="33"/>
        <v>0.16605166051660517</v>
      </c>
      <c r="DE33" s="48"/>
      <c r="DF33" s="48"/>
      <c r="DG33" s="60" t="str">
        <f t="shared" si="31"/>
        <v>Má reputação do IFS</v>
      </c>
      <c r="DH33" s="52">
        <f>COUNTIFS(Respostas_Formatadas!$C:$C,EmpAtual!$DG$30,Respostas_Formatadas!$CH:$CH,EmpAtual!$DG33)+COUNTIFS(Respostas_Formatadas!$C:$C,EmpAtual!$DG$30,Respostas_Formatadas!$CI:$CI,EmpAtual!$DG33)+COUNTIFS(Respostas_Formatadas!$C:$C,EmpAtual!$DG$30,Respostas_Formatadas!$CJ:$CJ,EmpAtual!$DG33)</f>
        <v>0</v>
      </c>
      <c r="DI33" s="53">
        <f t="shared" si="34"/>
        <v>0</v>
      </c>
      <c r="DJ33" s="48"/>
      <c r="DK33" s="48"/>
      <c r="DL33" s="60" t="str">
        <f t="shared" si="35"/>
        <v>Boa reputação do IFS</v>
      </c>
      <c r="DM33" s="52">
        <f>COUNTIFS(Respostas_Formatadas!$C:$C,EmpAtual!$DL$30,Respostas_Formatadas!$CK:$CK,EmpAtual!$DL33)+COUNTIFS(Respostas_Formatadas!$C:$C,EmpAtual!$DL$30,Respostas_Formatadas!$CL:$CL,EmpAtual!$DL33)+COUNTIFS(Respostas_Formatadas!$C:$C,EmpAtual!$DL$30,Respostas_Formatadas!$CM:$CM,EmpAtual!$DL33)</f>
        <v>8</v>
      </c>
      <c r="DN33" s="53">
        <f t="shared" si="36"/>
        <v>0.42105263157894735</v>
      </c>
      <c r="DO33" s="48"/>
      <c r="DP33" s="48"/>
    </row>
    <row r="34" spans="2:120" x14ac:dyDescent="0.2">
      <c r="B34" s="48"/>
      <c r="C34" s="323"/>
      <c r="D34" s="48"/>
      <c r="E34" s="48"/>
      <c r="F34" s="60" t="str">
        <f>F9</f>
        <v>Sim</v>
      </c>
      <c r="G34" s="52">
        <f>COUNTIFS(Respostas_Formatadas!$C:$C,EmpAtual!$F$32,Respostas_Formatadas!$AO:$AO,EmpAtual!$F34)</f>
        <v>6</v>
      </c>
      <c r="H34" s="53">
        <f>IFERROR(G34/SUM($G$34:$G$36),"-")</f>
        <v>0.8571428571428571</v>
      </c>
      <c r="I34" s="52">
        <f t="shared" ref="I34:J36" si="37">G9</f>
        <v>55</v>
      </c>
      <c r="J34" s="53">
        <f t="shared" si="37"/>
        <v>0.69620253164556967</v>
      </c>
      <c r="K34" s="48"/>
      <c r="L34" s="48"/>
      <c r="M34" s="52">
        <v>26</v>
      </c>
      <c r="N34" s="51" t="s">
        <v>335</v>
      </c>
      <c r="O34" s="70">
        <v>1</v>
      </c>
      <c r="P34" s="53">
        <f t="shared" si="3"/>
        <v>6.5359477124183009E-3</v>
      </c>
      <c r="Q34" s="48"/>
      <c r="R34" s="52">
        <v>26</v>
      </c>
      <c r="S34" s="51" t="str">
        <f t="array" ref="S34">INDEX($N$103:$N$188,SMALL(IF($O$103:$O$188=T34,ROW($O$103:$O$188)-102),COUNTIF($T$9:T34,T34)))</f>
        <v>Agente de Segurança Pública</v>
      </c>
      <c r="T34" s="70">
        <f t="shared" si="4"/>
        <v>0</v>
      </c>
      <c r="U34" s="53">
        <f t="shared" si="5"/>
        <v>0</v>
      </c>
      <c r="V34" s="48"/>
      <c r="W34" s="60" t="s">
        <v>976</v>
      </c>
      <c r="X34" s="68">
        <f>IFERROR(VLOOKUP($W$30,$W$41:$AE$53,8,0),"-")</f>
        <v>1800</v>
      </c>
      <c r="Y34" s="68">
        <f>X11</f>
        <v>600</v>
      </c>
      <c r="Z34" s="48"/>
      <c r="AA34" s="48"/>
      <c r="AB34" s="48"/>
      <c r="AC34" s="48"/>
      <c r="AD34" s="48"/>
      <c r="AE34" s="48"/>
      <c r="AF34" s="48"/>
      <c r="AG34" s="48"/>
      <c r="AH34" s="48"/>
      <c r="AI34" s="158" t="str">
        <f>AI26</f>
        <v>Tecnologia em Logística</v>
      </c>
      <c r="AJ34" s="48"/>
      <c r="AK34" s="48"/>
      <c r="AL34" s="48"/>
      <c r="AM34" s="48"/>
      <c r="AN34" s="48"/>
      <c r="AO34" s="48"/>
      <c r="AP34" s="48"/>
      <c r="AQ34" s="48"/>
      <c r="AR34" s="48"/>
      <c r="AS34" s="48"/>
      <c r="AT34" s="48"/>
      <c r="AU34" s="48"/>
      <c r="AV34" s="48"/>
      <c r="AW34" s="48"/>
      <c r="AX34" s="60" t="str">
        <f t="shared" si="20"/>
        <v>Meu emprego atual permite que eu trabalhe em um lugar que eu prefiro</v>
      </c>
      <c r="AY34" s="52">
        <f>COUNTIFS(Respostas_Formatadas!$C:$C,EmpAtual!$AX$24,Respostas_Formatadas!$AW:$AW,EmpAtual!AX34)</f>
        <v>1</v>
      </c>
      <c r="AZ34" s="53">
        <f t="shared" si="21"/>
        <v>0.16666666666666666</v>
      </c>
      <c r="BA34" s="48"/>
      <c r="BB34" s="48"/>
      <c r="BC34" s="48"/>
      <c r="BD34" s="48"/>
      <c r="BE34" s="48"/>
      <c r="BF34" s="48"/>
      <c r="BG34" s="48"/>
      <c r="BH34" s="48"/>
      <c r="BI34" s="48"/>
      <c r="BJ34" s="48"/>
      <c r="BK34" s="48"/>
      <c r="BL34" s="48"/>
      <c r="BM34" s="48"/>
      <c r="BN34" s="48"/>
      <c r="BO34" s="48"/>
      <c r="BP34" s="48"/>
      <c r="BQ34" s="60" t="str">
        <f>Tabulacao!EM28</f>
        <v>Penedo - AL</v>
      </c>
      <c r="BR34" s="52">
        <f>COUNTIF(Respostas_Formatadas!$BC:$BC,EmpAtual!BQ34)</f>
        <v>1</v>
      </c>
      <c r="BS34" s="53">
        <f t="shared" si="10"/>
        <v>6.993006993006993E-3</v>
      </c>
      <c r="BT34" s="48"/>
      <c r="BU34" s="52">
        <v>26</v>
      </c>
      <c r="BV34" s="60" t="str">
        <f t="array" ref="BV34">INDEX($BQ$49:$BQ$82,SMALL(IF($BR$49:$BR$82=BW34,ROW($BR$49:$BR$82)-48),COUNTIF($BW$9:BW34,BW34)))</f>
        <v>Palmas - TO</v>
      </c>
      <c r="BW34" s="52">
        <f t="shared" si="11"/>
        <v>0</v>
      </c>
      <c r="BX34" s="53">
        <f t="shared" si="12"/>
        <v>0</v>
      </c>
      <c r="BY34" s="48"/>
      <c r="BZ34" s="82">
        <v>56</v>
      </c>
      <c r="CA34" s="65" t="str">
        <f>Tabulacao!FW2</f>
        <v>Habilidade de encontrar ideias e soluções inovadoras</v>
      </c>
      <c r="CB34" s="63">
        <f>IFERROR(VLOOKUP(CB$25,Tabulacao!$FW$2:$FY$15,3,0),"-")</f>
        <v>3.1847133757961783E-2</v>
      </c>
      <c r="CC34" s="63">
        <f>IFERROR(VLOOKUP(CC$25,Tabulacao!$FW$2:$FY$15,3,0),"-")</f>
        <v>5.0955414012738856E-2</v>
      </c>
      <c r="CD34" s="63">
        <f>IFERROR(VLOOKUP(CD$25,Tabulacao!$FW$2:$FY$15,3,0),"-")</f>
        <v>0.15286624203821655</v>
      </c>
      <c r="CE34" s="63">
        <f>IFERROR(VLOOKUP(CE$25,Tabulacao!$FW$2:$FY$15,3,0),"-")</f>
        <v>0.40764331210191085</v>
      </c>
      <c r="CF34" s="63">
        <f>IFERROR(VLOOKUP(CF$25,Tabulacao!$FW$2:$FY$15,3,0),"-")</f>
        <v>0.35668789808917195</v>
      </c>
      <c r="CG34" s="95">
        <f t="shared" si="27"/>
        <v>1</v>
      </c>
      <c r="CH34" s="170">
        <f>IFERROR(VLOOKUP(CH$25,Tabulacao!$FW$2:$FY$15,2,0),"-")</f>
        <v>4.0063694267515926</v>
      </c>
      <c r="CI34" s="171">
        <f>IFERROR(VLOOKUP(CI$25,Tabulacao!$FW$2:$FY$15,2,0),"-")</f>
        <v>4</v>
      </c>
      <c r="CJ34" s="171">
        <f>IFERROR(VLOOKUP(CJ$25,Tabulacao!$FW$2:$FY$15,2,0),"-")</f>
        <v>4</v>
      </c>
      <c r="CK34" s="172">
        <f>IFERROR(VLOOKUP(CK$25,Tabulacao!$FW$2:$FY$15,2,0),"-")</f>
        <v>0.25039619451066264</v>
      </c>
      <c r="CL34" s="48"/>
      <c r="CM34" s="82">
        <v>69</v>
      </c>
      <c r="CN34" s="65" t="str">
        <f t="shared" si="19"/>
        <v>Habilidade de encontrar ideias e soluções inovadoras</v>
      </c>
      <c r="CO34" s="63">
        <f>IFERROR(VLOOKUP(CO$25,Tabulacao!$HJ$2:$HL$15,3,0),"-")</f>
        <v>3.6900369003690036E-3</v>
      </c>
      <c r="CP34" s="63">
        <f>IFERROR(VLOOKUP(CP$25,Tabulacao!$HJ$2:$HL$15,3,0),"-")</f>
        <v>2.5830258302583026E-2</v>
      </c>
      <c r="CQ34" s="63">
        <f>IFERROR(VLOOKUP(CQ$25,Tabulacao!$HJ$2:$HL$15,3,0),"-")</f>
        <v>0.22509225092250923</v>
      </c>
      <c r="CR34" s="63">
        <f>IFERROR(VLOOKUP(CR$25,Tabulacao!$HJ$2:$HL$15,3,0),"-")</f>
        <v>0.43911439114391143</v>
      </c>
      <c r="CS34" s="63">
        <f>IFERROR(VLOOKUP(CS$25,Tabulacao!$HJ$2:$HL$15,3,0),"-")</f>
        <v>0.30627306273062732</v>
      </c>
      <c r="CT34" s="184">
        <f t="shared" si="28"/>
        <v>1</v>
      </c>
      <c r="CU34" s="170">
        <f>IFERROR(VLOOKUP(CU$25,Tabulacao!$HJ$2:$HL$15,2,0),"-")</f>
        <v>4.0184501845018454</v>
      </c>
      <c r="CV34" s="171">
        <f>IFERROR(VLOOKUP(CV$25,Tabulacao!$HJ$2:$HL$15,2,0),"-")</f>
        <v>4</v>
      </c>
      <c r="CW34" s="171">
        <f>IFERROR(VLOOKUP(CW$25,Tabulacao!$HJ$2:$HL$15,2,0),"-")</f>
        <v>4</v>
      </c>
      <c r="CX34" s="172">
        <f>IFERROR(VLOOKUP(CX$25,Tabulacao!$HJ$2:$HL$15,2,0),"-")</f>
        <v>0.20369863278311526</v>
      </c>
      <c r="CY34" s="48"/>
      <c r="CZ34" s="60">
        <f t="shared" si="32"/>
        <v>3</v>
      </c>
      <c r="DA34" s="52">
        <f>IFERROR(COUNTIFS(Respostas_Formatadas!$C:$C,$CZ$30,Respostas_Formatadas!$CG:$CG,EmpAtual!$CZ34),"-")</f>
        <v>2</v>
      </c>
      <c r="DB34" s="53">
        <f>IFERROR(DA34/SUM($DA$32:$DA$36),"-")</f>
        <v>0.10526315789473684</v>
      </c>
      <c r="DC34" s="52">
        <f t="shared" si="33"/>
        <v>75</v>
      </c>
      <c r="DD34" s="53">
        <f t="shared" si="33"/>
        <v>0.2767527675276753</v>
      </c>
      <c r="DE34" s="48"/>
      <c r="DF34" s="48"/>
      <c r="DG34" s="60" t="str">
        <f t="shared" si="31"/>
        <v>Concorrentes mais preparados</v>
      </c>
      <c r="DH34" s="52">
        <f>COUNTIFS(Respostas_Formatadas!$C:$C,EmpAtual!$DG$30,Respostas_Formatadas!$CH:$CH,EmpAtual!$DG34)+COUNTIFS(Respostas_Formatadas!$C:$C,EmpAtual!$DG$30,Respostas_Formatadas!$CI:$CI,EmpAtual!$DG34)+COUNTIFS(Respostas_Formatadas!$C:$C,EmpAtual!$DG$30,Respostas_Formatadas!$CJ:$CJ,EmpAtual!$DG34)</f>
        <v>4</v>
      </c>
      <c r="DI34" s="53">
        <f t="shared" si="34"/>
        <v>0.21052631578947367</v>
      </c>
      <c r="DJ34" s="48"/>
      <c r="DK34" s="48"/>
      <c r="DL34" s="60" t="str">
        <f t="shared" si="35"/>
        <v>Concorrentes menos preparados</v>
      </c>
      <c r="DM34" s="52">
        <f>COUNTIFS(Respostas_Formatadas!$C:$C,EmpAtual!$DL$30,Respostas_Formatadas!$CK:$CK,EmpAtual!$DL34)+COUNTIFS(Respostas_Formatadas!$C:$C,EmpAtual!$DL$30,Respostas_Formatadas!$CL:$CL,EmpAtual!$DL34)+COUNTIFS(Respostas_Formatadas!$C:$C,EmpAtual!$DL$30,Respostas_Formatadas!$CM:$CM,EmpAtual!$DL34)</f>
        <v>4</v>
      </c>
      <c r="DN34" s="53">
        <f t="shared" si="36"/>
        <v>0.21052631578947367</v>
      </c>
      <c r="DO34" s="48"/>
      <c r="DP34" s="48"/>
    </row>
    <row r="35" spans="2:120" x14ac:dyDescent="0.2">
      <c r="B35" s="48"/>
      <c r="C35" s="323"/>
      <c r="D35" s="48"/>
      <c r="E35" s="48"/>
      <c r="F35" s="60" t="str">
        <f>F10</f>
        <v>Sim, em mais de um.</v>
      </c>
      <c r="G35" s="52">
        <f>COUNTIFS(Respostas_Formatadas!$C:$C,EmpAtual!$F$32,Respostas_Formatadas!$AO:$AO,EmpAtual!$F35)</f>
        <v>1</v>
      </c>
      <c r="H35" s="53">
        <f>IFERROR(G35/SUM($G$34:$G$36),"-")</f>
        <v>0.14285714285714285</v>
      </c>
      <c r="I35" s="52">
        <f t="shared" si="37"/>
        <v>7</v>
      </c>
      <c r="J35" s="53">
        <f t="shared" si="37"/>
        <v>8.8607594936708861E-2</v>
      </c>
      <c r="K35" s="48"/>
      <c r="L35" s="48"/>
      <c r="M35" s="52">
        <v>27</v>
      </c>
      <c r="N35" s="51" t="s">
        <v>352</v>
      </c>
      <c r="O35" s="70">
        <v>1</v>
      </c>
      <c r="P35" s="53">
        <f t="shared" si="3"/>
        <v>6.5359477124183009E-3</v>
      </c>
      <c r="Q35" s="48"/>
      <c r="R35" s="52">
        <v>27</v>
      </c>
      <c r="S35" s="51" t="str">
        <f t="array" ref="S35">INDEX($N$103:$N$188,SMALL(IF($O$103:$O$188=T35,ROW($O$103:$O$188)-102),COUNTIF($T$9:T35,T35)))</f>
        <v>Técnico em Agropecuária</v>
      </c>
      <c r="T35" s="70">
        <f t="shared" si="4"/>
        <v>0</v>
      </c>
      <c r="U35" s="53">
        <f t="shared" si="5"/>
        <v>0</v>
      </c>
      <c r="V35" s="48"/>
      <c r="W35" s="60" t="s">
        <v>161</v>
      </c>
      <c r="X35" s="68">
        <f>IFERROR(VLOOKUP($W$30,$W$41:$AE$53,3,0),"-")</f>
        <v>3000</v>
      </c>
      <c r="Y35" s="68">
        <f>X12</f>
        <v>1500</v>
      </c>
      <c r="Z35" s="48"/>
      <c r="AA35" s="48"/>
      <c r="AB35" s="48"/>
      <c r="AC35" s="48"/>
      <c r="AD35" s="48"/>
      <c r="AE35" s="48"/>
      <c r="AF35" s="48"/>
      <c r="AG35" s="187" t="s">
        <v>998</v>
      </c>
      <c r="AH35" s="187" t="s">
        <v>997</v>
      </c>
      <c r="AI35" s="187" t="s">
        <v>996</v>
      </c>
      <c r="AJ35" s="187">
        <v>1</v>
      </c>
      <c r="AK35" s="187">
        <v>2</v>
      </c>
      <c r="AL35" s="187">
        <v>3</v>
      </c>
      <c r="AM35" s="187">
        <v>4</v>
      </c>
      <c r="AN35" s="187">
        <v>5</v>
      </c>
      <c r="AO35" s="187" t="s">
        <v>621</v>
      </c>
      <c r="AP35" s="187" t="s">
        <v>160</v>
      </c>
      <c r="AQ35" s="187" t="s">
        <v>999</v>
      </c>
      <c r="AR35" s="187" t="s">
        <v>1002</v>
      </c>
      <c r="AS35" s="187" t="str">
        <f>AS27</f>
        <v>CV</v>
      </c>
      <c r="AT35" s="48"/>
      <c r="AU35" s="48"/>
      <c r="AV35" s="48"/>
      <c r="AW35" s="48"/>
      <c r="AX35" s="60" t="str">
        <f t="shared" si="20"/>
        <v>No início da carreira que pretendo seguir, eu devo aceitar um emprego pouco relacionado com os meus estudos</v>
      </c>
      <c r="AY35" s="52">
        <f>COUNTIFS(Respostas_Formatadas!$C:$C,EmpAtual!$AX$24,Respostas_Formatadas!$AW:$AW,EmpAtual!AX35)</f>
        <v>0</v>
      </c>
      <c r="AZ35" s="53">
        <f t="shared" si="21"/>
        <v>0</v>
      </c>
      <c r="BA35" s="48"/>
      <c r="BB35" s="48"/>
      <c r="BC35" s="48"/>
      <c r="BD35" s="48"/>
      <c r="BE35" s="48"/>
      <c r="BF35" s="48"/>
      <c r="BG35" s="48"/>
      <c r="BH35" s="48"/>
      <c r="BI35" s="48"/>
      <c r="BJ35" s="48"/>
      <c r="BK35" s="48"/>
      <c r="BL35" s="48"/>
      <c r="BM35" s="48"/>
      <c r="BN35" s="48"/>
      <c r="BO35" s="48"/>
      <c r="BP35" s="48"/>
      <c r="BQ35" s="60" t="str">
        <f>Tabulacao!EM29</f>
        <v>Barra do Rio Grande - BA</v>
      </c>
      <c r="BR35" s="52">
        <f>COUNTIF(Respostas_Formatadas!$BC:$BC,EmpAtual!BQ35)</f>
        <v>1</v>
      </c>
      <c r="BS35" s="53">
        <f t="shared" si="10"/>
        <v>6.993006993006993E-3</v>
      </c>
      <c r="BT35" s="48"/>
      <c r="BU35" s="52">
        <v>27</v>
      </c>
      <c r="BV35" s="60" t="str">
        <f t="array" ref="BV35">INDEX($BQ$49:$BQ$82,SMALL(IF($BR$49:$BR$82=BW35,ROW($BR$49:$BR$82)-48),COUNTIF($BW$9:BW35,BW35)))</f>
        <v>Penedo - AL</v>
      </c>
      <c r="BW35" s="52">
        <f t="shared" si="11"/>
        <v>0</v>
      </c>
      <c r="BX35" s="53">
        <f t="shared" si="12"/>
        <v>0</v>
      </c>
      <c r="BY35" s="48"/>
      <c r="BZ35" s="81">
        <v>57</v>
      </c>
      <c r="CA35" s="51" t="str">
        <f>Tabulacao!FZ2</f>
        <v>Disposição para questionar suas próprias ideias e as dos outros</v>
      </c>
      <c r="CB35" s="53">
        <f>IFERROR(VLOOKUP(CB$25,Tabulacao!$FZ$2:$GB$15,3,0),"-")</f>
        <v>3.1847133757961783E-2</v>
      </c>
      <c r="CC35" s="53">
        <f>IFERROR(VLOOKUP(CC$25,Tabulacao!$FZ$2:$GB$15,3,0),"-")</f>
        <v>7.6433121019108277E-2</v>
      </c>
      <c r="CD35" s="53">
        <f>IFERROR(VLOOKUP(CD$25,Tabulacao!$FZ$2:$GB$15,3,0),"-")</f>
        <v>0.24203821656050956</v>
      </c>
      <c r="CE35" s="53">
        <f>IFERROR(VLOOKUP(CE$25,Tabulacao!$FZ$2:$GB$15,3,0),"-")</f>
        <v>0.28025477707006369</v>
      </c>
      <c r="CF35" s="53">
        <f>IFERROR(VLOOKUP(CF$25,Tabulacao!$FZ$2:$GB$15,3,0),"-")</f>
        <v>0.36942675159235666</v>
      </c>
      <c r="CG35" s="277">
        <f t="shared" si="27"/>
        <v>1</v>
      </c>
      <c r="CH35" s="173">
        <f>IFERROR(VLOOKUP(CH$25,Tabulacao!$FZ$2:$GB$15,2,0),"-")</f>
        <v>3.878980891719745</v>
      </c>
      <c r="CI35" s="122">
        <f>IFERROR(VLOOKUP(CI$25,Tabulacao!$FZ$2:$GB$15,2,0),"-")</f>
        <v>5</v>
      </c>
      <c r="CJ35" s="122">
        <f>IFERROR(VLOOKUP(CJ$25,Tabulacao!$FZ$2:$GB$15,2,0),"-")</f>
        <v>4</v>
      </c>
      <c r="CK35" s="176">
        <f>IFERROR(VLOOKUP(CK$25,Tabulacao!$FZ$2:$GB$15,2,0),"-")</f>
        <v>0.28202847585758828</v>
      </c>
      <c r="CL35" s="48"/>
      <c r="CM35" s="81">
        <v>70</v>
      </c>
      <c r="CN35" s="51" t="str">
        <f t="shared" si="19"/>
        <v>Disposição para questionar suas próprias ideias e as dos outros</v>
      </c>
      <c r="CO35" s="53">
        <f>IFERROR(VLOOKUP(CO$25,Tabulacao!$HM$2:$HO$15,3,0),"-")</f>
        <v>1.107011070110701E-2</v>
      </c>
      <c r="CP35" s="53">
        <f>IFERROR(VLOOKUP(CP$25,Tabulacao!$HM$2:$HO$15,3,0),"-")</f>
        <v>2.9520295202952029E-2</v>
      </c>
      <c r="CQ35" s="53">
        <f>IFERROR(VLOOKUP(CQ$25,Tabulacao!$HM$2:$HO$15,3,0),"-")</f>
        <v>0.16236162361623616</v>
      </c>
      <c r="CR35" s="53">
        <f>IFERROR(VLOOKUP(CR$25,Tabulacao!$HM$2:$HO$15,3,0),"-")</f>
        <v>0.44649446494464945</v>
      </c>
      <c r="CS35" s="53">
        <f>IFERROR(VLOOKUP(CS$25,Tabulacao!$HM$2:$HO$15,3,0),"-")</f>
        <v>0.35055350553505538</v>
      </c>
      <c r="CT35" s="125">
        <f t="shared" si="28"/>
        <v>1</v>
      </c>
      <c r="CU35" s="173">
        <f>IFERROR(VLOOKUP(CU$25,Tabulacao!$HM$2:$HO$15,2,0),"-")</f>
        <v>4.0959409594095941</v>
      </c>
      <c r="CV35" s="122">
        <f>IFERROR(VLOOKUP(CV$25,Tabulacao!$HM$2:$HO$15,2,0),"-")</f>
        <v>4</v>
      </c>
      <c r="CW35" s="122">
        <f>IFERROR(VLOOKUP(CW$25,Tabulacao!$HM$2:$HO$15,2,0),"-")</f>
        <v>4</v>
      </c>
      <c r="CX35" s="176">
        <f>IFERROR(VLOOKUP(CX$25,Tabulacao!$HM$2:$HO$15,2,0),"-")</f>
        <v>0.20775139982106267</v>
      </c>
      <c r="CY35" s="48"/>
      <c r="CZ35" s="60">
        <f t="shared" si="32"/>
        <v>4</v>
      </c>
      <c r="DA35" s="52">
        <f>IFERROR(COUNTIFS(Respostas_Formatadas!$C:$C,$CZ$30,Respostas_Formatadas!$CG:$CG,EmpAtual!$CZ35),"-")</f>
        <v>6</v>
      </c>
      <c r="DB35" s="53">
        <f>IFERROR(DA35/SUM($DA$32:$DA$36),"-")</f>
        <v>0.31578947368421051</v>
      </c>
      <c r="DC35" s="52">
        <f t="shared" si="33"/>
        <v>62</v>
      </c>
      <c r="DD35" s="53">
        <f t="shared" si="33"/>
        <v>0.22878228782287824</v>
      </c>
      <c r="DE35" s="48"/>
      <c r="DF35" s="48"/>
      <c r="DG35" s="60" t="str">
        <f t="shared" si="31"/>
        <v>Situação econômica do país/estado</v>
      </c>
      <c r="DH35" s="52">
        <f>COUNTIFS(Respostas_Formatadas!$C:$C,EmpAtual!$DG$30,Respostas_Formatadas!$CH:$CH,EmpAtual!$DG35)+COUNTIFS(Respostas_Formatadas!$C:$C,EmpAtual!$DG$30,Respostas_Formatadas!$CI:$CI,EmpAtual!$DG35)+COUNTIFS(Respostas_Formatadas!$C:$C,EmpAtual!$DG$30,Respostas_Formatadas!$CJ:$CJ,EmpAtual!$DG35)</f>
        <v>7</v>
      </c>
      <c r="DI35" s="53">
        <f t="shared" si="34"/>
        <v>0.36842105263157893</v>
      </c>
      <c r="DJ35" s="48"/>
      <c r="DK35" s="48"/>
      <c r="DL35" s="60" t="str">
        <f t="shared" si="35"/>
        <v>Situação econômica do país/estado</v>
      </c>
      <c r="DM35" s="52">
        <f>COUNTIFS(Respostas_Formatadas!$C:$C,EmpAtual!$DL$30,Respostas_Formatadas!$CK:$CK,EmpAtual!$DL35)+COUNTIFS(Respostas_Formatadas!$C:$C,EmpAtual!$DL$30,Respostas_Formatadas!$CL:$CL,EmpAtual!$DL35)+COUNTIFS(Respostas_Formatadas!$C:$C,EmpAtual!$DL$30,Respostas_Formatadas!$CM:$CM,EmpAtual!$DL35)</f>
        <v>0</v>
      </c>
      <c r="DN35" s="53">
        <f t="shared" si="36"/>
        <v>0</v>
      </c>
      <c r="DO35" s="48"/>
      <c r="DP35" s="48"/>
    </row>
    <row r="36" spans="2:120" x14ac:dyDescent="0.2">
      <c r="B36" s="48"/>
      <c r="C36" s="323"/>
      <c r="D36" s="48"/>
      <c r="E36" s="48"/>
      <c r="F36" s="60" t="str">
        <f>F11</f>
        <v>Não</v>
      </c>
      <c r="G36" s="52">
        <f>COUNTIFS(Respostas_Formatadas!$C:$C,EmpAtual!$F$32,Respostas_Formatadas!$AO:$AO,EmpAtual!$F36)</f>
        <v>0</v>
      </c>
      <c r="H36" s="53">
        <f>IFERROR(G36/SUM($G$34:$G$36),"-")</f>
        <v>0</v>
      </c>
      <c r="I36" s="52">
        <f t="shared" si="37"/>
        <v>17</v>
      </c>
      <c r="J36" s="53">
        <f t="shared" si="37"/>
        <v>0.21518987341772153</v>
      </c>
      <c r="K36" s="48"/>
      <c r="L36" s="48"/>
      <c r="M36" s="52">
        <v>28</v>
      </c>
      <c r="N36" s="51" t="s">
        <v>1115</v>
      </c>
      <c r="O36" s="70">
        <v>1</v>
      </c>
      <c r="P36" s="53">
        <f t="shared" si="3"/>
        <v>6.5359477124183009E-3</v>
      </c>
      <c r="Q36" s="48"/>
      <c r="R36" s="52">
        <v>28</v>
      </c>
      <c r="S36" s="51" t="str">
        <f t="array" ref="S36">INDEX($N$103:$N$188,SMALL(IF($O$103:$O$188=T36,ROW($O$103:$O$188)-102),COUNTIF($T$9:T36,T36)))</f>
        <v>Inspetor de Segurança</v>
      </c>
      <c r="T36" s="70">
        <f t="shared" si="4"/>
        <v>0</v>
      </c>
      <c r="U36" s="53">
        <f t="shared" si="5"/>
        <v>0</v>
      </c>
      <c r="V36" s="48"/>
      <c r="W36" s="60" t="s">
        <v>162</v>
      </c>
      <c r="X36" s="68">
        <f>IFERROR(VLOOKUP($W$30,$W$41:$AE$53,4,0),"-")</f>
        <v>3000</v>
      </c>
      <c r="Y36" s="68">
        <f>X13</f>
        <v>2000</v>
      </c>
      <c r="Z36" s="48"/>
      <c r="AA36" s="48"/>
      <c r="AB36" s="48"/>
      <c r="AC36" s="48"/>
      <c r="AD36" s="48"/>
      <c r="AE36" s="48"/>
      <c r="AF36" s="48"/>
      <c r="AG36" s="198">
        <f t="shared" ref="AG36:AI40" si="38">AG28</f>
        <v>37</v>
      </c>
      <c r="AH36" s="274" t="str">
        <f t="shared" si="38"/>
        <v>(1) Muito insatisfeito ... a ... (5) Muito satisfeito</v>
      </c>
      <c r="AI36" s="199" t="str">
        <f t="shared" si="38"/>
        <v>Em que medida você está satisfeito com a remuneração do seu emprego atual?</v>
      </c>
      <c r="AJ36" s="204">
        <f>IFERROR(AJ$28/SUM($AJ$28:$AN$28),"-")</f>
        <v>0.25</v>
      </c>
      <c r="AK36" s="204">
        <f>IFERROR(AK$28/SUM($AJ$28:$AN$28),"-")</f>
        <v>0</v>
      </c>
      <c r="AL36" s="204">
        <f>IFERROR(AL$28/SUM($AJ$28:$AN$28),"-")</f>
        <v>0.5</v>
      </c>
      <c r="AM36" s="204">
        <f>IFERROR(AM$28/SUM($AJ$28:$AN$28),"-")</f>
        <v>0.25</v>
      </c>
      <c r="AN36" s="204">
        <f>IFERROR(AN$28/SUM($AJ$28:$AN$28),"-")</f>
        <v>0</v>
      </c>
      <c r="AO36" s="193">
        <f>SUM(AJ36:AN36)</f>
        <v>1</v>
      </c>
      <c r="AP36" s="202">
        <f>SUMPRODUCT($AJ$35:$AN$35,AJ36:AN36)</f>
        <v>2.75</v>
      </c>
      <c r="AQ36" s="202">
        <f>(AJ36*(AJ27-$AP$28)^2)+(AK36*(AK27-$AP$28)^2)+(AL36*(AL27-$AP$28)^2)+(AM36*(AM27-$AP$28)^2)+(AN36*(AN27-$AP$28)^2)</f>
        <v>1.1875</v>
      </c>
      <c r="AR36" s="202">
        <f>IFERROR(SQRT(AQ36),"-")</f>
        <v>1.0897247358851685</v>
      </c>
      <c r="AS36" s="203">
        <f>IFERROR(AR36/AP36,"-")</f>
        <v>0.39626354032187944</v>
      </c>
      <c r="AT36" s="48"/>
      <c r="AU36" s="48"/>
      <c r="AV36" s="48"/>
      <c r="AW36" s="48"/>
      <c r="AX36" s="191" t="s">
        <v>621</v>
      </c>
      <c r="AY36" s="192">
        <f>SUM(AY26:AY35)</f>
        <v>6</v>
      </c>
      <c r="AZ36" s="193">
        <f>SUM(AZ26:AZ35)</f>
        <v>0.99999999999999989</v>
      </c>
      <c r="BA36" s="48"/>
      <c r="BB36" s="48"/>
      <c r="BC36" s="48"/>
      <c r="BD36" s="48"/>
      <c r="BE36" s="48"/>
      <c r="BF36" s="48"/>
      <c r="BG36" s="48"/>
      <c r="BH36" s="48"/>
      <c r="BI36" s="48"/>
      <c r="BJ36" s="48"/>
      <c r="BK36" s="48"/>
      <c r="BL36" s="48"/>
      <c r="BM36" s="48"/>
      <c r="BN36" s="48"/>
      <c r="BO36" s="48"/>
      <c r="BP36" s="48"/>
      <c r="BQ36" s="60" t="str">
        <f>Tabulacao!EM30</f>
        <v>Teixeira de Freitas - BA</v>
      </c>
      <c r="BR36" s="52">
        <f>COUNTIF(Respostas_Formatadas!$BC:$BC,EmpAtual!BQ36)</f>
        <v>1</v>
      </c>
      <c r="BS36" s="53">
        <f t="shared" si="10"/>
        <v>6.993006993006993E-3</v>
      </c>
      <c r="BT36" s="48"/>
      <c r="BU36" s="52">
        <v>28</v>
      </c>
      <c r="BV36" s="60" t="str">
        <f t="array" ref="BV36">INDEX($BQ$49:$BQ$82,SMALL(IF($BR$49:$BR$82=BW36,ROW($BR$49:$BR$82)-48),COUNTIF($BW$9:BW36,BW36)))</f>
        <v>Teixeira de Freitas - BA</v>
      </c>
      <c r="BW36" s="52">
        <f t="shared" si="11"/>
        <v>0</v>
      </c>
      <c r="BX36" s="53">
        <f t="shared" si="12"/>
        <v>0</v>
      </c>
      <c r="BY36" s="48"/>
      <c r="BZ36" s="82">
        <v>58</v>
      </c>
      <c r="CA36" s="65" t="str">
        <f>Tabulacao!GC2</f>
        <v>Habilidade de apresentar produtos, ideias ou relatórios em público</v>
      </c>
      <c r="CB36" s="63">
        <f>IFERROR(VLOOKUP(CB$25,Tabulacao!$GC$2:$GE$15,3,0),"-")</f>
        <v>0.12738853503184713</v>
      </c>
      <c r="CC36" s="63">
        <f>IFERROR(VLOOKUP(CC$25,Tabulacao!$GC$2:$GE$15,3,0),"-")</f>
        <v>0.10191082802547771</v>
      </c>
      <c r="CD36" s="63">
        <f>IFERROR(VLOOKUP(CD$25,Tabulacao!$GC$2:$GE$15,3,0),"-")</f>
        <v>0.24203821656050956</v>
      </c>
      <c r="CE36" s="63">
        <f>IFERROR(VLOOKUP(CE$25,Tabulacao!$GC$2:$GE$15,3,0),"-")</f>
        <v>0.24840764331210191</v>
      </c>
      <c r="CF36" s="63">
        <f>IFERROR(VLOOKUP(CF$25,Tabulacao!$GC$2:$GE$15,3,0),"-")</f>
        <v>0.28025477707006369</v>
      </c>
      <c r="CG36" s="95">
        <f t="shared" si="27"/>
        <v>1</v>
      </c>
      <c r="CH36" s="170">
        <f>IFERROR(VLOOKUP(CH$25,Tabulacao!$GC$2:$GE$15,2,0),"-")</f>
        <v>3.4522292993630574</v>
      </c>
      <c r="CI36" s="171">
        <f>IFERROR(VLOOKUP(CI$25,Tabulacao!$GC$2:$GE$15,2,0),"-")</f>
        <v>5</v>
      </c>
      <c r="CJ36" s="171">
        <f>IFERROR(VLOOKUP(CJ$25,Tabulacao!$GC$2:$GE$15,2,0),"-")</f>
        <v>4</v>
      </c>
      <c r="CK36" s="172">
        <f>IFERROR(VLOOKUP(CK$25,Tabulacao!$GC$2:$GE$15,2,0),"-")</f>
        <v>0.3873074731630165</v>
      </c>
      <c r="CL36" s="48"/>
      <c r="CM36" s="82">
        <v>71</v>
      </c>
      <c r="CN36" s="65" t="str">
        <f t="shared" si="19"/>
        <v>Habilidade de apresentar produtos, ideias ou relatórios em público</v>
      </c>
      <c r="CO36" s="63">
        <f>IFERROR(VLOOKUP(CO$25,Tabulacao!$HP$2:$HR$15,3,0),"-")</f>
        <v>3.6900369003690037E-2</v>
      </c>
      <c r="CP36" s="63">
        <f>IFERROR(VLOOKUP(CP$25,Tabulacao!$HP$2:$HR$15,3,0),"-")</f>
        <v>8.8560885608856083E-2</v>
      </c>
      <c r="CQ36" s="63">
        <f>IFERROR(VLOOKUP(CQ$25,Tabulacao!$HP$2:$HR$15,3,0),"-")</f>
        <v>0.20664206642066421</v>
      </c>
      <c r="CR36" s="63">
        <f>IFERROR(VLOOKUP(CR$25,Tabulacao!$HP$2:$HR$15,3,0),"-")</f>
        <v>0.37638376383763839</v>
      </c>
      <c r="CS36" s="63">
        <f>IFERROR(VLOOKUP(CS$25,Tabulacao!$HP$2:$HR$15,3,0),"-")</f>
        <v>0.29151291512915128</v>
      </c>
      <c r="CT36" s="184">
        <f t="shared" si="28"/>
        <v>1</v>
      </c>
      <c r="CU36" s="170">
        <f>IFERROR(VLOOKUP(CU$25,Tabulacao!$HP$2:$HR$15,2,0),"-")</f>
        <v>3.7970479704797047</v>
      </c>
      <c r="CV36" s="171">
        <f>IFERROR(VLOOKUP(CV$25,Tabulacao!$HP$2:$HR$15,2,0),"-")</f>
        <v>4</v>
      </c>
      <c r="CW36" s="171">
        <f>IFERROR(VLOOKUP(CW$25,Tabulacao!$HP$2:$HR$15,2,0),"-")</f>
        <v>4</v>
      </c>
      <c r="CX36" s="172">
        <f>IFERROR(VLOOKUP(CX$25,Tabulacao!$HP$2:$HR$15,2,0),"-")</f>
        <v>0.28212340767471217</v>
      </c>
      <c r="CY36" s="48"/>
      <c r="CZ36" s="60">
        <f t="shared" si="32"/>
        <v>5</v>
      </c>
      <c r="DA36" s="52">
        <f>IFERROR(COUNTIFS(Respostas_Formatadas!$C:$C,$CZ$30,Respostas_Formatadas!$CG:$CG,EmpAtual!$CZ36),"-")</f>
        <v>11</v>
      </c>
      <c r="DB36" s="53">
        <f>IFERROR(DA36/SUM($DA$32:$DA$36),"-")</f>
        <v>0.57894736842105265</v>
      </c>
      <c r="DC36" s="52">
        <f t="shared" si="33"/>
        <v>57</v>
      </c>
      <c r="DD36" s="53">
        <f t="shared" si="33"/>
        <v>0.21033210332103322</v>
      </c>
      <c r="DE36" s="48"/>
      <c r="DF36" s="48"/>
      <c r="DG36" s="60" t="str">
        <f t="shared" si="31"/>
        <v>Falta de contatos que pudessem me indicar a vagas de emprego</v>
      </c>
      <c r="DH36" s="52">
        <f>COUNTIFS(Respostas_Formatadas!$C:$C,EmpAtual!$DG$30,Respostas_Formatadas!$CH:$CH,EmpAtual!$DG36)+COUNTIFS(Respostas_Formatadas!$C:$C,EmpAtual!$DG$30,Respostas_Formatadas!$CI:$CI,EmpAtual!$DG36)+COUNTIFS(Respostas_Formatadas!$C:$C,EmpAtual!$DG$30,Respostas_Formatadas!$CJ:$CJ,EmpAtual!$DG36)</f>
        <v>4</v>
      </c>
      <c r="DI36" s="53">
        <f t="shared" si="34"/>
        <v>0.21052631578947367</v>
      </c>
      <c r="DJ36" s="48"/>
      <c r="DK36" s="48"/>
      <c r="DL36" s="60" t="str">
        <f t="shared" si="35"/>
        <v>Existência de contatos que pudessem me indicar a vagas de emprego</v>
      </c>
      <c r="DM36" s="52">
        <f>COUNTIFS(Respostas_Formatadas!$C:$C,EmpAtual!$DL$30,Respostas_Formatadas!$CK:$CK,EmpAtual!$DL36)+COUNTIFS(Respostas_Formatadas!$C:$C,EmpAtual!$DL$30,Respostas_Formatadas!$CL:$CL,EmpAtual!$DL36)+COUNTIFS(Respostas_Formatadas!$C:$C,EmpAtual!$DL$30,Respostas_Formatadas!$CM:$CM,EmpAtual!$DL36)</f>
        <v>6</v>
      </c>
      <c r="DN36" s="53">
        <f t="shared" si="36"/>
        <v>0.31578947368421051</v>
      </c>
      <c r="DO36" s="48"/>
      <c r="DP36" s="48"/>
    </row>
    <row r="37" spans="2:120" x14ac:dyDescent="0.2">
      <c r="B37" s="48"/>
      <c r="C37" s="323"/>
      <c r="D37" s="48"/>
      <c r="E37" s="48"/>
      <c r="F37" s="191" t="s">
        <v>621</v>
      </c>
      <c r="G37" s="192">
        <f>SUM(G34:G36)</f>
        <v>7</v>
      </c>
      <c r="H37" s="193">
        <f>SUM(H34:H36)</f>
        <v>1</v>
      </c>
      <c r="I37" s="192">
        <f>SUM(I34:I36)</f>
        <v>79</v>
      </c>
      <c r="J37" s="193">
        <f>SUM(J34:J36)</f>
        <v>1</v>
      </c>
      <c r="K37" s="48"/>
      <c r="L37" s="48"/>
      <c r="M37" s="52">
        <v>29</v>
      </c>
      <c r="N37" s="51" t="s">
        <v>1220</v>
      </c>
      <c r="O37" s="70">
        <v>1</v>
      </c>
      <c r="P37" s="53">
        <f t="shared" si="3"/>
        <v>6.5359477124183009E-3</v>
      </c>
      <c r="Q37" s="48"/>
      <c r="R37" s="52">
        <v>29</v>
      </c>
      <c r="S37" s="51" t="str">
        <f t="array" ref="S37">INDEX($N$103:$N$188,SMALL(IF($O$103:$O$188=T37,ROW($O$103:$O$188)-102),COUNTIF($T$9:T37,T37)))</f>
        <v>Gerente</v>
      </c>
      <c r="T37" s="70">
        <f t="shared" si="4"/>
        <v>0</v>
      </c>
      <c r="U37" s="53">
        <f t="shared" si="5"/>
        <v>0</v>
      </c>
      <c r="V37" s="48"/>
      <c r="W37" s="60" t="str">
        <f>W14</f>
        <v>Desvio Padrão</v>
      </c>
      <c r="X37" s="68">
        <f>IFERROR(VLOOKUP($W$30,$W$41:$AE$53,5,0),"-")</f>
        <v>1892.5405388462543</v>
      </c>
      <c r="Y37" s="68">
        <f>X14</f>
        <v>2856.444804333863</v>
      </c>
      <c r="Z37" s="48"/>
      <c r="AA37" s="48"/>
      <c r="AB37" s="48"/>
      <c r="AC37" s="48"/>
      <c r="AD37" s="48"/>
      <c r="AE37" s="48"/>
      <c r="AF37" s="48"/>
      <c r="AG37" s="81">
        <f t="shared" si="38"/>
        <v>38</v>
      </c>
      <c r="AH37" s="70" t="str">
        <f t="shared" si="38"/>
        <v>(1) Nem um pouco ... a ... (5) Em grande medida</v>
      </c>
      <c r="AI37" s="51" t="str">
        <f t="shared" si="38"/>
        <v>Em que medida os conhecimentos adquiridos no IFS são úteis para você desempenhar suas atividades em seu emprego atual?</v>
      </c>
      <c r="AJ37" s="53">
        <f>IFERROR(AJ$29/SUM($AJ$29:$AN$29),"-")</f>
        <v>0</v>
      </c>
      <c r="AK37" s="53">
        <f>IFERROR(AK$29/SUM($AJ$29:$AN$29),"-")</f>
        <v>0.25</v>
      </c>
      <c r="AL37" s="53">
        <f>IFERROR(AL$29/SUM($AJ$29:$AN$29),"-")</f>
        <v>0.25</v>
      </c>
      <c r="AM37" s="53">
        <f>IFERROR(AM$29/SUM($AJ$29:$AN$29),"-")</f>
        <v>0.25</v>
      </c>
      <c r="AN37" s="53">
        <f>IFERROR(AN$29/SUM($AJ$29:$AN$29),"-")</f>
        <v>0.25</v>
      </c>
      <c r="AO37" s="277">
        <f t="shared" ref="AO37:AO40" si="39">SUM(AJ37:AN37)</f>
        <v>1</v>
      </c>
      <c r="AP37" s="173">
        <f>SUMPRODUCT($AJ$35:$AN$35,AJ37:AN37)</f>
        <v>3.5</v>
      </c>
      <c r="AQ37" s="173">
        <f>(AJ37*($AJ$27-$AP29)^2)+(AK37*($AK$27-$AP29)^2)+(AL37*($AL$27-$AP29)^2)+(AM37*($AM$27-$AP29)^2)+(AN37*($AN$27-$AP29)^2)</f>
        <v>1.25</v>
      </c>
      <c r="AR37" s="173">
        <f>IFERROR(SQRT(AQ37),"-")</f>
        <v>1.1180339887498949</v>
      </c>
      <c r="AS37" s="176">
        <f>IFERROR(AR37/AP37,"-")</f>
        <v>0.31943828249996997</v>
      </c>
      <c r="AT37" s="48"/>
      <c r="AU37" s="48"/>
      <c r="AV37" s="48"/>
      <c r="AW37" s="48"/>
      <c r="AX37" s="48"/>
      <c r="AY37" s="48"/>
      <c r="AZ37" s="48"/>
      <c r="BA37" s="48"/>
      <c r="BB37" s="48"/>
      <c r="BC37" s="48"/>
      <c r="BD37" s="48"/>
      <c r="BE37" s="48"/>
      <c r="BF37" s="48"/>
      <c r="BG37" s="48"/>
      <c r="BH37" s="48"/>
      <c r="BI37" s="48"/>
      <c r="BJ37" s="48"/>
      <c r="BK37" s="48"/>
      <c r="BL37" s="48"/>
      <c r="BM37" s="48"/>
      <c r="BN37" s="48"/>
      <c r="BO37" s="48"/>
      <c r="BP37" s="48"/>
      <c r="BQ37" s="60" t="str">
        <f>Tabulacao!EM31</f>
        <v>Propriá</v>
      </c>
      <c r="BR37" s="52">
        <f>COUNTIF(Respostas_Formatadas!$BC:$BC,EmpAtual!BQ37)</f>
        <v>1</v>
      </c>
      <c r="BS37" s="53">
        <f t="shared" si="10"/>
        <v>6.993006993006993E-3</v>
      </c>
      <c r="BT37" s="48"/>
      <c r="BU37" s="52">
        <v>29</v>
      </c>
      <c r="BV37" s="60" t="str">
        <f t="array" ref="BV37">INDEX($BQ$49:$BQ$82,SMALL(IF($BR$49:$BR$82=BW37,ROW($BR$49:$BR$82)-48),COUNTIF($BW$9:BW37,BW37)))</f>
        <v>Propriá</v>
      </c>
      <c r="BW37" s="52">
        <f t="shared" si="11"/>
        <v>0</v>
      </c>
      <c r="BX37" s="53">
        <f t="shared" si="12"/>
        <v>0</v>
      </c>
      <c r="BY37" s="48"/>
      <c r="BZ37" s="81">
        <v>59</v>
      </c>
      <c r="CA37" s="51" t="str">
        <f>Tabulacao!GF2</f>
        <v>Habilidade de escrever relatórios, memorandos ou documentos</v>
      </c>
      <c r="CB37" s="53">
        <f>IFERROR(VLOOKUP(CB$25,Tabulacao!$GF$2:$GH$15,3,0),"-")</f>
        <v>0.12101910828025478</v>
      </c>
      <c r="CC37" s="53">
        <f>IFERROR(VLOOKUP(CC$25,Tabulacao!$GF$2:$GH$15,3,0),"-")</f>
        <v>0.14012738853503184</v>
      </c>
      <c r="CD37" s="53">
        <f>IFERROR(VLOOKUP(CD$25,Tabulacao!$GF$2:$GH$15,3,0),"-")</f>
        <v>0.17834394904458598</v>
      </c>
      <c r="CE37" s="53">
        <f>IFERROR(VLOOKUP(CE$25,Tabulacao!$GF$2:$GH$15,3,0),"-")</f>
        <v>0.22292993630573249</v>
      </c>
      <c r="CF37" s="53">
        <f>IFERROR(VLOOKUP(CF$25,Tabulacao!$GF$2:$GH$15,3,0),"-")</f>
        <v>0.33757961783439489</v>
      </c>
      <c r="CG37" s="277">
        <f t="shared" si="27"/>
        <v>1</v>
      </c>
      <c r="CH37" s="173">
        <f>IFERROR(VLOOKUP(CH$25,Tabulacao!$GF$2:$GH$15,2,0),"-")</f>
        <v>3.515923566878981</v>
      </c>
      <c r="CI37" s="122">
        <f>IFERROR(VLOOKUP(CI$25,Tabulacao!$GF$2:$GH$15,2,0),"-")</f>
        <v>5</v>
      </c>
      <c r="CJ37" s="122">
        <f>IFERROR(VLOOKUP(CJ$25,Tabulacao!$GF$2:$GH$15,2,0),"-")</f>
        <v>4</v>
      </c>
      <c r="CK37" s="176">
        <f>IFERROR(VLOOKUP(CK$25,Tabulacao!$GF$2:$GH$15,2,0),"-")</f>
        <v>0.39652463365705376</v>
      </c>
      <c r="CL37" s="48"/>
      <c r="CM37" s="81">
        <v>72</v>
      </c>
      <c r="CN37" s="51" t="str">
        <f t="shared" si="19"/>
        <v>Habilidade de escrever relatórios, memorandos ou documentos</v>
      </c>
      <c r="CO37" s="53">
        <f>IFERROR(VLOOKUP(CO$25,Tabulacao!$HS$2:$HU$15,3,0),"-")</f>
        <v>2.5830258302583026E-2</v>
      </c>
      <c r="CP37" s="53">
        <f>IFERROR(VLOOKUP(CP$25,Tabulacao!$HS$2:$HU$15,3,0),"-")</f>
        <v>7.3800738007380073E-2</v>
      </c>
      <c r="CQ37" s="53">
        <f>IFERROR(VLOOKUP(CQ$25,Tabulacao!$HS$2:$HU$15,3,0),"-")</f>
        <v>0.28413284132841327</v>
      </c>
      <c r="CR37" s="53">
        <f>IFERROR(VLOOKUP(CR$25,Tabulacao!$HS$2:$HU$15,3,0),"-")</f>
        <v>0.33948339483394835</v>
      </c>
      <c r="CS37" s="53">
        <f>IFERROR(VLOOKUP(CS$25,Tabulacao!$HS$2:$HU$15,3,0),"-")</f>
        <v>0.2767527675276753</v>
      </c>
      <c r="CT37" s="125">
        <f t="shared" si="28"/>
        <v>1</v>
      </c>
      <c r="CU37" s="173">
        <f>IFERROR(VLOOKUP(CU$25,Tabulacao!$HS$2:$HU$15,2,0),"-")</f>
        <v>3.7675276752767526</v>
      </c>
      <c r="CV37" s="122">
        <f>IFERROR(VLOOKUP(CV$25,Tabulacao!$HS$2:$HU$15,2,0),"-")</f>
        <v>4</v>
      </c>
      <c r="CW37" s="122">
        <f>IFERROR(VLOOKUP(CW$25,Tabulacao!$HS$2:$HU$15,2,0),"-")</f>
        <v>4</v>
      </c>
      <c r="CX37" s="176">
        <f>IFERROR(VLOOKUP(CX$25,Tabulacao!$HS$2:$HU$15,2,0),"-")</f>
        <v>0.27046759156019734</v>
      </c>
      <c r="CY37" s="48"/>
      <c r="CZ37" s="191" t="s">
        <v>621</v>
      </c>
      <c r="DA37" s="192">
        <f>SUM(DA32:DA36)</f>
        <v>19</v>
      </c>
      <c r="DB37" s="193">
        <f>SUM(DB32:DB36)</f>
        <v>1</v>
      </c>
      <c r="DC37" s="192">
        <f>SUM(DC32:DC36)</f>
        <v>271</v>
      </c>
      <c r="DD37" s="193">
        <f>SUM(DD32:DD36)</f>
        <v>1</v>
      </c>
      <c r="DE37" s="48"/>
      <c r="DF37" s="48"/>
      <c r="DG37" s="60" t="str">
        <f t="shared" si="31"/>
        <v>Falta de conhecimento em inglês</v>
      </c>
      <c r="DH37" s="52">
        <f>COUNTIFS(Respostas_Formatadas!$C:$C,EmpAtual!$DG$30,Respostas_Formatadas!$CH:$CH,EmpAtual!$DG37)+COUNTIFS(Respostas_Formatadas!$C:$C,EmpAtual!$DG$30,Respostas_Formatadas!$CI:$CI,EmpAtual!$DG37)+COUNTIFS(Respostas_Formatadas!$C:$C,EmpAtual!$DG$30,Respostas_Formatadas!$CJ:$CJ,EmpAtual!$DG37)</f>
        <v>3</v>
      </c>
      <c r="DI37" s="53">
        <f t="shared" si="34"/>
        <v>0.15789473684210525</v>
      </c>
      <c r="DJ37" s="48"/>
      <c r="DK37" s="48"/>
      <c r="DL37" s="60" t="str">
        <f t="shared" si="35"/>
        <v>Conhecimento em inglês</v>
      </c>
      <c r="DM37" s="52">
        <f>COUNTIFS(Respostas_Formatadas!$C:$C,EmpAtual!$DL$30,Respostas_Formatadas!$CK:$CK,EmpAtual!$DL37)+COUNTIFS(Respostas_Formatadas!$C:$C,EmpAtual!$DL$30,Respostas_Formatadas!$CL:$CL,EmpAtual!$DL37)+COUNTIFS(Respostas_Formatadas!$C:$C,EmpAtual!$DL$30,Respostas_Formatadas!$CM:$CM,EmpAtual!$DL37)</f>
        <v>3</v>
      </c>
      <c r="DN37" s="53">
        <f t="shared" si="36"/>
        <v>0.15789473684210525</v>
      </c>
      <c r="DO37" s="48"/>
      <c r="DP37" s="48"/>
    </row>
    <row r="38" spans="2:120" x14ac:dyDescent="0.2">
      <c r="B38" s="48"/>
      <c r="C38" s="323"/>
      <c r="D38" s="48"/>
      <c r="E38" s="48"/>
      <c r="F38" s="48"/>
      <c r="G38" s="48"/>
      <c r="H38" s="48"/>
      <c r="I38" s="48"/>
      <c r="J38" s="48"/>
      <c r="K38" s="48"/>
      <c r="L38" s="48"/>
      <c r="M38" s="52">
        <v>30</v>
      </c>
      <c r="N38" s="51" t="s">
        <v>377</v>
      </c>
      <c r="O38" s="70">
        <v>1</v>
      </c>
      <c r="P38" s="53">
        <f t="shared" si="3"/>
        <v>6.5359477124183009E-3</v>
      </c>
      <c r="Q38" s="48"/>
      <c r="R38" s="52">
        <v>30</v>
      </c>
      <c r="S38" s="51" t="str">
        <f t="array" ref="S38">INDEX($N$103:$N$188,SMALL(IF($O$103:$O$188=T38,ROW($O$103:$O$188)-102),COUNTIF($T$9:T38,T38)))</f>
        <v>Gerente de Vendas</v>
      </c>
      <c r="T38" s="70">
        <f t="shared" si="4"/>
        <v>0</v>
      </c>
      <c r="U38" s="53">
        <f t="shared" si="5"/>
        <v>0</v>
      </c>
      <c r="V38" s="48"/>
      <c r="W38" s="60" t="str">
        <f>W15</f>
        <v>Variância</v>
      </c>
      <c r="X38" s="68">
        <f>IFERROR(VLOOKUP($W$30,$W$41:$AE$53,6,0),"-")</f>
        <v>3581709.6911764708</v>
      </c>
      <c r="Y38" s="68">
        <f>X15</f>
        <v>8159276.9202059209</v>
      </c>
      <c r="Z38" s="48"/>
      <c r="AA38" s="48"/>
      <c r="AB38" s="48"/>
      <c r="AC38" s="48"/>
      <c r="AD38" s="48"/>
      <c r="AE38" s="48"/>
      <c r="AF38" s="48"/>
      <c r="AG38" s="198">
        <f t="shared" si="38"/>
        <v>39</v>
      </c>
      <c r="AH38" s="274" t="str">
        <f t="shared" si="38"/>
        <v>(1) Nem um pouco ... a ... (5) Em grande medida</v>
      </c>
      <c r="AI38" s="199" t="str">
        <f t="shared" si="38"/>
        <v>Em que medida seu emprego atual demanda por conhecimentos e habilidades além do que você pode oferecer?</v>
      </c>
      <c r="AJ38" s="204">
        <f>IFERROR(AJ$30/SUM($AJ$30:$AN$30),"-")</f>
        <v>0</v>
      </c>
      <c r="AK38" s="204">
        <f>IFERROR(AK$30/SUM($AJ$30:$AN$30),"-")</f>
        <v>0.25</v>
      </c>
      <c r="AL38" s="204">
        <f>IFERROR(AL$30/SUM($AJ$30:$AN$30),"-")</f>
        <v>0.5</v>
      </c>
      <c r="AM38" s="204">
        <f>IFERROR(AM$30/SUM($AJ$30:$AN$30),"-")</f>
        <v>0.25</v>
      </c>
      <c r="AN38" s="204">
        <f>IFERROR(AN$30/SUM($AJ$30:$AN$30),"-")</f>
        <v>0</v>
      </c>
      <c r="AO38" s="193">
        <f t="shared" si="39"/>
        <v>1</v>
      </c>
      <c r="AP38" s="202">
        <f>SUMPRODUCT($AJ$35:$AN$35,AJ38:AN38)</f>
        <v>3</v>
      </c>
      <c r="AQ38" s="202">
        <f>(AJ38*($AJ$27-$AP30)^2)+(AK38*($AK$27-$AP30)^2)+(AL38*($AL$27-$AP30)^2)+(AM38*($AM$27-$AP30)^2)+(AN38*($AN$27-$AP30)^2)</f>
        <v>0.5</v>
      </c>
      <c r="AR38" s="202">
        <f>IFERROR(SQRT(AQ38),"-")</f>
        <v>0.70710678118654757</v>
      </c>
      <c r="AS38" s="203">
        <f>IFERROR(AR38/AP38,"-")</f>
        <v>0.23570226039551587</v>
      </c>
      <c r="AT38" s="48"/>
      <c r="AU38" s="48"/>
      <c r="AV38" s="48"/>
      <c r="AW38" s="48"/>
      <c r="AX38" s="48"/>
      <c r="AY38" s="48"/>
      <c r="AZ38" s="48"/>
      <c r="BA38" s="48"/>
      <c r="BB38" s="48"/>
      <c r="BC38" s="48"/>
      <c r="BD38" s="48"/>
      <c r="BE38" s="48"/>
      <c r="BF38" s="48"/>
      <c r="BG38" s="48"/>
      <c r="BH38" s="48"/>
      <c r="BI38" s="48"/>
      <c r="BJ38" s="48"/>
      <c r="BK38" s="48"/>
      <c r="BL38" s="48"/>
      <c r="BM38" s="48"/>
      <c r="BN38" s="48"/>
      <c r="BO38" s="48"/>
      <c r="BP38" s="48"/>
      <c r="BQ38" s="60" t="str">
        <f>Tabulacao!EM32</f>
        <v>Cumbe</v>
      </c>
      <c r="BR38" s="52">
        <f>COUNTIF(Respostas_Formatadas!$BC:$BC,EmpAtual!BQ38)</f>
        <v>1</v>
      </c>
      <c r="BS38" s="53">
        <f t="shared" si="10"/>
        <v>6.993006993006993E-3</v>
      </c>
      <c r="BT38" s="48"/>
      <c r="BU38" s="52">
        <v>30</v>
      </c>
      <c r="BV38" s="60" t="str">
        <f t="array" ref="BV38">INDEX($BQ$49:$BQ$82,SMALL(IF($BR$49:$BR$82=BW38,ROW($BR$49:$BR$82)-48),COUNTIF($BW$9:BW38,BW38)))</f>
        <v>Cumbe</v>
      </c>
      <c r="BW38" s="52">
        <f t="shared" si="11"/>
        <v>0</v>
      </c>
      <c r="BX38" s="53">
        <f t="shared" si="12"/>
        <v>0</v>
      </c>
      <c r="BY38" s="48"/>
      <c r="BZ38" s="82">
        <v>60</v>
      </c>
      <c r="CA38" s="65" t="str">
        <f>Tabulacao!GI2</f>
        <v>Habilidade de falar e escrever em uma língua estrangeira</v>
      </c>
      <c r="CB38" s="63">
        <f>IFERROR(VLOOKUP(CB$25,Tabulacao!$GI$2:$GK$15,3,0),"-")</f>
        <v>0.49044585987261147</v>
      </c>
      <c r="CC38" s="63">
        <f>IFERROR(VLOOKUP(CC$25,Tabulacao!$GI$2:$GK$15,3,0),"-")</f>
        <v>0.21656050955414013</v>
      </c>
      <c r="CD38" s="63">
        <f>IFERROR(VLOOKUP(CD$25,Tabulacao!$GI$2:$GK$15,3,0),"-")</f>
        <v>0.17197452229299362</v>
      </c>
      <c r="CE38" s="63">
        <f>IFERROR(VLOOKUP(CE$25,Tabulacao!$GI$2:$GK$15,3,0),"-")</f>
        <v>8.2802547770700632E-2</v>
      </c>
      <c r="CF38" s="63">
        <f>IFERROR(VLOOKUP(CF$25,Tabulacao!$GI$2:$GK$15,3,0),"-")</f>
        <v>3.8216560509554139E-2</v>
      </c>
      <c r="CG38" s="95">
        <f t="shared" si="27"/>
        <v>1</v>
      </c>
      <c r="CH38" s="170">
        <f>IFERROR(VLOOKUP(CH$25,Tabulacao!$GI$2:$GK$15,2,0),"-")</f>
        <v>1.9617834394904459</v>
      </c>
      <c r="CI38" s="171">
        <f>IFERROR(VLOOKUP(CI$25,Tabulacao!$GI$2:$GK$15,2,0),"-")</f>
        <v>5</v>
      </c>
      <c r="CJ38" s="171">
        <f>IFERROR(VLOOKUP(CJ$25,Tabulacao!$GI$2:$GK$15,2,0),"-")</f>
        <v>2</v>
      </c>
      <c r="CK38" s="172">
        <f>IFERROR(VLOOKUP(CK$25,Tabulacao!$GI$2:$GK$15,2,0),"-")</f>
        <v>0.59109740278122613</v>
      </c>
      <c r="CL38" s="48"/>
      <c r="CM38" s="82">
        <v>73</v>
      </c>
      <c r="CN38" s="65" t="str">
        <f t="shared" si="19"/>
        <v>Habilidade de falar e escrever em uma língua estrangeira</v>
      </c>
      <c r="CO38" s="63">
        <f>IFERROR(VLOOKUP(CO$25,Tabulacao!$HV$2:$HX$15,3,0),"-")</f>
        <v>0.30258302583025831</v>
      </c>
      <c r="CP38" s="63">
        <f>IFERROR(VLOOKUP(CP$25,Tabulacao!$HV$2:$HX$15,3,0),"-")</f>
        <v>0.21771217712177121</v>
      </c>
      <c r="CQ38" s="63">
        <f>IFERROR(VLOOKUP(CQ$25,Tabulacao!$HV$2:$HX$15,3,0),"-")</f>
        <v>0.26937269372693728</v>
      </c>
      <c r="CR38" s="63">
        <f>IFERROR(VLOOKUP(CR$25,Tabulacao!$HV$2:$HX$15,3,0),"-")</f>
        <v>0.14391143911439114</v>
      </c>
      <c r="CS38" s="63">
        <f>IFERROR(VLOOKUP(CS$25,Tabulacao!$HV$2:$HX$15,3,0),"-")</f>
        <v>6.6420664206642069E-2</v>
      </c>
      <c r="CT38" s="184">
        <f t="shared" si="28"/>
        <v>1</v>
      </c>
      <c r="CU38" s="170">
        <f>IFERROR(VLOOKUP(CU$25,Tabulacao!$HV$2:$HX$15,2,0),"-")</f>
        <v>2.4538745387453873</v>
      </c>
      <c r="CV38" s="171">
        <f>IFERROR(VLOOKUP(CV$25,Tabulacao!$HV$2:$HX$15,2,0),"-")</f>
        <v>1</v>
      </c>
      <c r="CW38" s="171">
        <f>IFERROR(VLOOKUP(CW$25,Tabulacao!$HV$2:$HX$15,2,0),"-")</f>
        <v>2</v>
      </c>
      <c r="CX38" s="172">
        <f>IFERROR(VLOOKUP(CX$25,Tabulacao!$HV$2:$HX$15,2,0),"-")</f>
        <v>0.50655205841791773</v>
      </c>
      <c r="CY38" s="48"/>
      <c r="CZ38" s="206" t="str">
        <f>CZ15</f>
        <v>Média</v>
      </c>
      <c r="DA38" s="207">
        <f>IFERROR(SUMPRODUCT($CZ$32:$CZ$36,$DA$32:$DA$36)/SUM($DA$32:$DA$36),"-")</f>
        <v>4.4736842105263159</v>
      </c>
      <c r="DB38" s="204" t="s">
        <v>933</v>
      </c>
      <c r="DC38" s="207">
        <f>DA15</f>
        <v>3.2472324723247232</v>
      </c>
      <c r="DD38" s="204" t="s">
        <v>933</v>
      </c>
      <c r="DE38" s="48"/>
      <c r="DF38" s="48"/>
      <c r="DG38" s="60" t="str">
        <f t="shared" si="31"/>
        <v>Falta de conhecimento em espanhol</v>
      </c>
      <c r="DH38" s="52">
        <f>COUNTIFS(Respostas_Formatadas!$C:$C,EmpAtual!$DG$30,Respostas_Formatadas!$CH:$CH,EmpAtual!$DG38)+COUNTIFS(Respostas_Formatadas!$C:$C,EmpAtual!$DG$30,Respostas_Formatadas!$CI:$CI,EmpAtual!$DG38)+COUNTIFS(Respostas_Formatadas!$C:$C,EmpAtual!$DG$30,Respostas_Formatadas!$CJ:$CJ,EmpAtual!$DG38)</f>
        <v>0</v>
      </c>
      <c r="DI38" s="53">
        <f t="shared" si="34"/>
        <v>0</v>
      </c>
      <c r="DJ38" s="48"/>
      <c r="DK38" s="48"/>
      <c r="DL38" s="60" t="str">
        <f t="shared" si="35"/>
        <v>Conhecimento em espanhol</v>
      </c>
      <c r="DM38" s="52">
        <f>COUNTIFS(Respostas_Formatadas!$C:$C,EmpAtual!$DL$30,Respostas_Formatadas!$CK:$CK,EmpAtual!$DL38)+COUNTIFS(Respostas_Formatadas!$C:$C,EmpAtual!$DL$30,Respostas_Formatadas!$CL:$CL,EmpAtual!$DL38)+COUNTIFS(Respostas_Formatadas!$C:$C,EmpAtual!$DL$30,Respostas_Formatadas!$CM:$CM,EmpAtual!$DL38)</f>
        <v>0</v>
      </c>
      <c r="DN38" s="53">
        <f t="shared" si="36"/>
        <v>0</v>
      </c>
      <c r="DO38" s="48"/>
      <c r="DP38" s="48"/>
    </row>
    <row r="39" spans="2:120" x14ac:dyDescent="0.2">
      <c r="B39" s="48"/>
      <c r="C39" s="323"/>
      <c r="D39" s="48"/>
      <c r="E39" s="48"/>
      <c r="F39" s="48"/>
      <c r="G39" s="48"/>
      <c r="H39" s="48"/>
      <c r="I39" s="48"/>
      <c r="J39" s="48"/>
      <c r="K39" s="48"/>
      <c r="L39" s="48"/>
      <c r="M39" s="52">
        <v>31</v>
      </c>
      <c r="N39" s="51" t="s">
        <v>379</v>
      </c>
      <c r="O39" s="70">
        <v>1</v>
      </c>
      <c r="P39" s="53">
        <f t="shared" si="3"/>
        <v>6.5359477124183009E-3</v>
      </c>
      <c r="Q39" s="48"/>
      <c r="R39" s="52">
        <v>31</v>
      </c>
      <c r="S39" s="51" t="str">
        <f t="array" ref="S39">INDEX($N$103:$N$188,SMALL(IF($O$103:$O$188=T39,ROW($O$103:$O$188)-102),COUNTIF($T$9:T39,T39)))</f>
        <v>Recepção</v>
      </c>
      <c r="T39" s="70">
        <f t="shared" si="4"/>
        <v>0</v>
      </c>
      <c r="U39" s="53">
        <f t="shared" si="5"/>
        <v>0</v>
      </c>
      <c r="V39" s="48"/>
      <c r="W39" s="60" t="s">
        <v>979</v>
      </c>
      <c r="X39" s="71">
        <f>IFERROR(VLOOKUP($W$30,$W$41:$AE$53,9,0),"-")</f>
        <v>17</v>
      </c>
      <c r="Y39" s="71">
        <f>COUNT(Respostas_Formatadas!$AQ$3:$AQ$273)</f>
        <v>148</v>
      </c>
      <c r="Z39" s="48"/>
      <c r="AA39" s="48"/>
      <c r="AB39" s="48"/>
      <c r="AC39" s="48"/>
      <c r="AD39" s="48"/>
      <c r="AE39" s="48"/>
      <c r="AF39" s="48"/>
      <c r="AG39" s="81">
        <f t="shared" si="38"/>
        <v>40</v>
      </c>
      <c r="AH39" s="70" t="str">
        <f t="shared" si="38"/>
        <v>(1) Muito insatisfeito ... a ... (5) Muito satisfeito</v>
      </c>
      <c r="AI39" s="51" t="str">
        <f t="shared" si="38"/>
        <v>No geral, quão satisfeito você está com seu emprego atual?</v>
      </c>
      <c r="AJ39" s="53">
        <f>IFERROR(AJ$31/SUM($AJ$31:$AN$31),"-")</f>
        <v>0</v>
      </c>
      <c r="AK39" s="53">
        <f>IFERROR(AK$31/SUM($AJ$31:$AN$31),"-")</f>
        <v>0</v>
      </c>
      <c r="AL39" s="53">
        <f>IFERROR(AL$31/SUM($AJ$31:$AN$31),"-")</f>
        <v>0.75</v>
      </c>
      <c r="AM39" s="53">
        <f>IFERROR(AM$31/SUM($AJ$31:$AN$31),"-")</f>
        <v>0.25</v>
      </c>
      <c r="AN39" s="53">
        <f>IFERROR(AN$31/SUM($AJ$31:$AN$31),"-")</f>
        <v>0</v>
      </c>
      <c r="AO39" s="277">
        <f t="shared" si="39"/>
        <v>1</v>
      </c>
      <c r="AP39" s="173">
        <f>SUMPRODUCT($AJ$35:$AN$35,AJ39:AN39)</f>
        <v>3.25</v>
      </c>
      <c r="AQ39" s="173">
        <f>(AJ39*($AJ$27-$AP31)^2)+(AK39*($AK$27-$AP31)^2)+(AL39*($AL$27-$AP31)^2)+(AM39*($AM$27-$AP31)^2)+(AN39*($AN$27-$AP31)^2)</f>
        <v>0.1875</v>
      </c>
      <c r="AR39" s="173">
        <f>IFERROR(SQRT(AQ39),"-")</f>
        <v>0.4330127018922193</v>
      </c>
      <c r="AS39" s="176">
        <f>IFERROR(AR39/AP39,"-")</f>
        <v>0.13323467750529824</v>
      </c>
      <c r="AT39" s="48"/>
      <c r="AU39" s="48"/>
      <c r="AV39" s="48"/>
      <c r="AW39" s="48"/>
      <c r="AX39" s="48"/>
      <c r="AY39" s="48"/>
      <c r="AZ39" s="48"/>
      <c r="BA39" s="48"/>
      <c r="BB39" s="48"/>
      <c r="BC39" s="48"/>
      <c r="BD39" s="48"/>
      <c r="BE39" s="48"/>
      <c r="BF39" s="48"/>
      <c r="BG39" s="48"/>
      <c r="BH39" s="48"/>
      <c r="BI39" s="48"/>
      <c r="BJ39" s="48"/>
      <c r="BK39" s="48"/>
      <c r="BL39" s="48"/>
      <c r="BM39" s="48"/>
      <c r="BN39" s="48"/>
      <c r="BO39" s="48"/>
      <c r="BP39" s="48"/>
      <c r="BQ39" s="60" t="str">
        <f>Tabulacao!EM33</f>
        <v>Blumenau - SC</v>
      </c>
      <c r="BR39" s="52">
        <f>COUNTIF(Respostas_Formatadas!$BC:$BC,EmpAtual!BQ39)</f>
        <v>1</v>
      </c>
      <c r="BS39" s="53">
        <f t="shared" si="10"/>
        <v>6.993006993006993E-3</v>
      </c>
      <c r="BT39" s="48"/>
      <c r="BU39" s="52">
        <v>31</v>
      </c>
      <c r="BV39" s="60" t="str">
        <f t="array" ref="BV39">INDEX($BQ$49:$BQ$82,SMALL(IF($BR$49:$BR$82=BW39,ROW($BR$49:$BR$82)-48),COUNTIF($BW$9:BW39,BW39)))</f>
        <v>Blumenau - SC</v>
      </c>
      <c r="BW39" s="52">
        <f t="shared" si="11"/>
        <v>0</v>
      </c>
      <c r="BX39" s="53">
        <f t="shared" si="12"/>
        <v>0</v>
      </c>
      <c r="BY39" s="48"/>
      <c r="BZ39" s="48"/>
      <c r="CA39" s="48"/>
      <c r="CB39" s="48"/>
      <c r="CC39" s="48"/>
      <c r="CD39" s="48"/>
      <c r="CE39" s="48"/>
      <c r="CF39" s="48"/>
      <c r="CG39" s="48"/>
      <c r="CH39" s="48"/>
      <c r="CI39" s="48"/>
      <c r="CJ39" s="48"/>
      <c r="CK39" s="48"/>
      <c r="CL39" s="48"/>
      <c r="CM39" s="48"/>
      <c r="CN39" s="48"/>
      <c r="CO39" s="48"/>
      <c r="CP39" s="48"/>
      <c r="CQ39" s="48"/>
      <c r="CR39" s="48"/>
      <c r="CS39" s="48"/>
      <c r="CT39" s="48"/>
      <c r="CU39" s="48"/>
      <c r="CV39" s="48"/>
      <c r="CW39" s="48"/>
      <c r="CX39" s="48"/>
      <c r="CY39" s="48"/>
      <c r="CZ39" s="206" t="str">
        <f>CZ16</f>
        <v>Moda</v>
      </c>
      <c r="DA39" s="208">
        <f>IFERROR(INDEX($CZ$32:$DA$36,MATCH(LARGE($DA$32:$DA$36,1),$DA$32:$DA$36,0),1),"-")</f>
        <v>5</v>
      </c>
      <c r="DB39" s="204" t="s">
        <v>933</v>
      </c>
      <c r="DC39" s="208">
        <f>DA16</f>
        <v>3</v>
      </c>
      <c r="DD39" s="204" t="s">
        <v>933</v>
      </c>
      <c r="DE39" s="48"/>
      <c r="DF39" s="48"/>
      <c r="DG39" s="60" t="str">
        <f t="shared" si="31"/>
        <v>Pouca experiência profissional</v>
      </c>
      <c r="DH39" s="52">
        <f>COUNTIFS(Respostas_Formatadas!$C:$C,EmpAtual!$DG$30,Respostas_Formatadas!$CH:$CH,EmpAtual!$DG39)+COUNTIFS(Respostas_Formatadas!$C:$C,EmpAtual!$DG$30,Respostas_Formatadas!$CI:$CI,EmpAtual!$DG39)+COUNTIFS(Respostas_Formatadas!$C:$C,EmpAtual!$DG$30,Respostas_Formatadas!$CJ:$CJ,EmpAtual!$DG39)</f>
        <v>8</v>
      </c>
      <c r="DI39" s="53">
        <f t="shared" si="34"/>
        <v>0.42105263157894735</v>
      </c>
      <c r="DJ39" s="48"/>
      <c r="DK39" s="48"/>
      <c r="DL39" s="60" t="str">
        <f t="shared" si="35"/>
        <v>Experiências internacionais</v>
      </c>
      <c r="DM39" s="52">
        <f>COUNTIFS(Respostas_Formatadas!$C:$C,EmpAtual!$DL$30,Respostas_Formatadas!$CK:$CK,EmpAtual!$DL39)+COUNTIFS(Respostas_Formatadas!$C:$C,EmpAtual!$DL$30,Respostas_Formatadas!$CL:$CL,EmpAtual!$DL39)+COUNTIFS(Respostas_Formatadas!$C:$C,EmpAtual!$DL$30,Respostas_Formatadas!$CM:$CM,EmpAtual!$DL39)</f>
        <v>1</v>
      </c>
      <c r="DN39" s="53">
        <f t="shared" si="36"/>
        <v>5.2631578947368418E-2</v>
      </c>
      <c r="DO39" s="48"/>
      <c r="DP39" s="48"/>
    </row>
    <row r="40" spans="2:120" x14ac:dyDescent="0.2">
      <c r="B40" s="48"/>
      <c r="C40" s="323"/>
      <c r="D40" s="48"/>
      <c r="E40" s="48"/>
      <c r="F40" s="48"/>
      <c r="G40" s="48"/>
      <c r="H40" s="48"/>
      <c r="I40" s="48"/>
      <c r="J40" s="48"/>
      <c r="K40" s="48"/>
      <c r="L40" s="48"/>
      <c r="M40" s="52">
        <v>32</v>
      </c>
      <c r="N40" s="51" t="s">
        <v>1221</v>
      </c>
      <c r="O40" s="70">
        <v>1</v>
      </c>
      <c r="P40" s="53">
        <f t="shared" si="3"/>
        <v>6.5359477124183009E-3</v>
      </c>
      <c r="Q40" s="48"/>
      <c r="R40" s="52">
        <v>32</v>
      </c>
      <c r="S40" s="51" t="str">
        <f t="array" ref="S40">INDEX($N$103:$N$188,SMALL(IF($O$103:$O$188=T40,ROW($O$103:$O$188)-102),COUNTIF($T$9:T40,T40)))</f>
        <v>Orçamentista</v>
      </c>
      <c r="T40" s="70">
        <f t="shared" si="4"/>
        <v>0</v>
      </c>
      <c r="U40" s="53">
        <f t="shared" si="5"/>
        <v>0</v>
      </c>
      <c r="V40" s="48"/>
      <c r="W40" s="48"/>
      <c r="X40" s="48"/>
      <c r="Y40" s="48"/>
      <c r="Z40" s="48"/>
      <c r="AA40" s="48"/>
      <c r="AB40" s="48"/>
      <c r="AC40" s="48"/>
      <c r="AD40" s="48"/>
      <c r="AE40" s="48"/>
      <c r="AF40" s="48"/>
      <c r="AG40" s="198">
        <f t="shared" si="38"/>
        <v>41</v>
      </c>
      <c r="AH40" s="274" t="str">
        <f t="shared" si="38"/>
        <v>(1) Nem um pouco apropriado ... a ... (5) Totalmente apropriado</v>
      </c>
      <c r="AI40" s="199" t="str">
        <f t="shared" si="38"/>
        <v>Na sua opinião, em que medida o seu emprego está apropriado ao seu nível de educação?</v>
      </c>
      <c r="AJ40" s="204">
        <f>IFERROR(AJ$32/SUM($AJ$32:$AN$32),"-")</f>
        <v>0</v>
      </c>
      <c r="AK40" s="204">
        <f>IFERROR(AK$32/SUM($AJ$32:$AN$32),"-")</f>
        <v>0.375</v>
      </c>
      <c r="AL40" s="204">
        <f>IFERROR(AL$32/SUM($AJ$32:$AN$32),"-")</f>
        <v>0.375</v>
      </c>
      <c r="AM40" s="204">
        <f>IFERROR(AM$32/SUM($AJ$32:$AN$32),"-")</f>
        <v>0.25</v>
      </c>
      <c r="AN40" s="204">
        <f>IFERROR(AN$32/SUM($AJ$32:$AN$32),"-")</f>
        <v>0</v>
      </c>
      <c r="AO40" s="193">
        <f t="shared" si="39"/>
        <v>1</v>
      </c>
      <c r="AP40" s="202">
        <f>SUMPRODUCT($AJ$35:$AN$35,AJ40:AN40)</f>
        <v>2.875</v>
      </c>
      <c r="AQ40" s="202">
        <f>(AJ40*($AJ$27-$AP32)^2)+(AK40*($AK$27-$AP32)^2)+(AL40*($AL$27-$AP32)^2)+(AM40*($AM$27-$AP32)^2)+(AN40*($AN$27-$AP32)^2)</f>
        <v>0.609375</v>
      </c>
      <c r="AR40" s="202">
        <f>IFERROR(SQRT(AQ40),"-")</f>
        <v>0.78062474979979979</v>
      </c>
      <c r="AS40" s="203">
        <f>IFERROR(AR40/AP40,"-")</f>
        <v>0.2715216521042782</v>
      </c>
      <c r="AT40" s="48"/>
      <c r="AU40" s="48"/>
      <c r="AV40" s="48"/>
      <c r="AW40" s="48"/>
      <c r="AX40" s="48"/>
      <c r="AY40" s="48"/>
      <c r="AZ40" s="48"/>
      <c r="BA40" s="48"/>
      <c r="BB40" s="48"/>
      <c r="BC40" s="48"/>
      <c r="BD40" s="48"/>
      <c r="BE40" s="48"/>
      <c r="BF40" s="48"/>
      <c r="BG40" s="48"/>
      <c r="BH40" s="48"/>
      <c r="BI40" s="48"/>
      <c r="BJ40" s="48"/>
      <c r="BK40" s="48"/>
      <c r="BL40" s="48"/>
      <c r="BM40" s="48"/>
      <c r="BN40" s="48"/>
      <c r="BO40" s="48"/>
      <c r="BP40" s="48"/>
      <c r="BQ40" s="60" t="str">
        <f>Tabulacao!EM34</f>
        <v>São Miguel do Aleixo</v>
      </c>
      <c r="BR40" s="52">
        <f>COUNTIF(Respostas_Formatadas!$BC:$BC,EmpAtual!BQ40)</f>
        <v>1</v>
      </c>
      <c r="BS40" s="53">
        <f t="shared" si="10"/>
        <v>6.993006993006993E-3</v>
      </c>
      <c r="BT40" s="48"/>
      <c r="BU40" s="52">
        <v>32</v>
      </c>
      <c r="BV40" s="60" t="str">
        <f t="array" ref="BV40">INDEX($BQ$49:$BQ$82,SMALL(IF($BR$49:$BR$82=BW40,ROW($BR$49:$BR$82)-48),COUNTIF($BW$9:BW40,BW40)))</f>
        <v>São Miguel do Aleixo</v>
      </c>
      <c r="BW40" s="52">
        <f t="shared" si="11"/>
        <v>0</v>
      </c>
      <c r="BX40" s="53">
        <f t="shared" si="12"/>
        <v>0</v>
      </c>
      <c r="BY40" s="48"/>
      <c r="BZ40" s="48"/>
      <c r="CA40" s="48"/>
      <c r="CB40" s="48"/>
      <c r="CC40" s="88"/>
      <c r="CD40" s="48"/>
      <c r="CE40" s="48"/>
      <c r="CF40" s="48"/>
      <c r="CG40" s="48"/>
      <c r="CH40" s="48"/>
      <c r="CI40" s="48"/>
      <c r="CJ40" s="48"/>
      <c r="CK40" s="48"/>
      <c r="CL40" s="48"/>
      <c r="CM40" s="48"/>
      <c r="CN40" s="48"/>
      <c r="CO40" s="48"/>
      <c r="CP40" s="88"/>
      <c r="CQ40" s="48"/>
      <c r="CR40" s="48"/>
      <c r="CS40" s="48"/>
      <c r="CT40" s="48"/>
      <c r="CU40" s="48"/>
      <c r="CV40" s="48"/>
      <c r="CW40" s="48"/>
      <c r="CX40" s="48"/>
      <c r="CY40" s="48"/>
      <c r="CZ40" s="206" t="str">
        <f>CZ17</f>
        <v>Desvio Padrão</v>
      </c>
      <c r="DA40" s="207">
        <f>SQRT(DA41)</f>
        <v>1.9736647172526642</v>
      </c>
      <c r="DB40" s="204" t="s">
        <v>933</v>
      </c>
      <c r="DC40" s="207">
        <f>DA17</f>
        <v>1.2858711189871814</v>
      </c>
      <c r="DD40" s="204" t="s">
        <v>933</v>
      </c>
      <c r="DE40" s="48"/>
      <c r="DF40" s="48"/>
      <c r="DG40" s="60" t="str">
        <f t="shared" si="31"/>
        <v>Falta de cursos de aperfeiçoamento</v>
      </c>
      <c r="DH40" s="52">
        <f>COUNTIFS(Respostas_Formatadas!$C:$C,EmpAtual!$DG$30,Respostas_Formatadas!$CH:$CH,EmpAtual!$DG40)+COUNTIFS(Respostas_Formatadas!$C:$C,EmpAtual!$DG$30,Respostas_Formatadas!$CI:$CI,EmpAtual!$DG40)+COUNTIFS(Respostas_Formatadas!$C:$C,EmpAtual!$DG$30,Respostas_Formatadas!$CJ:$CJ,EmpAtual!$DG40)</f>
        <v>1</v>
      </c>
      <c r="DI40" s="53">
        <f t="shared" si="34"/>
        <v>5.2631578947368418E-2</v>
      </c>
      <c r="DJ40" s="48"/>
      <c r="DK40" s="48"/>
      <c r="DL40" s="60" t="str">
        <f t="shared" si="35"/>
        <v>Experiência profissional</v>
      </c>
      <c r="DM40" s="52">
        <f>COUNTIFS(Respostas_Formatadas!$C:$C,EmpAtual!$DL$30,Respostas_Formatadas!$CK:$CK,EmpAtual!$DL40)+COUNTIFS(Respostas_Formatadas!$C:$C,EmpAtual!$DL$30,Respostas_Formatadas!$CL:$CL,EmpAtual!$DL40)+COUNTIFS(Respostas_Formatadas!$C:$C,EmpAtual!$DL$30,Respostas_Formatadas!$CM:$CM,EmpAtual!$DL40)</f>
        <v>10</v>
      </c>
      <c r="DN40" s="53">
        <f t="shared" si="36"/>
        <v>0.52631578947368418</v>
      </c>
      <c r="DO40" s="48"/>
      <c r="DP40" s="48"/>
    </row>
    <row r="41" spans="2:120" x14ac:dyDescent="0.2">
      <c r="B41" s="48"/>
      <c r="C41" s="323"/>
      <c r="D41" s="48"/>
      <c r="E41" s="48"/>
      <c r="F41" s="100" t="s">
        <v>1058</v>
      </c>
      <c r="G41" s="101">
        <f>G17</f>
        <v>97</v>
      </c>
      <c r="H41" s="102">
        <f>G41/$G$46</f>
        <v>0.35793357933579334</v>
      </c>
      <c r="I41" s="48"/>
      <c r="J41" s="48"/>
      <c r="K41" s="48"/>
      <c r="L41" s="48"/>
      <c r="M41" s="52">
        <v>33</v>
      </c>
      <c r="N41" s="51" t="s">
        <v>1112</v>
      </c>
      <c r="O41" s="70">
        <v>1</v>
      </c>
      <c r="P41" s="53">
        <f t="shared" si="3"/>
        <v>6.5359477124183009E-3</v>
      </c>
      <c r="Q41" s="48"/>
      <c r="R41" s="52">
        <v>33</v>
      </c>
      <c r="S41" s="51" t="str">
        <f t="array" ref="S41">INDEX($N$103:$N$188,SMALL(IF($O$103:$O$188=T41,ROW($O$103:$O$188)-102),COUNTIF($T$9:T41,T41)))</f>
        <v>Porteira</v>
      </c>
      <c r="T41" s="70">
        <f t="shared" si="4"/>
        <v>0</v>
      </c>
      <c r="U41" s="53">
        <f t="shared" si="5"/>
        <v>0</v>
      </c>
      <c r="V41" s="48"/>
      <c r="W41" s="197" t="s">
        <v>620</v>
      </c>
      <c r="X41" s="187" t="s">
        <v>160</v>
      </c>
      <c r="Y41" s="187" t="s">
        <v>161</v>
      </c>
      <c r="Z41" s="187" t="s">
        <v>162</v>
      </c>
      <c r="AA41" s="187" t="s">
        <v>977</v>
      </c>
      <c r="AB41" s="187" t="s">
        <v>978</v>
      </c>
      <c r="AC41" s="187" t="s">
        <v>975</v>
      </c>
      <c r="AD41" s="187" t="s">
        <v>976</v>
      </c>
      <c r="AE41" s="187" t="s">
        <v>131</v>
      </c>
      <c r="AF41" s="48"/>
      <c r="AG41" s="48"/>
      <c r="AH41" s="48"/>
      <c r="AI41" s="48"/>
      <c r="AJ41" s="48"/>
      <c r="AK41" s="48"/>
      <c r="AL41" s="48"/>
      <c r="AM41" s="48"/>
      <c r="AN41" s="48"/>
      <c r="AO41" s="48"/>
      <c r="AP41" s="48"/>
      <c r="AQ41" s="48"/>
      <c r="AR41" s="48"/>
      <c r="AS41" s="48"/>
      <c r="AT41" s="48"/>
      <c r="AU41" s="48"/>
      <c r="AV41" s="48"/>
      <c r="AW41" s="48"/>
      <c r="AX41" s="48"/>
      <c r="AY41" s="48"/>
      <c r="AZ41" s="48"/>
      <c r="BA41" s="48"/>
      <c r="BB41" s="48"/>
      <c r="BC41" s="48"/>
      <c r="BD41" s="48"/>
      <c r="BE41" s="48"/>
      <c r="BF41" s="48"/>
      <c r="BG41" s="48"/>
      <c r="BH41" s="48"/>
      <c r="BI41" s="48"/>
      <c r="BJ41" s="48"/>
      <c r="BK41" s="48"/>
      <c r="BL41" s="48"/>
      <c r="BM41" s="48"/>
      <c r="BN41" s="48"/>
      <c r="BO41" s="48"/>
      <c r="BP41" s="48"/>
      <c r="BQ41" s="60" t="str">
        <f>Tabulacao!EM35</f>
        <v>Carmópolis</v>
      </c>
      <c r="BR41" s="52">
        <f>COUNTIF(Respostas_Formatadas!$BC:$BC,EmpAtual!BQ41)</f>
        <v>1</v>
      </c>
      <c r="BS41" s="53">
        <f t="shared" si="10"/>
        <v>6.993006993006993E-3</v>
      </c>
      <c r="BT41" s="48"/>
      <c r="BU41" s="52">
        <v>33</v>
      </c>
      <c r="BV41" s="60" t="str">
        <f t="array" ref="BV41">INDEX($BQ$49:$BQ$82,SMALL(IF($BR$49:$BR$82=BW41,ROW($BR$49:$BR$82)-48),COUNTIF($BW$9:BW41,BW41)))</f>
        <v>Carmópolis</v>
      </c>
      <c r="BW41" s="52">
        <f t="shared" si="11"/>
        <v>0</v>
      </c>
      <c r="BX41" s="53">
        <f t="shared" si="12"/>
        <v>0</v>
      </c>
      <c r="BY41" s="48"/>
      <c r="BZ41" s="48"/>
      <c r="CA41" s="48"/>
      <c r="CB41" s="90"/>
      <c r="CC41" s="90"/>
      <c r="CD41" s="48"/>
      <c r="CE41" s="48"/>
      <c r="CF41" s="48"/>
      <c r="CG41" s="48"/>
      <c r="CH41" s="48"/>
      <c r="CI41" s="48"/>
      <c r="CJ41" s="48"/>
      <c r="CK41" s="48"/>
      <c r="CL41" s="48"/>
      <c r="CM41" s="48"/>
      <c r="CN41" s="48"/>
      <c r="CO41" s="90"/>
      <c r="CP41" s="90"/>
      <c r="CQ41" s="48"/>
      <c r="CR41" s="48"/>
      <c r="CS41" s="48"/>
      <c r="CT41" s="48"/>
      <c r="CU41" s="48"/>
      <c r="CV41" s="48"/>
      <c r="CW41" s="48"/>
      <c r="CX41" s="48"/>
      <c r="CY41" s="48"/>
      <c r="CZ41" s="206" t="str">
        <f>CZ18</f>
        <v>Variância</v>
      </c>
      <c r="DA41" s="207">
        <f>(((DB32*CZ32)-DA38)^2+((DB33*CZ33)-DA38)^2+((DB34*CZ34)-DA38)^2+((DB35*CZ35)-DA38)^2+((DB36*CZ36)-DA38)^2)/(SUM(DA32:DA36)-1)</f>
        <v>3.8953524161280391</v>
      </c>
      <c r="DB41" s="204" t="s">
        <v>933</v>
      </c>
      <c r="DC41" s="207">
        <f>DA18</f>
        <v>1.653464534645346</v>
      </c>
      <c r="DD41" s="204" t="s">
        <v>933</v>
      </c>
      <c r="DE41" s="48"/>
      <c r="DF41" s="48"/>
      <c r="DG41" s="60" t="str">
        <f t="shared" si="31"/>
        <v>Discriminação (racial, cor, gênero, social, etc.)</v>
      </c>
      <c r="DH41" s="52">
        <f>COUNTIFS(Respostas_Formatadas!$C:$C,EmpAtual!$DG$30,Respostas_Formatadas!$CH:$CH,EmpAtual!$DG41)+COUNTIFS(Respostas_Formatadas!$C:$C,EmpAtual!$DG$30,Respostas_Formatadas!$CI:$CI,EmpAtual!$DG41)+COUNTIFS(Respostas_Formatadas!$C:$C,EmpAtual!$DG$30,Respostas_Formatadas!$CJ:$CJ,EmpAtual!$DG41)</f>
        <v>0</v>
      </c>
      <c r="DI41" s="53">
        <f t="shared" si="34"/>
        <v>0</v>
      </c>
      <c r="DJ41" s="48"/>
      <c r="DK41" s="48"/>
      <c r="DL41" s="60" t="str">
        <f t="shared" si="35"/>
        <v>Cursos de aperfeiçoamento</v>
      </c>
      <c r="DM41" s="52">
        <f>COUNTIFS(Respostas_Formatadas!$C:$C,EmpAtual!$DL$30,Respostas_Formatadas!$CK:$CK,EmpAtual!$DL41)+COUNTIFS(Respostas_Formatadas!$C:$C,EmpAtual!$DL$30,Respostas_Formatadas!$CL:$CL,EmpAtual!$DL41)+COUNTIFS(Respostas_Formatadas!$C:$C,EmpAtual!$DL$30,Respostas_Formatadas!$CM:$CM,EmpAtual!$DL41)</f>
        <v>4</v>
      </c>
      <c r="DN41" s="53">
        <f t="shared" si="36"/>
        <v>0.21052631578947367</v>
      </c>
      <c r="DO41" s="48"/>
      <c r="DP41" s="48"/>
    </row>
    <row r="42" spans="2:120" x14ac:dyDescent="0.2">
      <c r="B42" s="48"/>
      <c r="C42" s="323"/>
      <c r="D42" s="48"/>
      <c r="E42" s="48"/>
      <c r="F42" s="103" t="s">
        <v>1059</v>
      </c>
      <c r="G42" s="104">
        <f>G11</f>
        <v>17</v>
      </c>
      <c r="H42" s="105">
        <f>G42/$G$46</f>
        <v>6.273062730627306E-2</v>
      </c>
      <c r="I42" s="48"/>
      <c r="J42" s="48"/>
      <c r="K42" s="48"/>
      <c r="L42" s="48"/>
      <c r="M42" s="52">
        <v>34</v>
      </c>
      <c r="N42" s="51" t="s">
        <v>414</v>
      </c>
      <c r="O42" s="70">
        <v>1</v>
      </c>
      <c r="P42" s="53">
        <f t="shared" si="3"/>
        <v>6.5359477124183009E-3</v>
      </c>
      <c r="Q42" s="48"/>
      <c r="R42" s="52">
        <v>34</v>
      </c>
      <c r="S42" s="51" t="str">
        <f t="array" ref="S42">INDEX($N$103:$N$188,SMALL(IF($O$103:$O$188=T42,ROW($O$103:$O$188)-102),COUNTIF($T$9:T42,T42)))</f>
        <v>Motorista</v>
      </c>
      <c r="T42" s="70">
        <f t="shared" si="4"/>
        <v>0</v>
      </c>
      <c r="U42" s="53">
        <f t="shared" si="5"/>
        <v>0</v>
      </c>
      <c r="V42" s="48"/>
      <c r="W42" s="51" t="s">
        <v>119</v>
      </c>
      <c r="X42" s="69">
        <f t="shared" ref="X42:X53" ca="1" si="40">AVERAGEIF($W$56:$X$203,$W42,$X$56:$X$203)</f>
        <v>4813.652173913043</v>
      </c>
      <c r="Y42" s="69">
        <f>IFERROR(_xlfn.MODE.SNGL($X$56:$X$78),"-")</f>
        <v>5000</v>
      </c>
      <c r="Z42" s="69">
        <f>IFERROR(MEDIAN($X$56:$X$78),"-")</f>
        <v>3000</v>
      </c>
      <c r="AA42" s="69">
        <f>IFERROR(_xlfn.STDEV.S($X$56:$X$78),"-")</f>
        <v>5585.6663524409078</v>
      </c>
      <c r="AB42" s="69">
        <f t="shared" ref="AB42:AB53" si="41">IFERROR(AA42^2,"-")</f>
        <v>31199668.600790516</v>
      </c>
      <c r="AC42" s="69">
        <f>IFERROR(MAX($X$56:$X$78),"-")</f>
        <v>26100</v>
      </c>
      <c r="AD42" s="69">
        <f>IFERROR(MIN($X$56:$X$78),"-")</f>
        <v>1200</v>
      </c>
      <c r="AE42" s="70">
        <f t="shared" ref="AE42:AE53" si="42">COUNTIF($W$56:$X$203,$W42)</f>
        <v>23</v>
      </c>
      <c r="AF42" s="48"/>
      <c r="AG42" s="48"/>
      <c r="AH42" s="48"/>
      <c r="AI42" s="48"/>
      <c r="AJ42" s="48"/>
      <c r="AK42" s="48"/>
      <c r="AL42" s="48"/>
      <c r="AM42" s="48"/>
      <c r="AN42" s="48"/>
      <c r="AO42" s="48"/>
      <c r="AP42" s="48"/>
      <c r="AQ42" s="48"/>
      <c r="AR42" s="48"/>
      <c r="AS42" s="48"/>
      <c r="AT42" s="48"/>
      <c r="AU42" s="48"/>
      <c r="AV42" s="48"/>
      <c r="AW42" s="48"/>
      <c r="AX42" s="48"/>
      <c r="AY42" s="48"/>
      <c r="AZ42" s="48"/>
      <c r="BA42" s="48"/>
      <c r="BB42" s="48"/>
      <c r="BC42" s="48"/>
      <c r="BD42" s="48"/>
      <c r="BE42" s="48"/>
      <c r="BF42" s="48"/>
      <c r="BG42" s="48"/>
      <c r="BH42" s="48"/>
      <c r="BI42" s="48"/>
      <c r="BJ42" s="48"/>
      <c r="BK42" s="48"/>
      <c r="BL42" s="48"/>
      <c r="BM42" s="48"/>
      <c r="BN42" s="48"/>
      <c r="BO42" s="48"/>
      <c r="BP42" s="48"/>
      <c r="BQ42" s="60" t="str">
        <f>Tabulacao!EM36</f>
        <v>Riachão do Jacuípe - BA</v>
      </c>
      <c r="BR42" s="52">
        <f>COUNTIF(Respostas_Formatadas!$BC:$BC,EmpAtual!BQ42)</f>
        <v>1</v>
      </c>
      <c r="BS42" s="53">
        <f t="shared" si="10"/>
        <v>6.993006993006993E-3</v>
      </c>
      <c r="BT42" s="273"/>
      <c r="BU42" s="52">
        <v>34</v>
      </c>
      <c r="BV42" s="60" t="str">
        <f t="array" ref="BV42">INDEX($BQ$49:$BQ$82,SMALL(IF($BR$49:$BR$82=BW42,ROW($BR$49:$BR$82)-48),COUNTIF($BW$9:BW42,BW42)))</f>
        <v>Riachão do Jacuípe - BA</v>
      </c>
      <c r="BW42" s="52">
        <f t="shared" si="11"/>
        <v>0</v>
      </c>
      <c r="BX42" s="53">
        <f t="shared" si="12"/>
        <v>0</v>
      </c>
      <c r="BY42" s="48"/>
      <c r="BZ42" s="341" t="s">
        <v>1159</v>
      </c>
      <c r="CA42" s="261" t="s">
        <v>120</v>
      </c>
      <c r="CB42" s="48"/>
      <c r="CC42" s="48"/>
      <c r="CD42" s="48"/>
      <c r="CE42" s="48"/>
      <c r="CF42" s="48"/>
      <c r="CG42" s="48"/>
      <c r="CH42" s="48"/>
      <c r="CI42" s="48"/>
      <c r="CJ42" s="48"/>
      <c r="CK42" s="48"/>
      <c r="CL42" s="48"/>
      <c r="CM42" s="341" t="s">
        <v>1159</v>
      </c>
      <c r="CN42" s="261" t="s">
        <v>120</v>
      </c>
      <c r="CO42" s="48"/>
      <c r="CP42" s="48"/>
      <c r="CQ42" s="48"/>
      <c r="CR42" s="48"/>
      <c r="CS42" s="48"/>
      <c r="CT42" s="48"/>
      <c r="CU42" s="48"/>
      <c r="CV42" s="48"/>
      <c r="CW42" s="48"/>
      <c r="CX42" s="48"/>
      <c r="CY42" s="48"/>
      <c r="CZ42" s="206" t="str">
        <f>CZ19</f>
        <v>CV</v>
      </c>
      <c r="DA42" s="209">
        <f>DA40/DA38</f>
        <v>0.44117211326824257</v>
      </c>
      <c r="DB42" s="204" t="s">
        <v>933</v>
      </c>
      <c r="DC42" s="209">
        <f>DA19</f>
        <v>0.3959898559608252</v>
      </c>
      <c r="DD42" s="204" t="s">
        <v>933</v>
      </c>
      <c r="DE42" s="48"/>
      <c r="DF42" s="48"/>
      <c r="DG42" s="191" t="s">
        <v>621</v>
      </c>
      <c r="DH42" s="192">
        <f>VLOOKUP($DG$30,CaractAmostra!$E$8:$F$21,2,0)</f>
        <v>19</v>
      </c>
      <c r="DI42" s="193" t="s">
        <v>933</v>
      </c>
      <c r="DJ42" s="48"/>
      <c r="DK42" s="48"/>
      <c r="DL42" s="60" t="str">
        <f t="shared" si="35"/>
        <v>Discriminação (racial, cor, gênero, social, etc.)</v>
      </c>
      <c r="DM42" s="52">
        <f>COUNTIFS(Respostas_Formatadas!$C:$C,EmpAtual!$DL$30,Respostas_Formatadas!$CK:$CK,EmpAtual!$DL42)+COUNTIFS(Respostas_Formatadas!$C:$C,EmpAtual!$DL$30,Respostas_Formatadas!$CL:$CL,EmpAtual!$DL42)+COUNTIFS(Respostas_Formatadas!$C:$C,EmpAtual!$DL$30,Respostas_Formatadas!$CM:$CM,EmpAtual!$DL42)</f>
        <v>0</v>
      </c>
      <c r="DN42" s="53">
        <f t="shared" si="36"/>
        <v>0</v>
      </c>
      <c r="DO42" s="48"/>
      <c r="DP42" s="48"/>
    </row>
    <row r="43" spans="2:120" ht="25.5" x14ac:dyDescent="0.2">
      <c r="B43" s="48"/>
      <c r="C43" s="323"/>
      <c r="D43" s="48"/>
      <c r="E43" s="48"/>
      <c r="F43" s="106" t="s">
        <v>1061</v>
      </c>
      <c r="G43" s="107">
        <f>SUM(G9:G10)+G24</f>
        <v>157</v>
      </c>
      <c r="H43" s="108">
        <f>G43/$G$46</f>
        <v>0.57933579335793361</v>
      </c>
      <c r="I43" s="48"/>
      <c r="J43" s="48"/>
      <c r="K43" s="48"/>
      <c r="L43" s="48"/>
      <c r="M43" s="52">
        <v>35</v>
      </c>
      <c r="N43" s="51" t="s">
        <v>1119</v>
      </c>
      <c r="O43" s="70">
        <v>1</v>
      </c>
      <c r="P43" s="53">
        <f t="shared" si="3"/>
        <v>6.5359477124183009E-3</v>
      </c>
      <c r="Q43" s="48"/>
      <c r="R43" s="52">
        <v>35</v>
      </c>
      <c r="S43" s="51" t="str">
        <f t="array" ref="S43">INDEX($N$103:$N$188,SMALL(IF($O$103:$O$188=T43,ROW($O$103:$O$188)-102),COUNTIF($T$9:T43,T43)))</f>
        <v>Condutor de Ambulância</v>
      </c>
      <c r="T43" s="70">
        <f t="shared" si="4"/>
        <v>0</v>
      </c>
      <c r="U43" s="53">
        <f t="shared" si="5"/>
        <v>0</v>
      </c>
      <c r="V43" s="48"/>
      <c r="W43" s="51" t="s">
        <v>120</v>
      </c>
      <c r="X43" s="69">
        <f t="shared" ca="1" si="40"/>
        <v>3845.2352941176468</v>
      </c>
      <c r="Y43" s="69">
        <f>IFERROR(_xlfn.MODE.SNGL($X$79:$X$95),"-")</f>
        <v>3000</v>
      </c>
      <c r="Z43" s="69">
        <f>IFERROR(MEDIAN($X$79:$X$95),"-")</f>
        <v>3000</v>
      </c>
      <c r="AA43" s="69">
        <f>IFERROR(_xlfn.STDEV.S($X$79:$X$95),"-")</f>
        <v>1892.5405388462543</v>
      </c>
      <c r="AB43" s="69">
        <f t="shared" si="41"/>
        <v>3581709.6911764708</v>
      </c>
      <c r="AC43" s="69">
        <f>IFERROR(MAX($X$79:$X$95),"-")</f>
        <v>8000</v>
      </c>
      <c r="AD43" s="69">
        <f>IFERROR(MIN($X$79:$X$95),"-")</f>
        <v>1800</v>
      </c>
      <c r="AE43" s="70">
        <f t="shared" si="42"/>
        <v>17</v>
      </c>
      <c r="AF43" s="48"/>
      <c r="AG43" s="48"/>
      <c r="AH43" s="48"/>
      <c r="AI43" s="48"/>
      <c r="AJ43" s="48"/>
      <c r="AK43" s="48"/>
      <c r="AL43" s="48"/>
      <c r="AM43" s="48"/>
      <c r="AN43" s="48"/>
      <c r="AO43" s="48"/>
      <c r="AP43" s="48"/>
      <c r="AQ43" s="48"/>
      <c r="AR43" s="48"/>
      <c r="AS43" s="48"/>
      <c r="AT43" s="48"/>
      <c r="AU43" s="48"/>
      <c r="AV43" s="48"/>
      <c r="AW43" s="48"/>
      <c r="AX43" s="48"/>
      <c r="AY43" s="48"/>
      <c r="AZ43" s="48"/>
      <c r="BA43" s="48"/>
      <c r="BB43" s="48"/>
      <c r="BC43" s="48"/>
      <c r="BD43" s="48"/>
      <c r="BE43" s="48"/>
      <c r="BF43" s="48"/>
      <c r="BG43" s="48"/>
      <c r="BH43" s="48"/>
      <c r="BI43" s="48"/>
      <c r="BJ43" s="48"/>
      <c r="BK43" s="48"/>
      <c r="BL43" s="48"/>
      <c r="BM43" s="48"/>
      <c r="BN43" s="48"/>
      <c r="BO43" s="48"/>
      <c r="BP43" s="48"/>
      <c r="BQ43" s="93" t="s">
        <v>621</v>
      </c>
      <c r="BR43" s="94">
        <f>SUM(BR9:BR42)</f>
        <v>143</v>
      </c>
      <c r="BS43" s="95">
        <f>SUM(BS9:BS42)</f>
        <v>0.99999999999999956</v>
      </c>
      <c r="BT43" s="48"/>
      <c r="BU43" s="159" t="s">
        <v>933</v>
      </c>
      <c r="BV43" s="191" t="s">
        <v>621</v>
      </c>
      <c r="BW43" s="192">
        <f>SUM(BW9:BW42)</f>
        <v>5</v>
      </c>
      <c r="BX43" s="193">
        <f>SUM(BX9:BX42)</f>
        <v>1</v>
      </c>
      <c r="BY43" s="48"/>
      <c r="BZ43" s="187" t="str">
        <f>BZ8</f>
        <v>Q</v>
      </c>
      <c r="CA43" s="186" t="s">
        <v>1264</v>
      </c>
      <c r="CB43" s="187">
        <f t="shared" ref="CB43:CH43" si="43">CB8</f>
        <v>1</v>
      </c>
      <c r="CC43" s="187">
        <f t="shared" si="43"/>
        <v>2</v>
      </c>
      <c r="CD43" s="187">
        <f t="shared" si="43"/>
        <v>3</v>
      </c>
      <c r="CE43" s="187">
        <f t="shared" si="43"/>
        <v>4</v>
      </c>
      <c r="CF43" s="187">
        <f t="shared" si="43"/>
        <v>5</v>
      </c>
      <c r="CG43" s="187" t="str">
        <f t="shared" si="43"/>
        <v>Total</v>
      </c>
      <c r="CH43" s="187" t="str">
        <f t="shared" si="43"/>
        <v>Média</v>
      </c>
      <c r="CI43" s="48"/>
      <c r="CJ43" s="48"/>
      <c r="CK43" s="48"/>
      <c r="CL43" s="48"/>
      <c r="CM43" s="187" t="str">
        <f>CM8</f>
        <v>Q</v>
      </c>
      <c r="CN43" s="279" t="s">
        <v>1265</v>
      </c>
      <c r="CO43" s="187">
        <f t="shared" ref="CO43:CU43" si="44">CO8</f>
        <v>1</v>
      </c>
      <c r="CP43" s="187">
        <f t="shared" si="44"/>
        <v>2</v>
      </c>
      <c r="CQ43" s="187">
        <f t="shared" si="44"/>
        <v>3</v>
      </c>
      <c r="CR43" s="187">
        <f t="shared" si="44"/>
        <v>4</v>
      </c>
      <c r="CS43" s="187">
        <f t="shared" si="44"/>
        <v>5</v>
      </c>
      <c r="CT43" s="187" t="str">
        <f t="shared" si="44"/>
        <v>Total</v>
      </c>
      <c r="CU43" s="187" t="str">
        <f t="shared" si="44"/>
        <v>Média</v>
      </c>
      <c r="CV43" s="48"/>
      <c r="CW43" s="48"/>
      <c r="CX43" s="48"/>
      <c r="CY43" s="48"/>
      <c r="CZ43" s="48"/>
      <c r="DA43" s="48"/>
      <c r="DB43" s="48"/>
      <c r="DC43" s="48"/>
      <c r="DD43" s="48"/>
      <c r="DE43" s="48"/>
      <c r="DF43" s="48"/>
      <c r="DG43" s="48"/>
      <c r="DH43" s="48"/>
      <c r="DI43" s="48"/>
      <c r="DJ43" s="48"/>
      <c r="DK43" s="48"/>
      <c r="DL43" s="191" t="s">
        <v>621</v>
      </c>
      <c r="DM43" s="192">
        <f>VLOOKUP($DL$30,CaractAmostra!$E$8:$F$21,2,0)</f>
        <v>19</v>
      </c>
      <c r="DN43" s="193" t="s">
        <v>933</v>
      </c>
      <c r="DO43" s="48"/>
      <c r="DP43" s="48"/>
    </row>
    <row r="44" spans="2:120" x14ac:dyDescent="0.2">
      <c r="B44" s="48"/>
      <c r="C44" s="323"/>
      <c r="D44" s="127"/>
      <c r="E44" s="227"/>
      <c r="F44" s="112" t="s">
        <v>1060</v>
      </c>
      <c r="G44" s="113">
        <f>G41+G42</f>
        <v>114</v>
      </c>
      <c r="H44" s="114">
        <f>G44/$G$46</f>
        <v>0.42066420664206644</v>
      </c>
      <c r="I44" s="48"/>
      <c r="J44" s="48"/>
      <c r="K44" s="48"/>
      <c r="L44" s="48"/>
      <c r="M44" s="52">
        <v>36</v>
      </c>
      <c r="N44" s="51" t="s">
        <v>1222</v>
      </c>
      <c r="O44" s="70">
        <v>1</v>
      </c>
      <c r="P44" s="53">
        <f t="shared" si="3"/>
        <v>6.5359477124183009E-3</v>
      </c>
      <c r="Q44" s="48"/>
      <c r="R44" s="52">
        <v>36</v>
      </c>
      <c r="S44" s="51" t="str">
        <f t="array" ref="S44">INDEX($N$103:$N$188,SMALL(IF($O$103:$O$188=T44,ROW($O$103:$O$188)-102),COUNTIF($T$9:T44,T44)))</f>
        <v>Servidor Público</v>
      </c>
      <c r="T44" s="70">
        <f t="shared" si="4"/>
        <v>0</v>
      </c>
      <c r="U44" s="53">
        <f t="shared" si="5"/>
        <v>0</v>
      </c>
      <c r="V44" s="48"/>
      <c r="W44" s="51" t="s">
        <v>123</v>
      </c>
      <c r="X44" s="69">
        <f t="shared" ca="1" si="40"/>
        <v>1700</v>
      </c>
      <c r="Y44" s="69" t="str">
        <f>IFERROR(_xlfn.MODE.SNGL($X$96),"-")</f>
        <v>-</v>
      </c>
      <c r="Z44" s="69">
        <f>IFERROR(MEDIAN($X$96),"-")</f>
        <v>1700</v>
      </c>
      <c r="AA44" s="69" t="str">
        <f>IFERROR(_xlfn.STDEV.S($X$96),"-")</f>
        <v>-</v>
      </c>
      <c r="AB44" s="69" t="str">
        <f t="shared" si="41"/>
        <v>-</v>
      </c>
      <c r="AC44" s="69">
        <f>IFERROR(MAX($X$96),"-")</f>
        <v>1700</v>
      </c>
      <c r="AD44" s="69">
        <f>IFERROR(MIN($X$96),"-")</f>
        <v>1700</v>
      </c>
      <c r="AE44" s="70">
        <f t="shared" si="42"/>
        <v>1</v>
      </c>
      <c r="AF44" s="48"/>
      <c r="AG44" s="48"/>
      <c r="AH44" s="48"/>
      <c r="AI44" s="48"/>
      <c r="AJ44" s="48"/>
      <c r="AK44" s="48"/>
      <c r="AL44" s="48"/>
      <c r="AM44" s="48"/>
      <c r="AN44" s="48"/>
      <c r="AO44" s="48"/>
      <c r="AP44" s="48"/>
      <c r="AQ44" s="48"/>
      <c r="AR44" s="48"/>
      <c r="AS44" s="48"/>
      <c r="AT44" s="48"/>
      <c r="AU44" s="48"/>
      <c r="AV44" s="48"/>
      <c r="AW44" s="48"/>
      <c r="AX44" s="48"/>
      <c r="AY44" s="48"/>
      <c r="AZ44" s="48"/>
      <c r="BA44" s="48"/>
      <c r="BB44" s="48"/>
      <c r="BC44" s="48"/>
      <c r="BD44" s="48"/>
      <c r="BE44" s="48"/>
      <c r="BF44" s="48"/>
      <c r="BG44" s="48"/>
      <c r="BH44" s="48"/>
      <c r="BI44" s="48"/>
      <c r="BJ44" s="48"/>
      <c r="BK44" s="48"/>
      <c r="BL44" s="48"/>
      <c r="BM44" s="48"/>
      <c r="BN44" s="48"/>
      <c r="BO44" s="48"/>
      <c r="BP44" s="48"/>
      <c r="BQ44" s="48"/>
      <c r="BR44" s="48"/>
      <c r="BS44" s="48"/>
      <c r="BT44" s="48"/>
      <c r="BU44" s="48"/>
      <c r="BV44" s="48"/>
      <c r="BW44" s="48"/>
      <c r="BX44" s="48"/>
      <c r="BY44" s="48"/>
      <c r="BZ44" s="198">
        <f>BZ26</f>
        <v>48</v>
      </c>
      <c r="CA44" s="199" t="str">
        <f>CA26</f>
        <v>Domínio em sua área ou disciplina</v>
      </c>
      <c r="CB44" s="201">
        <f>COUNTIFS(Respostas_Formatadas!$C:$C,EmpAtual!$CA$42,Respostas_Formatadas!$BG:$BG,EmpAtual!CB$43)</f>
        <v>0</v>
      </c>
      <c r="CC44" s="201">
        <f>COUNTIFS(Respostas_Formatadas!$C:$C,EmpAtual!$CA$42,Respostas_Formatadas!$BG:$BG,EmpAtual!CC$43)</f>
        <v>0</v>
      </c>
      <c r="CD44" s="201">
        <f>COUNTIFS(Respostas_Formatadas!$C:$C,EmpAtual!$CA$42,Respostas_Formatadas!$BG:$BG,EmpAtual!CD$43)</f>
        <v>1</v>
      </c>
      <c r="CE44" s="201">
        <f>COUNTIFS(Respostas_Formatadas!$C:$C,EmpAtual!$CA$42,Respostas_Formatadas!$BG:$BG,EmpAtual!CE$43)</f>
        <v>3</v>
      </c>
      <c r="CF44" s="201">
        <f>COUNTIFS(Respostas_Formatadas!$C:$C,EmpAtual!$CA$42,Respostas_Formatadas!$BG:$BG,EmpAtual!CF$43)</f>
        <v>14</v>
      </c>
      <c r="CG44" s="201">
        <f>SUM(CB44:CF44)</f>
        <v>18</v>
      </c>
      <c r="CH44" s="202">
        <f t="shared" ref="CH44:CH56" si="45">IFERROR(SUMPRODUCT($CB$43:$CF$43,CB44:CF44)/CG44,"-")</f>
        <v>4.7222222222222223</v>
      </c>
      <c r="CI44" s="48"/>
      <c r="CJ44" s="48"/>
      <c r="CK44" s="48"/>
      <c r="CL44" s="48"/>
      <c r="CM44" s="198">
        <f t="shared" ref="CM44:CM56" si="46">CM26</f>
        <v>61</v>
      </c>
      <c r="CN44" s="199" t="s">
        <v>48</v>
      </c>
      <c r="CO44" s="201">
        <f>COUNTIFS(Respostas_Formatadas!$C:$C,EmpAtual!$CN$42,Respostas_Formatadas!$BT:$BT,EmpAtual!CO$43)</f>
        <v>0</v>
      </c>
      <c r="CP44" s="201">
        <f>COUNTIFS(Respostas_Formatadas!$C:$C,EmpAtual!$CN$42,Respostas_Formatadas!$BT:$BT,EmpAtual!CP$43)</f>
        <v>0</v>
      </c>
      <c r="CQ44" s="201">
        <f>COUNTIFS(Respostas_Formatadas!$C:$C,EmpAtual!$CN$42,Respostas_Formatadas!$BT:$BT,EmpAtual!CQ$43)</f>
        <v>4</v>
      </c>
      <c r="CR44" s="201">
        <f>COUNTIFS(Respostas_Formatadas!$C:$C,EmpAtual!$CN$42,Respostas_Formatadas!$BT:$BT,EmpAtual!CR$43)</f>
        <v>8</v>
      </c>
      <c r="CS44" s="201">
        <f>COUNTIFS(Respostas_Formatadas!$C:$C,EmpAtual!$CN$42,Respostas_Formatadas!$BT:$BT,EmpAtual!CS$43)</f>
        <v>7</v>
      </c>
      <c r="CT44" s="201">
        <f>SUM(CO44:CS44)</f>
        <v>19</v>
      </c>
      <c r="CU44" s="202">
        <f t="shared" ref="CU44:CU56" si="47">IFERROR(SUMPRODUCT($CO$43:$CS$43,CO44:CS44)/CT44,"-")</f>
        <v>4.1578947368421053</v>
      </c>
      <c r="CV44" s="48"/>
      <c r="CW44" s="48"/>
      <c r="CX44" s="48"/>
      <c r="CY44" s="48"/>
      <c r="CZ44" s="48"/>
      <c r="DA44" s="48"/>
      <c r="DB44" s="48"/>
      <c r="DC44" s="48"/>
      <c r="DD44" s="48"/>
      <c r="DE44" s="48"/>
      <c r="DF44" s="48"/>
      <c r="DG44" s="48"/>
      <c r="DH44" s="48"/>
      <c r="DI44" s="48"/>
      <c r="DJ44" s="48"/>
      <c r="DK44" s="48"/>
      <c r="DL44" s="48"/>
      <c r="DM44" s="48"/>
      <c r="DN44" s="48"/>
      <c r="DO44" s="48"/>
      <c r="DP44" s="48"/>
    </row>
    <row r="45" spans="2:120" x14ac:dyDescent="0.2">
      <c r="B45" s="48"/>
      <c r="C45" s="323"/>
      <c r="D45" s="48"/>
      <c r="E45" s="227"/>
      <c r="F45" s="112" t="s">
        <v>1151</v>
      </c>
      <c r="G45" s="113">
        <f>G44-G62-G77</f>
        <v>90</v>
      </c>
      <c r="H45" s="114">
        <f>G45/$G$47</f>
        <v>0.40909090909090912</v>
      </c>
      <c r="I45" s="48"/>
      <c r="J45" s="48"/>
      <c r="K45" s="48"/>
      <c r="L45" s="48"/>
      <c r="M45" s="52">
        <v>37</v>
      </c>
      <c r="N45" s="51" t="s">
        <v>452</v>
      </c>
      <c r="O45" s="70">
        <v>1</v>
      </c>
      <c r="P45" s="53">
        <f t="shared" si="3"/>
        <v>6.5359477124183009E-3</v>
      </c>
      <c r="Q45" s="48"/>
      <c r="R45" s="52">
        <v>37</v>
      </c>
      <c r="S45" s="51" t="str">
        <f t="array" ref="S45">INDEX($N$103:$N$188,SMALL(IF($O$103:$O$188=T45,ROW($O$103:$O$188)-102),COUNTIF($T$9:T45,T45)))</f>
        <v>Agente Técnico de Fiscalização de Obras</v>
      </c>
      <c r="T45" s="70">
        <f t="shared" si="4"/>
        <v>0</v>
      </c>
      <c r="U45" s="53">
        <f t="shared" si="5"/>
        <v>0</v>
      </c>
      <c r="V45" s="48"/>
      <c r="W45" s="51" t="s">
        <v>122</v>
      </c>
      <c r="X45" s="69">
        <f t="shared" ca="1" si="40"/>
        <v>2149.3529411764707</v>
      </c>
      <c r="Y45" s="69">
        <f>IFERROR(_xlfn.MODE.SNGL($X$97:$X$113),"-")</f>
        <v>1600</v>
      </c>
      <c r="Z45" s="69">
        <f>IFERROR(MEDIAN($X$97:$X$113),"-")</f>
        <v>1600</v>
      </c>
      <c r="AA45" s="69">
        <f>IFERROR(_xlfn.STDEV.S($X$97:$X$113),"-")</f>
        <v>1104.0614193273213</v>
      </c>
      <c r="AB45" s="69">
        <f t="shared" si="41"/>
        <v>1218951.6176470593</v>
      </c>
      <c r="AC45" s="69">
        <f>IFERROR(MAX($X$97:$X$113),"-")</f>
        <v>3916</v>
      </c>
      <c r="AD45" s="69">
        <f>IFERROR(MIN($X$97:$X$113),"-")</f>
        <v>819</v>
      </c>
      <c r="AE45" s="70">
        <f t="shared" si="42"/>
        <v>17</v>
      </c>
      <c r="AF45" s="48"/>
      <c r="AG45" s="48"/>
      <c r="AH45" s="48"/>
      <c r="AI45" s="48"/>
      <c r="AJ45" s="48"/>
      <c r="AK45" s="48"/>
      <c r="AL45" s="48"/>
      <c r="AM45" s="48"/>
      <c r="AN45" s="48"/>
      <c r="AO45" s="48"/>
      <c r="AP45" s="48"/>
      <c r="AQ45" s="48"/>
      <c r="AR45" s="48"/>
      <c r="AS45" s="48"/>
      <c r="AT45" s="48"/>
      <c r="AU45" s="48"/>
      <c r="AV45" s="48"/>
      <c r="AW45" s="48"/>
      <c r="AX45" s="48"/>
      <c r="AY45" s="48"/>
      <c r="AZ45" s="48"/>
      <c r="BA45" s="48"/>
      <c r="BB45" s="48"/>
      <c r="BC45" s="48"/>
      <c r="BD45" s="48"/>
      <c r="BE45" s="48"/>
      <c r="BF45" s="48"/>
      <c r="BG45" s="48"/>
      <c r="BH45" s="48"/>
      <c r="BI45" s="48"/>
      <c r="BJ45" s="48"/>
      <c r="BK45" s="48"/>
      <c r="BL45" s="48"/>
      <c r="BM45" s="48"/>
      <c r="BN45" s="48"/>
      <c r="BO45" s="48"/>
      <c r="BP45" s="48"/>
      <c r="BQ45" s="48"/>
      <c r="BR45" s="48"/>
      <c r="BS45" s="48"/>
      <c r="BT45" s="48"/>
      <c r="BU45" s="48"/>
      <c r="BV45" s="48"/>
      <c r="BW45" s="48"/>
      <c r="BX45" s="48"/>
      <c r="BY45" s="48"/>
      <c r="BZ45" s="81">
        <f t="shared" ref="BZ45:BZ56" si="48">BZ27</f>
        <v>49</v>
      </c>
      <c r="CA45" s="51" t="str">
        <f t="shared" ref="CA45:CA56" si="49">CA27</f>
        <v>Conhecimento em outras áreas ou disciplinas</v>
      </c>
      <c r="CB45" s="120">
        <f>COUNTIFS(Respostas_Formatadas!$C:$C,EmpAtual!$CA$42,Respostas_Formatadas!$BH:$BH,EmpAtual!CB$43)</f>
        <v>0</v>
      </c>
      <c r="CC45" s="120">
        <f>COUNTIFS(Respostas_Formatadas!$C:$C,EmpAtual!$CA$42,Respostas_Formatadas!$BH:$BH,EmpAtual!CC$43)</f>
        <v>1</v>
      </c>
      <c r="CD45" s="120">
        <f>COUNTIFS(Respostas_Formatadas!$C:$C,EmpAtual!$CA$42,Respostas_Formatadas!$BH:$BH,EmpAtual!CD$43)</f>
        <v>8</v>
      </c>
      <c r="CE45" s="120">
        <f>COUNTIFS(Respostas_Formatadas!$C:$C,EmpAtual!$CA$42,Respostas_Formatadas!$BH:$BH,EmpAtual!CE$43)</f>
        <v>7</v>
      </c>
      <c r="CF45" s="120">
        <f>COUNTIFS(Respostas_Formatadas!$C:$C,EmpAtual!$CA$42,Respostas_Formatadas!$BH:$BH,EmpAtual!CF$43)</f>
        <v>2</v>
      </c>
      <c r="CG45" s="120">
        <f t="shared" ref="CG45:CG56" si="50">SUM(CB45:CF45)</f>
        <v>18</v>
      </c>
      <c r="CH45" s="173">
        <f t="shared" si="45"/>
        <v>3.5555555555555554</v>
      </c>
      <c r="CI45" s="48"/>
      <c r="CJ45" s="48"/>
      <c r="CK45" s="48"/>
      <c r="CL45" s="48"/>
      <c r="CM45" s="81">
        <f t="shared" si="46"/>
        <v>62</v>
      </c>
      <c r="CN45" s="51" t="s">
        <v>49</v>
      </c>
      <c r="CO45" s="120">
        <f>COUNTIFS(Respostas_Formatadas!$C:$C,EmpAtual!$CN$42,Respostas_Formatadas!$BU:$BU,EmpAtual!CO$43)</f>
        <v>0</v>
      </c>
      <c r="CP45" s="120">
        <f>COUNTIFS(Respostas_Formatadas!$C:$C,EmpAtual!$CN$42,Respostas_Formatadas!$BU:$BU,EmpAtual!CP$43)</f>
        <v>2</v>
      </c>
      <c r="CQ45" s="120">
        <f>COUNTIFS(Respostas_Formatadas!$C:$C,EmpAtual!$CN$42,Respostas_Formatadas!$BU:$BU,EmpAtual!CQ$43)</f>
        <v>10</v>
      </c>
      <c r="CR45" s="120">
        <f>COUNTIFS(Respostas_Formatadas!$C:$C,EmpAtual!$CN$42,Respostas_Formatadas!$BU:$BU,EmpAtual!CR$43)</f>
        <v>4</v>
      </c>
      <c r="CS45" s="120">
        <f>COUNTIFS(Respostas_Formatadas!$C:$C,EmpAtual!$CN$42,Respostas_Formatadas!$BU:$BU,EmpAtual!CS$43)</f>
        <v>3</v>
      </c>
      <c r="CT45" s="120">
        <f t="shared" ref="CT45:CT56" si="51">SUM(CO45:CS45)</f>
        <v>19</v>
      </c>
      <c r="CU45" s="173">
        <f t="shared" si="47"/>
        <v>3.4210526315789473</v>
      </c>
      <c r="CV45" s="48"/>
      <c r="CW45" s="48"/>
      <c r="CX45" s="48"/>
      <c r="CY45" s="48"/>
      <c r="CZ45" s="48"/>
      <c r="DA45" s="48"/>
      <c r="DB45" s="48"/>
      <c r="DC45" s="48"/>
      <c r="DD45" s="48"/>
      <c r="DE45" s="48"/>
      <c r="DF45" s="48"/>
      <c r="DG45" s="48"/>
      <c r="DH45" s="48"/>
      <c r="DI45" s="48"/>
      <c r="DJ45" s="48"/>
      <c r="DK45" s="48"/>
      <c r="DL45" s="48"/>
      <c r="DM45" s="48"/>
      <c r="DN45" s="48"/>
      <c r="DO45" s="48"/>
      <c r="DP45" s="48"/>
    </row>
    <row r="46" spans="2:120" ht="25.5" x14ac:dyDescent="0.2">
      <c r="B46" s="48"/>
      <c r="C46" s="323"/>
      <c r="D46" s="48"/>
      <c r="E46" s="48"/>
      <c r="F46" s="109" t="s">
        <v>1057</v>
      </c>
      <c r="G46" s="110">
        <f>SUM(G17:G19)</f>
        <v>271</v>
      </c>
      <c r="H46" s="111">
        <v>1</v>
      </c>
      <c r="I46" s="48"/>
      <c r="J46" s="48"/>
      <c r="K46" s="48"/>
      <c r="L46" s="48"/>
      <c r="M46" s="52">
        <v>38</v>
      </c>
      <c r="N46" s="51" t="s">
        <v>1223</v>
      </c>
      <c r="O46" s="70">
        <v>1</v>
      </c>
      <c r="P46" s="53">
        <f t="shared" si="3"/>
        <v>6.5359477124183009E-3</v>
      </c>
      <c r="Q46" s="48"/>
      <c r="R46" s="52">
        <v>38</v>
      </c>
      <c r="S46" s="51" t="str">
        <f t="array" ref="S46">INDEX($N$103:$N$188,SMALL(IF($O$103:$O$188=T46,ROW($O$103:$O$188)-102),COUNTIF($T$9:T46,T46)))</f>
        <v>Eletricista</v>
      </c>
      <c r="T46" s="70">
        <f t="shared" si="4"/>
        <v>0</v>
      </c>
      <c r="U46" s="53">
        <f t="shared" si="5"/>
        <v>0</v>
      </c>
      <c r="V46" s="48"/>
      <c r="W46" s="51" t="s">
        <v>121</v>
      </c>
      <c r="X46" s="69">
        <f t="shared" ca="1" si="40"/>
        <v>1974.6666666666667</v>
      </c>
      <c r="Y46" s="69">
        <f>IFERROR(_xlfn.MODE.SNGL($X$114:$X$128),"-")</f>
        <v>1000</v>
      </c>
      <c r="Z46" s="69">
        <f>IFERROR(MEDIAN($X$114:$X$128),"-")</f>
        <v>1500</v>
      </c>
      <c r="AA46" s="69">
        <f>IFERROR(_xlfn.STDEV.S($X$114:$X$128),"-")</f>
        <v>1189.7072068770694</v>
      </c>
      <c r="AB46" s="69">
        <f t="shared" si="41"/>
        <v>1415403.2380952381</v>
      </c>
      <c r="AC46" s="69">
        <f>IFERROR(MAX($X$114:$X$128),"-")</f>
        <v>4500</v>
      </c>
      <c r="AD46" s="69">
        <f>IFERROR(MIN($X$114:$X$128),"-")</f>
        <v>600</v>
      </c>
      <c r="AE46" s="70">
        <f t="shared" si="42"/>
        <v>15</v>
      </c>
      <c r="AF46" s="48"/>
      <c r="AG46" s="48"/>
      <c r="AH46" s="48"/>
      <c r="AI46" s="48"/>
      <c r="AJ46" s="48"/>
      <c r="AK46" s="48"/>
      <c r="AL46" s="48"/>
      <c r="AM46" s="48"/>
      <c r="AN46" s="48"/>
      <c r="AO46" s="48"/>
      <c r="AP46" s="84"/>
      <c r="AQ46" s="48"/>
      <c r="AR46" s="48"/>
      <c r="AS46" s="48"/>
      <c r="AT46" s="48"/>
      <c r="AU46" s="48"/>
      <c r="AV46" s="48"/>
      <c r="AW46" s="48"/>
      <c r="AX46" s="48"/>
      <c r="AY46" s="48"/>
      <c r="AZ46" s="48"/>
      <c r="BA46" s="48"/>
      <c r="BB46" s="48"/>
      <c r="BC46" s="48"/>
      <c r="BD46" s="48"/>
      <c r="BE46" s="48"/>
      <c r="BF46" s="48"/>
      <c r="BG46" s="48"/>
      <c r="BH46" s="48"/>
      <c r="BI46" s="48"/>
      <c r="BJ46" s="48"/>
      <c r="BK46" s="48"/>
      <c r="BL46" s="48"/>
      <c r="BM46" s="48"/>
      <c r="BN46" s="48"/>
      <c r="BO46" s="48"/>
      <c r="BP46" s="48"/>
      <c r="BQ46" s="254" t="s">
        <v>1350</v>
      </c>
      <c r="BR46" s="234"/>
      <c r="BS46" s="234"/>
      <c r="BT46" s="48"/>
      <c r="BU46" s="48"/>
      <c r="BV46" s="48"/>
      <c r="BW46" s="48"/>
      <c r="BX46" s="48"/>
      <c r="BY46" s="48"/>
      <c r="BZ46" s="198">
        <f t="shared" si="48"/>
        <v>50</v>
      </c>
      <c r="CA46" s="199" t="str">
        <f t="shared" si="49"/>
        <v>Pensamento analítico</v>
      </c>
      <c r="CB46" s="201">
        <f>COUNTIFS(Respostas_Formatadas!$C:$C,EmpAtual!$CA$42,Respostas_Formatadas!$BI:$BI,EmpAtual!CB$43)</f>
        <v>0</v>
      </c>
      <c r="CC46" s="201">
        <f>COUNTIFS(Respostas_Formatadas!$C:$C,EmpAtual!$CA$42,Respostas_Formatadas!$BI:$BI,EmpAtual!CC$43)</f>
        <v>0</v>
      </c>
      <c r="CD46" s="201">
        <f>COUNTIFS(Respostas_Formatadas!$C:$C,EmpAtual!$CA$42,Respostas_Formatadas!$BI:$BI,EmpAtual!CD$43)</f>
        <v>1</v>
      </c>
      <c r="CE46" s="201">
        <f>COUNTIFS(Respostas_Formatadas!$C:$C,EmpAtual!$CA$42,Respostas_Formatadas!$BI:$BI,EmpAtual!CE$43)</f>
        <v>4</v>
      </c>
      <c r="CF46" s="201">
        <f>COUNTIFS(Respostas_Formatadas!$C:$C,EmpAtual!$CA$42,Respostas_Formatadas!$BI:$BI,EmpAtual!CF$43)</f>
        <v>13</v>
      </c>
      <c r="CG46" s="201">
        <f t="shared" si="50"/>
        <v>18</v>
      </c>
      <c r="CH46" s="202">
        <f t="shared" si="45"/>
        <v>4.666666666666667</v>
      </c>
      <c r="CI46" s="48"/>
      <c r="CJ46" s="48"/>
      <c r="CK46" s="48"/>
      <c r="CL46" s="48"/>
      <c r="CM46" s="198">
        <f t="shared" si="46"/>
        <v>63</v>
      </c>
      <c r="CN46" s="199" t="s">
        <v>50</v>
      </c>
      <c r="CO46" s="201">
        <f>COUNTIFS(Respostas_Formatadas!$C:$C,EmpAtual!$CN$42,Respostas_Formatadas!$BV:$BV,EmpAtual!CO$43)</f>
        <v>0</v>
      </c>
      <c r="CP46" s="201">
        <f>COUNTIFS(Respostas_Formatadas!$C:$C,EmpAtual!$CN$42,Respostas_Formatadas!$BV:$BV,EmpAtual!CP$43)</f>
        <v>0</v>
      </c>
      <c r="CQ46" s="201">
        <f>COUNTIFS(Respostas_Formatadas!$C:$C,EmpAtual!$CN$42,Respostas_Formatadas!$BV:$BV,EmpAtual!CQ$43)</f>
        <v>3</v>
      </c>
      <c r="CR46" s="201">
        <f>COUNTIFS(Respostas_Formatadas!$C:$C,EmpAtual!$CN$42,Respostas_Formatadas!$BV:$BV,EmpAtual!CR$43)</f>
        <v>12</v>
      </c>
      <c r="CS46" s="201">
        <f>COUNTIFS(Respostas_Formatadas!$C:$C,EmpAtual!$CN$42,Respostas_Formatadas!$BV:$BV,EmpAtual!CS$43)</f>
        <v>4</v>
      </c>
      <c r="CT46" s="201">
        <f t="shared" si="51"/>
        <v>19</v>
      </c>
      <c r="CU46" s="202">
        <f t="shared" si="47"/>
        <v>4.0526315789473681</v>
      </c>
      <c r="CV46" s="48"/>
      <c r="CW46" s="48"/>
      <c r="CX46" s="48"/>
      <c r="CY46" s="48"/>
      <c r="CZ46" s="48"/>
      <c r="DA46" s="48"/>
      <c r="DB46" s="48"/>
      <c r="DC46" s="48"/>
      <c r="DD46" s="48"/>
      <c r="DE46" s="48"/>
      <c r="DF46" s="48"/>
      <c r="DG46" s="48"/>
      <c r="DH46" s="48"/>
      <c r="DI46" s="48"/>
      <c r="DJ46" s="48"/>
      <c r="DK46" s="48"/>
      <c r="DL46" s="48"/>
      <c r="DM46" s="48"/>
      <c r="DN46" s="48"/>
      <c r="DO46" s="48"/>
      <c r="DP46" s="48"/>
    </row>
    <row r="47" spans="2:120" x14ac:dyDescent="0.2">
      <c r="B47" s="48"/>
      <c r="C47" s="324"/>
      <c r="D47" s="48"/>
      <c r="E47" s="48"/>
      <c r="F47" s="109" t="s">
        <v>1150</v>
      </c>
      <c r="G47" s="110">
        <f>G46-51</f>
        <v>220</v>
      </c>
      <c r="H47" s="111">
        <v>1</v>
      </c>
      <c r="I47" s="48"/>
      <c r="J47" s="48"/>
      <c r="K47" s="48"/>
      <c r="L47" s="48"/>
      <c r="M47" s="52">
        <v>39</v>
      </c>
      <c r="N47" s="51" t="s">
        <v>578</v>
      </c>
      <c r="O47" s="70">
        <v>1</v>
      </c>
      <c r="P47" s="53">
        <f t="shared" si="3"/>
        <v>6.5359477124183009E-3</v>
      </c>
      <c r="Q47" s="48"/>
      <c r="R47" s="52">
        <v>39</v>
      </c>
      <c r="S47" s="51" t="str">
        <f t="array" ref="S47">INDEX($N$103:$N$188,SMALL(IF($O$103:$O$188=T47,ROW($O$103:$O$188)-102),COUNTIF($T$9:T47,T47)))</f>
        <v>Monitora de Transporte Escolar</v>
      </c>
      <c r="T47" s="70">
        <f t="shared" si="4"/>
        <v>0</v>
      </c>
      <c r="U47" s="53">
        <f t="shared" si="5"/>
        <v>0</v>
      </c>
      <c r="V47" s="48"/>
      <c r="W47" s="51" t="s">
        <v>130</v>
      </c>
      <c r="X47" s="69">
        <f t="shared" ca="1" si="40"/>
        <v>1958.6</v>
      </c>
      <c r="Y47" s="69" t="str">
        <f>IFERROR(_xlfn.MODE.SNGL($X$129:$X$133),"-")</f>
        <v>-</v>
      </c>
      <c r="Z47" s="69">
        <f>IFERROR(MEDIAN($X$129:$X$133),"-")</f>
        <v>2000</v>
      </c>
      <c r="AA47" s="69">
        <f>IFERROR(_xlfn.STDEV.S($X$129:$X$133),"-")</f>
        <v>722.6131745270078</v>
      </c>
      <c r="AB47" s="69">
        <f t="shared" si="41"/>
        <v>522169.79999999981</v>
      </c>
      <c r="AC47" s="69">
        <f>IFERROR(MAX($X$129:$X$133),"-")</f>
        <v>3000</v>
      </c>
      <c r="AD47" s="69">
        <f>IFERROR(MIN($X$129:$X$133),"-")</f>
        <v>1100</v>
      </c>
      <c r="AE47" s="70">
        <f t="shared" si="42"/>
        <v>5</v>
      </c>
      <c r="AF47" s="48"/>
      <c r="AG47" s="48"/>
      <c r="AH47" s="48"/>
      <c r="AI47" s="48"/>
      <c r="AJ47" s="48"/>
      <c r="AK47" s="48"/>
      <c r="AL47" s="48"/>
      <c r="AM47" s="48"/>
      <c r="AN47" s="48"/>
      <c r="AO47" s="48"/>
      <c r="AP47" s="48"/>
      <c r="AQ47" s="48"/>
      <c r="AR47" s="48"/>
      <c r="AS47" s="48"/>
      <c r="AT47" s="48"/>
      <c r="AU47" s="48"/>
      <c r="AV47" s="48"/>
      <c r="AW47" s="48"/>
      <c r="AX47" s="48"/>
      <c r="AY47" s="48"/>
      <c r="AZ47" s="48"/>
      <c r="BA47" s="48"/>
      <c r="BB47" s="48"/>
      <c r="BC47" s="48"/>
      <c r="BD47" s="48"/>
      <c r="BE47" s="48"/>
      <c r="BF47" s="48"/>
      <c r="BG47" s="48"/>
      <c r="BH47" s="48"/>
      <c r="BI47" s="48"/>
      <c r="BJ47" s="48"/>
      <c r="BK47" s="48"/>
      <c r="BL47" s="48"/>
      <c r="BM47" s="48"/>
      <c r="BN47" s="48"/>
      <c r="BO47" s="48"/>
      <c r="BP47" s="48"/>
      <c r="BQ47" s="295" t="str">
        <f>BV7</f>
        <v>Tecnologia em Agroecologia</v>
      </c>
      <c r="BR47" s="234"/>
      <c r="BS47" s="234"/>
      <c r="BT47" s="48"/>
      <c r="BU47" s="48"/>
      <c r="BV47" s="48"/>
      <c r="BW47" s="48"/>
      <c r="BX47" s="48"/>
      <c r="BY47" s="48"/>
      <c r="BZ47" s="81">
        <f t="shared" si="48"/>
        <v>51</v>
      </c>
      <c r="CA47" s="51" t="str">
        <f t="shared" si="49"/>
        <v>Habilidade para negociar</v>
      </c>
      <c r="CB47" s="120">
        <f>COUNTIFS(Respostas_Formatadas!$C:$C,EmpAtual!$CA$42,Respostas_Formatadas!$BJ:$BJ,EmpAtual!CB$43)</f>
        <v>3</v>
      </c>
      <c r="CC47" s="120">
        <f>COUNTIFS(Respostas_Formatadas!$C:$C,EmpAtual!$CA$42,Respostas_Formatadas!$BJ:$BJ,EmpAtual!CC$43)</f>
        <v>5</v>
      </c>
      <c r="CD47" s="120">
        <f>COUNTIFS(Respostas_Formatadas!$C:$C,EmpAtual!$CA$42,Respostas_Formatadas!$BJ:$BJ,EmpAtual!CD$43)</f>
        <v>3</v>
      </c>
      <c r="CE47" s="120">
        <f>COUNTIFS(Respostas_Formatadas!$C:$C,EmpAtual!$CA$42,Respostas_Formatadas!$BJ:$BJ,EmpAtual!CE$43)</f>
        <v>2</v>
      </c>
      <c r="CF47" s="120">
        <f>COUNTIFS(Respostas_Formatadas!$C:$C,EmpAtual!$CA$42,Respostas_Formatadas!$BJ:$BJ,EmpAtual!CF$43)</f>
        <v>5</v>
      </c>
      <c r="CG47" s="120">
        <f t="shared" si="50"/>
        <v>18</v>
      </c>
      <c r="CH47" s="173">
        <f t="shared" si="45"/>
        <v>3.0555555555555554</v>
      </c>
      <c r="CI47" s="48"/>
      <c r="CJ47" s="48"/>
      <c r="CK47" s="48"/>
      <c r="CL47" s="48"/>
      <c r="CM47" s="81">
        <f t="shared" si="46"/>
        <v>64</v>
      </c>
      <c r="CN47" s="51" t="s">
        <v>51</v>
      </c>
      <c r="CO47" s="120">
        <f>COUNTIFS(Respostas_Formatadas!$C:$C,EmpAtual!$CN$42,Respostas_Formatadas!$BW:$BW,EmpAtual!CO$43)</f>
        <v>2</v>
      </c>
      <c r="CP47" s="120">
        <f>COUNTIFS(Respostas_Formatadas!$C:$C,EmpAtual!$CN$42,Respostas_Formatadas!$BW:$BW,EmpAtual!CP$43)</f>
        <v>1</v>
      </c>
      <c r="CQ47" s="120">
        <f>COUNTIFS(Respostas_Formatadas!$C:$C,EmpAtual!$CN$42,Respostas_Formatadas!$BW:$BW,EmpAtual!CQ$43)</f>
        <v>8</v>
      </c>
      <c r="CR47" s="120">
        <f>COUNTIFS(Respostas_Formatadas!$C:$C,EmpAtual!$CN$42,Respostas_Formatadas!$BW:$BW,EmpAtual!CR$43)</f>
        <v>6</v>
      </c>
      <c r="CS47" s="120">
        <f>COUNTIFS(Respostas_Formatadas!$C:$C,EmpAtual!$CN$42,Respostas_Formatadas!$BW:$BW,EmpAtual!CS$43)</f>
        <v>2</v>
      </c>
      <c r="CT47" s="120">
        <f t="shared" si="51"/>
        <v>19</v>
      </c>
      <c r="CU47" s="173">
        <f t="shared" si="47"/>
        <v>3.263157894736842</v>
      </c>
      <c r="CV47" s="48"/>
      <c r="CW47" s="48"/>
      <c r="CX47" s="48"/>
      <c r="CY47" s="48"/>
      <c r="CZ47" s="48"/>
      <c r="DA47" s="48"/>
      <c r="DB47" s="48"/>
      <c r="DC47" s="48"/>
      <c r="DD47" s="48"/>
      <c r="DE47" s="48"/>
      <c r="DF47" s="48"/>
      <c r="DG47" s="48"/>
      <c r="DH47" s="48"/>
      <c r="DI47" s="48"/>
      <c r="DJ47" s="48"/>
      <c r="DK47" s="48"/>
      <c r="DL47" s="48"/>
      <c r="DM47" s="48"/>
      <c r="DN47" s="48"/>
      <c r="DO47" s="48"/>
      <c r="DP47" s="48"/>
    </row>
    <row r="48" spans="2:120" x14ac:dyDescent="0.2">
      <c r="B48" s="48"/>
      <c r="C48" s="144"/>
      <c r="D48" s="48"/>
      <c r="E48" s="48"/>
      <c r="F48" s="48"/>
      <c r="G48" s="48"/>
      <c r="H48" s="48"/>
      <c r="I48" s="48"/>
      <c r="J48" s="48"/>
      <c r="K48" s="48"/>
      <c r="L48" s="48"/>
      <c r="M48" s="52">
        <v>40</v>
      </c>
      <c r="N48" s="51" t="s">
        <v>480</v>
      </c>
      <c r="O48" s="70">
        <v>1</v>
      </c>
      <c r="P48" s="53">
        <f t="shared" si="3"/>
        <v>6.5359477124183009E-3</v>
      </c>
      <c r="Q48" s="48"/>
      <c r="R48" s="52">
        <v>40</v>
      </c>
      <c r="S48" s="51" t="str">
        <f t="array" ref="S48">INDEX($N$103:$N$188,SMALL(IF($O$103:$O$188=T48,ROW($O$103:$O$188)-102),COUNTIF($T$9:T48,T48)))</f>
        <v>Desenvolvedor Full Stack</v>
      </c>
      <c r="T48" s="70">
        <f t="shared" si="4"/>
        <v>0</v>
      </c>
      <c r="U48" s="53">
        <f t="shared" si="5"/>
        <v>0</v>
      </c>
      <c r="V48" s="48"/>
      <c r="W48" s="51" t="s">
        <v>129</v>
      </c>
      <c r="X48" s="69">
        <f t="shared" ca="1" si="40"/>
        <v>1200</v>
      </c>
      <c r="Y48" s="69" t="str">
        <f>IFERROR(_xlfn.MODE.SNGL($X$134),"-")</f>
        <v>-</v>
      </c>
      <c r="Z48" s="69">
        <f>IFERROR(MEDIAN($X$134),"-")</f>
        <v>1200</v>
      </c>
      <c r="AA48" s="69" t="str">
        <f>IFERROR(_xlfn.STDEV.S($X$134),"-")</f>
        <v>-</v>
      </c>
      <c r="AB48" s="69" t="str">
        <f t="shared" si="41"/>
        <v>-</v>
      </c>
      <c r="AC48" s="69">
        <f>IFERROR(MAX($X$134),"-")</f>
        <v>1200</v>
      </c>
      <c r="AD48" s="69">
        <f>IFERROR(MIN($X$134),"-")</f>
        <v>1200</v>
      </c>
      <c r="AE48" s="70">
        <f t="shared" si="42"/>
        <v>1</v>
      </c>
      <c r="AF48" s="48"/>
      <c r="AG48" s="48"/>
      <c r="AH48" s="48"/>
      <c r="AI48" s="48"/>
      <c r="AJ48" s="48"/>
      <c r="AK48" s="48"/>
      <c r="AL48" s="48"/>
      <c r="AM48" s="48"/>
      <c r="AN48" s="48"/>
      <c r="AO48" s="48"/>
      <c r="AP48" s="48"/>
      <c r="AQ48" s="48"/>
      <c r="AR48" s="48"/>
      <c r="AS48" s="48"/>
      <c r="AT48" s="48"/>
      <c r="AU48" s="48"/>
      <c r="AV48" s="48"/>
      <c r="AW48" s="48"/>
      <c r="AX48" s="48"/>
      <c r="AY48" s="48"/>
      <c r="AZ48" s="48"/>
      <c r="BA48" s="48"/>
      <c r="BB48" s="48"/>
      <c r="BC48" s="48"/>
      <c r="BD48" s="48"/>
      <c r="BE48" s="48"/>
      <c r="BF48" s="48"/>
      <c r="BG48" s="48"/>
      <c r="BH48" s="48"/>
      <c r="BI48" s="48"/>
      <c r="BJ48" s="48"/>
      <c r="BK48" s="48"/>
      <c r="BL48" s="48"/>
      <c r="BM48" s="48"/>
      <c r="BN48" s="48"/>
      <c r="BO48" s="48"/>
      <c r="BP48" s="48"/>
      <c r="BQ48" s="254" t="s">
        <v>1349</v>
      </c>
      <c r="BR48" s="237" t="s">
        <v>131</v>
      </c>
      <c r="BS48" s="237" t="s">
        <v>132</v>
      </c>
      <c r="BT48" s="48"/>
      <c r="BU48" s="48"/>
      <c r="BV48" s="48"/>
      <c r="BW48" s="48"/>
      <c r="BX48" s="48"/>
      <c r="BY48" s="48"/>
      <c r="BZ48" s="198">
        <f t="shared" si="48"/>
        <v>52</v>
      </c>
      <c r="CA48" s="199" t="str">
        <f t="shared" si="49"/>
        <v>Habilidade de coordenar atividades</v>
      </c>
      <c r="CB48" s="201">
        <f>COUNTIFS(Respostas_Formatadas!$C:$C,EmpAtual!$CA$42,Respostas_Formatadas!$BK:$BK,EmpAtual!CB$43)</f>
        <v>1</v>
      </c>
      <c r="CC48" s="201">
        <f>COUNTIFS(Respostas_Formatadas!$C:$C,EmpAtual!$CA$42,Respostas_Formatadas!$BK:$BK,EmpAtual!CC$43)</f>
        <v>1</v>
      </c>
      <c r="CD48" s="201">
        <f>COUNTIFS(Respostas_Formatadas!$C:$C,EmpAtual!$CA$42,Respostas_Formatadas!$BK:$BK,EmpAtual!CD$43)</f>
        <v>6</v>
      </c>
      <c r="CE48" s="201">
        <f>COUNTIFS(Respostas_Formatadas!$C:$C,EmpAtual!$CA$42,Respostas_Formatadas!$BK:$BK,EmpAtual!CE$43)</f>
        <v>1</v>
      </c>
      <c r="CF48" s="201">
        <f>COUNTIFS(Respostas_Formatadas!$C:$C,EmpAtual!$CA$42,Respostas_Formatadas!$BK:$BK,EmpAtual!CF$43)</f>
        <v>9</v>
      </c>
      <c r="CG48" s="201">
        <f t="shared" si="50"/>
        <v>18</v>
      </c>
      <c r="CH48" s="202">
        <f t="shared" si="45"/>
        <v>3.8888888888888888</v>
      </c>
      <c r="CI48" s="48"/>
      <c r="CJ48" s="48"/>
      <c r="CK48" s="48"/>
      <c r="CL48" s="48"/>
      <c r="CM48" s="198">
        <f t="shared" si="46"/>
        <v>65</v>
      </c>
      <c r="CN48" s="199" t="s">
        <v>52</v>
      </c>
      <c r="CO48" s="201">
        <f>COUNTIFS(Respostas_Formatadas!$C:$C,EmpAtual!$CN$42,Respostas_Formatadas!$BX:$BX,EmpAtual!CO$43)</f>
        <v>1</v>
      </c>
      <c r="CP48" s="201">
        <f>COUNTIFS(Respostas_Formatadas!$C:$C,EmpAtual!$CN$42,Respostas_Formatadas!$BX:$BX,EmpAtual!CP$43)</f>
        <v>2</v>
      </c>
      <c r="CQ48" s="201">
        <f>COUNTIFS(Respostas_Formatadas!$C:$C,EmpAtual!$CN$42,Respostas_Formatadas!$BX:$BX,EmpAtual!CQ$43)</f>
        <v>6</v>
      </c>
      <c r="CR48" s="201">
        <f>COUNTIFS(Respostas_Formatadas!$C:$C,EmpAtual!$CN$42,Respostas_Formatadas!$BX:$BX,EmpAtual!CR$43)</f>
        <v>4</v>
      </c>
      <c r="CS48" s="201">
        <f>COUNTIFS(Respostas_Formatadas!$C:$C,EmpAtual!$CN$42,Respostas_Formatadas!$BX:$BX,EmpAtual!CS$43)</f>
        <v>6</v>
      </c>
      <c r="CT48" s="201">
        <f t="shared" si="51"/>
        <v>19</v>
      </c>
      <c r="CU48" s="202">
        <f t="shared" si="47"/>
        <v>3.6315789473684212</v>
      </c>
      <c r="CV48" s="48"/>
      <c r="CW48" s="48"/>
      <c r="CX48" s="48"/>
      <c r="CY48" s="48"/>
      <c r="CZ48" s="48"/>
      <c r="DA48" s="48"/>
      <c r="DB48" s="48"/>
      <c r="DC48" s="48"/>
      <c r="DD48" s="48"/>
      <c r="DE48" s="48"/>
      <c r="DF48" s="48"/>
      <c r="DG48" s="48"/>
      <c r="DH48" s="48"/>
      <c r="DI48" s="48"/>
      <c r="DJ48" s="48"/>
      <c r="DK48" s="48"/>
      <c r="DL48" s="48"/>
      <c r="DM48" s="48"/>
      <c r="DN48" s="48"/>
      <c r="DO48" s="48"/>
      <c r="DP48" s="48"/>
    </row>
    <row r="49" spans="2:120" x14ac:dyDescent="0.2">
      <c r="B49" s="48"/>
      <c r="C49" s="144"/>
      <c r="D49" s="48"/>
      <c r="E49" s="48"/>
      <c r="F49" s="48"/>
      <c r="G49" s="48"/>
      <c r="H49" s="48"/>
      <c r="I49" s="48"/>
      <c r="J49" s="48"/>
      <c r="K49" s="48"/>
      <c r="L49" s="48"/>
      <c r="M49" s="52">
        <v>41</v>
      </c>
      <c r="N49" s="51" t="s">
        <v>1224</v>
      </c>
      <c r="O49" s="70">
        <v>1</v>
      </c>
      <c r="P49" s="53">
        <f t="shared" si="3"/>
        <v>6.5359477124183009E-3</v>
      </c>
      <c r="Q49" s="48"/>
      <c r="R49" s="52">
        <v>41</v>
      </c>
      <c r="S49" s="51" t="str">
        <f t="array" ref="S49">INDEX($N$103:$N$188,SMALL(IF($O$103:$O$188=T49,ROW($O$103:$O$188)-102),COUNTIF($T$9:T49,T49)))</f>
        <v>Administrador de Data Center</v>
      </c>
      <c r="T49" s="70">
        <f t="shared" si="4"/>
        <v>0</v>
      </c>
      <c r="U49" s="53">
        <f t="shared" si="5"/>
        <v>0</v>
      </c>
      <c r="V49" s="48"/>
      <c r="W49" s="51" t="s">
        <v>126</v>
      </c>
      <c r="X49" s="69">
        <f t="shared" ca="1" si="40"/>
        <v>2483.7777777777778</v>
      </c>
      <c r="Y49" s="69">
        <f>IFERROR(_xlfn.MODE.SNGL($X$135:$X$143),"-")</f>
        <v>1500</v>
      </c>
      <c r="Z49" s="69">
        <f>IFERROR(MEDIAN($X$135:$X$143),"-")</f>
        <v>2200</v>
      </c>
      <c r="AA49" s="69">
        <f>IFERROR(_xlfn.STDEV.S($X$135:$X$143),"-")</f>
        <v>1762.375795466008</v>
      </c>
      <c r="AB49" s="69">
        <f t="shared" si="41"/>
        <v>3105968.4444444445</v>
      </c>
      <c r="AC49" s="69">
        <f>IFERROR(MAX($X$135:$X$143),"-")</f>
        <v>6500</v>
      </c>
      <c r="AD49" s="69">
        <f>IFERROR(MIN($X$135:$X$143),"-")</f>
        <v>800</v>
      </c>
      <c r="AE49" s="70">
        <f t="shared" si="42"/>
        <v>9</v>
      </c>
      <c r="AF49" s="48"/>
      <c r="AG49" s="48"/>
      <c r="AH49" s="48"/>
      <c r="AI49" s="48"/>
      <c r="AJ49" s="48"/>
      <c r="AK49" s="48"/>
      <c r="AL49" s="48"/>
      <c r="AM49" s="48"/>
      <c r="AN49" s="48"/>
      <c r="AO49" s="48"/>
      <c r="AP49" s="48"/>
      <c r="AQ49" s="48"/>
      <c r="AR49" s="48"/>
      <c r="AS49" s="48"/>
      <c r="AT49" s="48"/>
      <c r="AU49" s="48"/>
      <c r="AV49" s="48"/>
      <c r="AW49" s="48"/>
      <c r="AX49" s="48"/>
      <c r="AY49" s="48"/>
      <c r="AZ49" s="48"/>
      <c r="BA49" s="48"/>
      <c r="BB49" s="48"/>
      <c r="BC49" s="48"/>
      <c r="BD49" s="48"/>
      <c r="BE49" s="48"/>
      <c r="BF49" s="48"/>
      <c r="BG49" s="48"/>
      <c r="BH49" s="48"/>
      <c r="BI49" s="48"/>
      <c r="BJ49" s="48"/>
      <c r="BK49" s="48"/>
      <c r="BL49" s="48"/>
      <c r="BM49" s="48"/>
      <c r="BN49" s="48"/>
      <c r="BO49" s="48"/>
      <c r="BP49" s="48"/>
      <c r="BQ49" s="296" t="str">
        <f>BQ9</f>
        <v>Aracaju</v>
      </c>
      <c r="BR49" s="238">
        <f>COUNTIFS(Respostas_Formatadas!$C:$C,EmpAtual!$BQ$47,Respostas_Formatadas!$BC:$BC,EmpAtual!BQ49)</f>
        <v>1</v>
      </c>
      <c r="BS49" s="240">
        <f>IFERROR(BR49/$BR$83,"-")</f>
        <v>0.2</v>
      </c>
      <c r="BT49" s="48"/>
      <c r="BU49" s="48"/>
      <c r="BV49" s="48"/>
      <c r="BW49" s="48"/>
      <c r="BX49" s="48"/>
      <c r="BY49" s="48"/>
      <c r="BZ49" s="81">
        <f t="shared" si="48"/>
        <v>53</v>
      </c>
      <c r="CA49" s="51" t="str">
        <f t="shared" si="49"/>
        <v>Habilidade de trabalhar produtivamente em grupo</v>
      </c>
      <c r="CB49" s="120">
        <f>COUNTIFS(Respostas_Formatadas!$C:$C,EmpAtual!$CA$42,Respostas_Formatadas!$BL:$BL,EmpAtual!CB$43)</f>
        <v>0</v>
      </c>
      <c r="CC49" s="120">
        <f>COUNTIFS(Respostas_Formatadas!$C:$C,EmpAtual!$CA$42,Respostas_Formatadas!$BL:$BL,EmpAtual!CC$43)</f>
        <v>0</v>
      </c>
      <c r="CD49" s="120">
        <f>COUNTIFS(Respostas_Formatadas!$C:$C,EmpAtual!$CA$42,Respostas_Formatadas!$BL:$BL,EmpAtual!CD$43)</f>
        <v>2</v>
      </c>
      <c r="CE49" s="120">
        <f>COUNTIFS(Respostas_Formatadas!$C:$C,EmpAtual!$CA$42,Respostas_Formatadas!$BL:$BL,EmpAtual!CE$43)</f>
        <v>6</v>
      </c>
      <c r="CF49" s="120">
        <f>COUNTIFS(Respostas_Formatadas!$C:$C,EmpAtual!$CA$42,Respostas_Formatadas!$BL:$BL,EmpAtual!CF$43)</f>
        <v>10</v>
      </c>
      <c r="CG49" s="120">
        <f t="shared" si="50"/>
        <v>18</v>
      </c>
      <c r="CH49" s="173">
        <f t="shared" si="45"/>
        <v>4.4444444444444446</v>
      </c>
      <c r="CI49" s="48"/>
      <c r="CJ49" s="48"/>
      <c r="CK49" s="48"/>
      <c r="CL49" s="48"/>
      <c r="CM49" s="81">
        <f t="shared" si="46"/>
        <v>66</v>
      </c>
      <c r="CN49" s="51" t="s">
        <v>53</v>
      </c>
      <c r="CO49" s="120">
        <f>COUNTIFS(Respostas_Formatadas!$C:$C,EmpAtual!$CN$42,Respostas_Formatadas!$BY:$BY,EmpAtual!CO$43)</f>
        <v>0</v>
      </c>
      <c r="CP49" s="120">
        <f>COUNTIFS(Respostas_Formatadas!$C:$C,EmpAtual!$CN$42,Respostas_Formatadas!$BY:$BY,EmpAtual!CP$43)</f>
        <v>0</v>
      </c>
      <c r="CQ49" s="120">
        <f>COUNTIFS(Respostas_Formatadas!$C:$C,EmpAtual!$CN$42,Respostas_Formatadas!$BY:$BY,EmpAtual!CQ$43)</f>
        <v>4</v>
      </c>
      <c r="CR49" s="120">
        <f>COUNTIFS(Respostas_Formatadas!$C:$C,EmpAtual!$CN$42,Respostas_Formatadas!$BY:$BY,EmpAtual!CR$43)</f>
        <v>8</v>
      </c>
      <c r="CS49" s="120">
        <f>COUNTIFS(Respostas_Formatadas!$C:$C,EmpAtual!$CN$42,Respostas_Formatadas!$BY:$BY,EmpAtual!CS$43)</f>
        <v>7</v>
      </c>
      <c r="CT49" s="120">
        <f t="shared" si="51"/>
        <v>19</v>
      </c>
      <c r="CU49" s="173">
        <f t="shared" si="47"/>
        <v>4.1578947368421053</v>
      </c>
      <c r="CV49" s="48"/>
      <c r="CW49" s="48"/>
      <c r="CX49" s="48"/>
      <c r="CY49" s="48"/>
      <c r="CZ49" s="48"/>
      <c r="DA49" s="48"/>
      <c r="DB49" s="48"/>
      <c r="DC49" s="48"/>
      <c r="DD49" s="48"/>
      <c r="DE49" s="48"/>
      <c r="DF49" s="48"/>
      <c r="DG49" s="48"/>
      <c r="DH49" s="48"/>
      <c r="DI49" s="48"/>
      <c r="DJ49" s="48"/>
      <c r="DK49" s="48"/>
      <c r="DL49" s="48"/>
      <c r="DM49" s="48"/>
      <c r="DN49" s="48"/>
      <c r="DO49" s="48"/>
      <c r="DP49" s="48"/>
    </row>
    <row r="50" spans="2:120" x14ac:dyDescent="0.2">
      <c r="B50" s="48"/>
      <c r="C50" s="144"/>
      <c r="D50" s="48"/>
      <c r="E50" s="48"/>
      <c r="F50" s="48"/>
      <c r="G50" s="48"/>
      <c r="H50" s="48"/>
      <c r="I50" s="48"/>
      <c r="J50" s="48"/>
      <c r="K50" s="48"/>
      <c r="L50" s="48"/>
      <c r="M50" s="52">
        <v>42</v>
      </c>
      <c r="N50" s="51" t="s">
        <v>1123</v>
      </c>
      <c r="O50" s="70">
        <v>1</v>
      </c>
      <c r="P50" s="53">
        <f t="shared" si="3"/>
        <v>6.5359477124183009E-3</v>
      </c>
      <c r="Q50" s="48"/>
      <c r="R50" s="52">
        <v>42</v>
      </c>
      <c r="S50" s="51" t="str">
        <f t="array" ref="S50">INDEX($N$103:$N$188,SMALL(IF($O$103:$O$188=T50,ROW($O$103:$O$188)-102),COUNTIF($T$9:T50,T50)))</f>
        <v>Agente de Apoio Educacional</v>
      </c>
      <c r="T50" s="70">
        <f t="shared" si="4"/>
        <v>0</v>
      </c>
      <c r="U50" s="53">
        <f t="shared" si="5"/>
        <v>0</v>
      </c>
      <c r="V50" s="48"/>
      <c r="W50" s="51" t="s">
        <v>125</v>
      </c>
      <c r="X50" s="69">
        <f t="shared" ca="1" si="40"/>
        <v>1531.1176470588234</v>
      </c>
      <c r="Y50" s="69">
        <f>IFERROR(_xlfn.MODE.SNGL($X$144:$X$160),"-")</f>
        <v>1000</v>
      </c>
      <c r="Z50" s="69">
        <f>IFERROR(MEDIAN($X$144:$X$160),"-")</f>
        <v>1300</v>
      </c>
      <c r="AA50" s="69">
        <f>IFERROR(_xlfn.STDEV.S($X$144:$X$160),"-")</f>
        <v>928.00605347924193</v>
      </c>
      <c r="AB50" s="69">
        <f t="shared" si="41"/>
        <v>861195.23529411759</v>
      </c>
      <c r="AC50" s="69">
        <f>IFERROR(MAX($X$144:$X$160),"-")</f>
        <v>4452</v>
      </c>
      <c r="AD50" s="69">
        <f>IFERROR(MIN($X$144:$X$160),"-")</f>
        <v>600</v>
      </c>
      <c r="AE50" s="70">
        <f t="shared" si="42"/>
        <v>17</v>
      </c>
      <c r="AF50" s="48"/>
      <c r="AG50" s="48"/>
      <c r="AH50" s="48"/>
      <c r="AI50" s="48"/>
      <c r="AJ50" s="48"/>
      <c r="AK50" s="48"/>
      <c r="AL50" s="48"/>
      <c r="AM50" s="48"/>
      <c r="AN50" s="48"/>
      <c r="AO50" s="48"/>
      <c r="AP50" s="48"/>
      <c r="AQ50" s="48"/>
      <c r="AR50" s="48"/>
      <c r="AS50" s="48"/>
      <c r="AT50" s="48"/>
      <c r="AU50" s="48"/>
      <c r="AV50" s="48"/>
      <c r="AW50" s="48"/>
      <c r="AX50" s="48"/>
      <c r="AY50" s="48"/>
      <c r="AZ50" s="48"/>
      <c r="BA50" s="48"/>
      <c r="BB50" s="48"/>
      <c r="BC50" s="48"/>
      <c r="BD50" s="48"/>
      <c r="BE50" s="48"/>
      <c r="BF50" s="48"/>
      <c r="BG50" s="48"/>
      <c r="BH50" s="48"/>
      <c r="BI50" s="48"/>
      <c r="BJ50" s="48"/>
      <c r="BK50" s="48"/>
      <c r="BL50" s="48"/>
      <c r="BM50" s="48"/>
      <c r="BN50" s="48"/>
      <c r="BO50" s="48"/>
      <c r="BP50" s="48"/>
      <c r="BQ50" s="296" t="str">
        <f t="shared" ref="BQ50:BQ82" si="52">BQ10</f>
        <v>Nossa Senhora da Glória</v>
      </c>
      <c r="BR50" s="238">
        <f>COUNTIFS(Respostas_Formatadas!$C:$C,EmpAtual!$BQ$47,Respostas_Formatadas!$BC:$BC,EmpAtual!BQ50)</f>
        <v>0</v>
      </c>
      <c r="BS50" s="240">
        <f t="shared" ref="BS50:BS82" si="53">IFERROR(BR50/$BR$83,"-")</f>
        <v>0</v>
      </c>
      <c r="BT50" s="48"/>
      <c r="BU50" s="48"/>
      <c r="BV50" s="48"/>
      <c r="BW50" s="48"/>
      <c r="BX50" s="48"/>
      <c r="BY50" s="48"/>
      <c r="BZ50" s="198">
        <f t="shared" si="48"/>
        <v>54</v>
      </c>
      <c r="CA50" s="199" t="str">
        <f t="shared" si="49"/>
        <v>Habilidade de expressar uma ideia de maneira clara</v>
      </c>
      <c r="CB50" s="201">
        <f>COUNTIFS(Respostas_Formatadas!$C:$C,EmpAtual!$CA$42,Respostas_Formatadas!$BM:$BM,EmpAtual!CB$43)</f>
        <v>0</v>
      </c>
      <c r="CC50" s="201">
        <f>COUNTIFS(Respostas_Formatadas!$C:$C,EmpAtual!$CA$42,Respostas_Formatadas!$BM:$BM,EmpAtual!CC$43)</f>
        <v>1</v>
      </c>
      <c r="CD50" s="201">
        <f>COUNTIFS(Respostas_Formatadas!$C:$C,EmpAtual!$CA$42,Respostas_Formatadas!$BM:$BM,EmpAtual!CD$43)</f>
        <v>0</v>
      </c>
      <c r="CE50" s="201">
        <f>COUNTIFS(Respostas_Formatadas!$C:$C,EmpAtual!$CA$42,Respostas_Formatadas!$BM:$BM,EmpAtual!CE$43)</f>
        <v>3</v>
      </c>
      <c r="CF50" s="201">
        <f>COUNTIFS(Respostas_Formatadas!$C:$C,EmpAtual!$CA$42,Respostas_Formatadas!$BM:$BM,EmpAtual!CF$43)</f>
        <v>14</v>
      </c>
      <c r="CG50" s="201">
        <f t="shared" si="50"/>
        <v>18</v>
      </c>
      <c r="CH50" s="202">
        <f t="shared" si="45"/>
        <v>4.666666666666667</v>
      </c>
      <c r="CI50" s="48"/>
      <c r="CJ50" s="48"/>
      <c r="CK50" s="48"/>
      <c r="CL50" s="48"/>
      <c r="CM50" s="198">
        <f t="shared" si="46"/>
        <v>67</v>
      </c>
      <c r="CN50" s="199" t="s">
        <v>54</v>
      </c>
      <c r="CO50" s="201">
        <f>COUNTIFS(Respostas_Formatadas!$C:$C,EmpAtual!$CN$42,Respostas_Formatadas!$BZ:$BZ,EmpAtual!CO$43)</f>
        <v>0</v>
      </c>
      <c r="CP50" s="201">
        <f>COUNTIFS(Respostas_Formatadas!$C:$C,EmpAtual!$CN$42,Respostas_Formatadas!$BZ:$BZ,EmpAtual!CP$43)</f>
        <v>0</v>
      </c>
      <c r="CQ50" s="201">
        <f>COUNTIFS(Respostas_Formatadas!$C:$C,EmpAtual!$CN$42,Respostas_Formatadas!$BZ:$BZ,EmpAtual!CQ$43)</f>
        <v>3</v>
      </c>
      <c r="CR50" s="201">
        <f>COUNTIFS(Respostas_Formatadas!$C:$C,EmpAtual!$CN$42,Respostas_Formatadas!$BZ:$BZ,EmpAtual!CR$43)</f>
        <v>12</v>
      </c>
      <c r="CS50" s="201">
        <f>COUNTIFS(Respostas_Formatadas!$C:$C,EmpAtual!$CN$42,Respostas_Formatadas!$BZ:$BZ,EmpAtual!CS$43)</f>
        <v>4</v>
      </c>
      <c r="CT50" s="201">
        <f t="shared" si="51"/>
        <v>19</v>
      </c>
      <c r="CU50" s="202">
        <f t="shared" si="47"/>
        <v>4.0526315789473681</v>
      </c>
      <c r="CV50" s="48"/>
      <c r="CW50" s="48"/>
      <c r="CX50" s="48"/>
      <c r="CY50" s="48"/>
      <c r="CZ50" s="48"/>
      <c r="DA50" s="48"/>
      <c r="DB50" s="48"/>
      <c r="DC50" s="48"/>
      <c r="DD50" s="48"/>
      <c r="DE50" s="48"/>
      <c r="DF50" s="48"/>
      <c r="DG50" s="48"/>
      <c r="DH50" s="48"/>
      <c r="DI50" s="48"/>
      <c r="DJ50" s="48"/>
      <c r="DK50" s="48"/>
      <c r="DL50" s="48"/>
      <c r="DM50" s="48"/>
      <c r="DN50" s="48"/>
      <c r="DO50" s="48"/>
      <c r="DP50" s="48"/>
    </row>
    <row r="51" spans="2:120" x14ac:dyDescent="0.2">
      <c r="B51" s="48"/>
      <c r="C51" s="144"/>
      <c r="D51" s="48"/>
      <c r="E51" s="48"/>
      <c r="F51" s="166">
        <v>16</v>
      </c>
      <c r="G51" s="48"/>
      <c r="H51" s="48"/>
      <c r="I51" s="48"/>
      <c r="J51" s="48"/>
      <c r="K51" s="48"/>
      <c r="L51" s="48"/>
      <c r="M51" s="52">
        <v>43</v>
      </c>
      <c r="N51" s="51" t="s">
        <v>518</v>
      </c>
      <c r="O51" s="70">
        <v>1</v>
      </c>
      <c r="P51" s="53">
        <f t="shared" si="3"/>
        <v>6.5359477124183009E-3</v>
      </c>
      <c r="Q51" s="48"/>
      <c r="R51" s="52">
        <v>43</v>
      </c>
      <c r="S51" s="51" t="str">
        <f t="array" ref="S51">INDEX($N$103:$N$188,SMALL(IF($O$103:$O$188=T51,ROW($O$103:$O$188)-102),COUNTIF($T$9:T51,T51)))</f>
        <v>Assistente em Agência de Turismo</v>
      </c>
      <c r="T51" s="70">
        <f t="shared" si="4"/>
        <v>0</v>
      </c>
      <c r="U51" s="53">
        <f t="shared" si="5"/>
        <v>0</v>
      </c>
      <c r="V51" s="48"/>
      <c r="W51" s="51" t="s">
        <v>128</v>
      </c>
      <c r="X51" s="69">
        <f t="shared" ca="1" si="40"/>
        <v>1717.1111111111111</v>
      </c>
      <c r="Y51" s="69">
        <f>IFERROR(_xlfn.MODE.SNGL($X$161:$X$169),"-")</f>
        <v>1300</v>
      </c>
      <c r="Z51" s="69">
        <f>IFERROR(MEDIAN($X$161:$X$169),"-")</f>
        <v>1500</v>
      </c>
      <c r="AA51" s="69">
        <f>IFERROR(_xlfn.STDEV.S($X$161:$X$169),"-")</f>
        <v>859.0605980436485</v>
      </c>
      <c r="AB51" s="69">
        <f t="shared" si="41"/>
        <v>737985.11111111101</v>
      </c>
      <c r="AC51" s="69">
        <f>IFERROR(MAX($X$161:$X$169),"-")</f>
        <v>3800</v>
      </c>
      <c r="AD51" s="69">
        <f>IFERROR(MIN($X$161:$X$169),"-")</f>
        <v>954</v>
      </c>
      <c r="AE51" s="70">
        <f t="shared" si="42"/>
        <v>9</v>
      </c>
      <c r="AF51" s="48"/>
      <c r="AG51" s="48"/>
      <c r="AH51" s="48"/>
      <c r="AI51" s="48"/>
      <c r="AJ51" s="48"/>
      <c r="AK51" s="48"/>
      <c r="AL51" s="48"/>
      <c r="AM51" s="48"/>
      <c r="AN51" s="48"/>
      <c r="AO51" s="48"/>
      <c r="AP51" s="48"/>
      <c r="AQ51" s="48"/>
      <c r="AR51" s="48"/>
      <c r="AS51" s="48"/>
      <c r="AT51" s="48"/>
      <c r="AU51" s="48"/>
      <c r="AV51" s="48"/>
      <c r="AW51" s="48"/>
      <c r="AX51" s="48"/>
      <c r="AY51" s="48"/>
      <c r="AZ51" s="48"/>
      <c r="BA51" s="48"/>
      <c r="BB51" s="48"/>
      <c r="BC51" s="48"/>
      <c r="BD51" s="48"/>
      <c r="BE51" s="48"/>
      <c r="BF51" s="48"/>
      <c r="BG51" s="48"/>
      <c r="BH51" s="48"/>
      <c r="BI51" s="48"/>
      <c r="BJ51" s="48"/>
      <c r="BK51" s="48"/>
      <c r="BL51" s="48"/>
      <c r="BM51" s="48"/>
      <c r="BN51" s="48"/>
      <c r="BO51" s="48"/>
      <c r="BP51" s="48"/>
      <c r="BQ51" s="296" t="str">
        <f t="shared" si="52"/>
        <v>Lagarto</v>
      </c>
      <c r="BR51" s="238">
        <f>COUNTIFS(Respostas_Formatadas!$C:$C,EmpAtual!$BQ$47,Respostas_Formatadas!$BC:$BC,EmpAtual!BQ51)</f>
        <v>0</v>
      </c>
      <c r="BS51" s="240">
        <f t="shared" si="53"/>
        <v>0</v>
      </c>
      <c r="BT51" s="48"/>
      <c r="BU51" s="48"/>
      <c r="BV51" s="48"/>
      <c r="BW51" s="48"/>
      <c r="BX51" s="48"/>
      <c r="BY51" s="48"/>
      <c r="BZ51" s="81">
        <f t="shared" si="48"/>
        <v>55</v>
      </c>
      <c r="CA51" s="51" t="str">
        <f t="shared" si="49"/>
        <v>Habilidade de usar computadores e internet</v>
      </c>
      <c r="CB51" s="120">
        <f>COUNTIFS(Respostas_Formatadas!$C:$C,EmpAtual!$CA$42,Respostas_Formatadas!$BN:$BN,EmpAtual!CB$43)</f>
        <v>0</v>
      </c>
      <c r="CC51" s="120">
        <f>COUNTIFS(Respostas_Formatadas!$C:$C,EmpAtual!$CA$42,Respostas_Formatadas!$BN:$BN,EmpAtual!CC$43)</f>
        <v>0</v>
      </c>
      <c r="CD51" s="120">
        <f>COUNTIFS(Respostas_Formatadas!$C:$C,EmpAtual!$CA$42,Respostas_Formatadas!$BN:$BN,EmpAtual!CD$43)</f>
        <v>0</v>
      </c>
      <c r="CE51" s="120">
        <f>COUNTIFS(Respostas_Formatadas!$C:$C,EmpAtual!$CA$42,Respostas_Formatadas!$BN:$BN,EmpAtual!CE$43)</f>
        <v>0</v>
      </c>
      <c r="CF51" s="120">
        <f>COUNTIFS(Respostas_Formatadas!$C:$C,EmpAtual!$CA$42,Respostas_Formatadas!$BN:$BN,EmpAtual!CF$43)</f>
        <v>18</v>
      </c>
      <c r="CG51" s="120">
        <f t="shared" si="50"/>
        <v>18</v>
      </c>
      <c r="CH51" s="173">
        <f t="shared" si="45"/>
        <v>5</v>
      </c>
      <c r="CI51" s="48"/>
      <c r="CJ51" s="48"/>
      <c r="CK51" s="48"/>
      <c r="CL51" s="48"/>
      <c r="CM51" s="81">
        <f t="shared" si="46"/>
        <v>68</v>
      </c>
      <c r="CN51" s="51" t="s">
        <v>55</v>
      </c>
      <c r="CO51" s="120">
        <f>COUNTIFS(Respostas_Formatadas!$C:$C,EmpAtual!$CN$42,Respostas_Formatadas!$CA:$CA,EmpAtual!CO$43)</f>
        <v>0</v>
      </c>
      <c r="CP51" s="120">
        <f>COUNTIFS(Respostas_Formatadas!$C:$C,EmpAtual!$CN$42,Respostas_Formatadas!$CA:$CA,EmpAtual!CP$43)</f>
        <v>0</v>
      </c>
      <c r="CQ51" s="120">
        <f>COUNTIFS(Respostas_Formatadas!$C:$C,EmpAtual!$CN$42,Respostas_Formatadas!$CA:$CA,EmpAtual!CQ$43)</f>
        <v>0</v>
      </c>
      <c r="CR51" s="120">
        <f>COUNTIFS(Respostas_Formatadas!$C:$C,EmpAtual!$CN$42,Respostas_Formatadas!$CA:$CA,EmpAtual!CR$43)</f>
        <v>0</v>
      </c>
      <c r="CS51" s="120">
        <f>COUNTIFS(Respostas_Formatadas!$C:$C,EmpAtual!$CN$42,Respostas_Formatadas!$CA:$CA,EmpAtual!CS$43)</f>
        <v>19</v>
      </c>
      <c r="CT51" s="120">
        <f t="shared" si="51"/>
        <v>19</v>
      </c>
      <c r="CU51" s="173">
        <f t="shared" si="47"/>
        <v>5</v>
      </c>
      <c r="CV51" s="48"/>
      <c r="CW51" s="48"/>
      <c r="CX51" s="48"/>
      <c r="CY51" s="48"/>
      <c r="CZ51" s="48"/>
      <c r="DA51" s="48"/>
      <c r="DB51" s="48"/>
      <c r="DC51" s="48"/>
      <c r="DD51" s="48"/>
      <c r="DE51" s="48"/>
      <c r="DF51" s="48"/>
      <c r="DG51" s="48"/>
      <c r="DH51" s="48"/>
      <c r="DI51" s="48"/>
      <c r="DJ51" s="48"/>
      <c r="DK51" s="48"/>
      <c r="DL51" s="48"/>
      <c r="DM51" s="48"/>
      <c r="DN51" s="48"/>
      <c r="DO51" s="48"/>
      <c r="DP51" s="48"/>
    </row>
    <row r="52" spans="2:120" x14ac:dyDescent="0.2">
      <c r="B52" s="48"/>
      <c r="C52" s="144"/>
      <c r="D52" s="48"/>
      <c r="E52" s="48"/>
      <c r="F52" s="121" t="s">
        <v>1187</v>
      </c>
      <c r="G52" s="48"/>
      <c r="H52" s="48"/>
      <c r="I52" s="48"/>
      <c r="J52" s="48"/>
      <c r="K52" s="48"/>
      <c r="L52" s="48"/>
      <c r="M52" s="52">
        <v>44</v>
      </c>
      <c r="N52" s="51" t="s">
        <v>521</v>
      </c>
      <c r="O52" s="70">
        <v>1</v>
      </c>
      <c r="P52" s="53">
        <f t="shared" si="3"/>
        <v>6.5359477124183009E-3</v>
      </c>
      <c r="Q52" s="48"/>
      <c r="R52" s="52">
        <v>44</v>
      </c>
      <c r="S52" s="51" t="str">
        <f t="array" ref="S52">INDEX($N$103:$N$188,SMALL(IF($O$103:$O$188=T52,ROW($O$103:$O$188)-102),COUNTIF($T$9:T52,T52)))</f>
        <v>Atendente</v>
      </c>
      <c r="T52" s="70">
        <f t="shared" si="4"/>
        <v>0</v>
      </c>
      <c r="U52" s="53">
        <f t="shared" si="5"/>
        <v>0</v>
      </c>
      <c r="V52" s="48"/>
      <c r="W52" s="51" t="s">
        <v>127</v>
      </c>
      <c r="X52" s="69">
        <f t="shared" ca="1" si="40"/>
        <v>2236.2857142857142</v>
      </c>
      <c r="Y52" s="69">
        <f>IFERROR(_xlfn.MODE.SNGL($X$170:$X$176),"-")</f>
        <v>1500</v>
      </c>
      <c r="Z52" s="69">
        <f>IFERROR(MEDIAN($X$170:$X$176),"-")</f>
        <v>1500</v>
      </c>
      <c r="AA52" s="69">
        <f>IFERROR(_xlfn.STDEV.S($X$170:$X$176),"-")</f>
        <v>2113.1847777139378</v>
      </c>
      <c r="AB52" s="69">
        <f t="shared" si="41"/>
        <v>4465549.9047619049</v>
      </c>
      <c r="AC52" s="69">
        <f>IFERROR(MAX($X$170:$X$176),"-")</f>
        <v>7000</v>
      </c>
      <c r="AD52" s="69">
        <f>IFERROR(MIN($X$170:$X$176),"-")</f>
        <v>954</v>
      </c>
      <c r="AE52" s="70">
        <f t="shared" si="42"/>
        <v>7</v>
      </c>
      <c r="AF52" s="48"/>
      <c r="AG52" s="48"/>
      <c r="AH52" s="48"/>
      <c r="AI52" s="48"/>
      <c r="AJ52" s="48"/>
      <c r="AK52" s="48"/>
      <c r="AL52" s="48"/>
      <c r="AM52" s="48"/>
      <c r="AN52" s="48"/>
      <c r="AO52" s="48"/>
      <c r="AP52" s="48"/>
      <c r="AQ52" s="48"/>
      <c r="AR52" s="48"/>
      <c r="AS52" s="48"/>
      <c r="AT52" s="48"/>
      <c r="AU52" s="48"/>
      <c r="AV52" s="48"/>
      <c r="AW52" s="48"/>
      <c r="AX52" s="48"/>
      <c r="AY52" s="48"/>
      <c r="AZ52" s="48"/>
      <c r="BA52" s="48"/>
      <c r="BB52" s="48"/>
      <c r="BC52" s="48"/>
      <c r="BD52" s="48"/>
      <c r="BE52" s="48"/>
      <c r="BF52" s="48"/>
      <c r="BG52" s="48"/>
      <c r="BH52" s="48"/>
      <c r="BI52" s="48"/>
      <c r="BJ52" s="48"/>
      <c r="BK52" s="48"/>
      <c r="BL52" s="48"/>
      <c r="BM52" s="48"/>
      <c r="BN52" s="48"/>
      <c r="BO52" s="48"/>
      <c r="BP52" s="48"/>
      <c r="BQ52" s="296" t="str">
        <f t="shared" si="52"/>
        <v>Nossa Senhora do Socorro</v>
      </c>
      <c r="BR52" s="238">
        <f>COUNTIFS(Respostas_Formatadas!$C:$C,EmpAtual!$BQ$47,Respostas_Formatadas!$BC:$BC,EmpAtual!BQ52)</f>
        <v>0</v>
      </c>
      <c r="BS52" s="240">
        <f t="shared" si="53"/>
        <v>0</v>
      </c>
      <c r="BT52" s="48"/>
      <c r="BU52" s="48"/>
      <c r="BV52" s="48"/>
      <c r="BW52" s="48"/>
      <c r="BX52" s="48"/>
      <c r="BY52" s="48"/>
      <c r="BZ52" s="198">
        <f t="shared" si="48"/>
        <v>56</v>
      </c>
      <c r="CA52" s="199" t="str">
        <f t="shared" si="49"/>
        <v>Habilidade de encontrar ideias e soluções inovadoras</v>
      </c>
      <c r="CB52" s="201">
        <f>COUNTIFS(Respostas_Formatadas!$C:$C,EmpAtual!$CA$42,Respostas_Formatadas!$BO:$BO,EmpAtual!CB$43)</f>
        <v>1</v>
      </c>
      <c r="CC52" s="201">
        <f>COUNTIFS(Respostas_Formatadas!$C:$C,EmpAtual!$CA$42,Respostas_Formatadas!$BO:$BO,EmpAtual!CC$43)</f>
        <v>0</v>
      </c>
      <c r="CD52" s="201">
        <f>COUNTIFS(Respostas_Formatadas!$C:$C,EmpAtual!$CA$42,Respostas_Formatadas!$BO:$BO,EmpAtual!CD$43)</f>
        <v>1</v>
      </c>
      <c r="CE52" s="201">
        <f>COUNTIFS(Respostas_Formatadas!$C:$C,EmpAtual!$CA$42,Respostas_Formatadas!$BO:$BO,EmpAtual!CE$43)</f>
        <v>6</v>
      </c>
      <c r="CF52" s="201">
        <f>COUNTIFS(Respostas_Formatadas!$C:$C,EmpAtual!$CA$42,Respostas_Formatadas!$BO:$BO,EmpAtual!CF$43)</f>
        <v>10</v>
      </c>
      <c r="CG52" s="201">
        <f t="shared" si="50"/>
        <v>18</v>
      </c>
      <c r="CH52" s="202">
        <f t="shared" si="45"/>
        <v>4.333333333333333</v>
      </c>
      <c r="CI52" s="48"/>
      <c r="CJ52" s="48"/>
      <c r="CK52" s="48"/>
      <c r="CL52" s="48"/>
      <c r="CM52" s="198">
        <f t="shared" si="46"/>
        <v>69</v>
      </c>
      <c r="CN52" s="199" t="s">
        <v>56</v>
      </c>
      <c r="CO52" s="201">
        <f>COUNTIFS(Respostas_Formatadas!$C:$C,EmpAtual!$CN$42,Respostas_Formatadas!$CB:$CB,EmpAtual!CO$43)</f>
        <v>0</v>
      </c>
      <c r="CP52" s="201">
        <f>COUNTIFS(Respostas_Formatadas!$C:$C,EmpAtual!$CN$42,Respostas_Formatadas!$CB:$CB,EmpAtual!CP$43)</f>
        <v>0</v>
      </c>
      <c r="CQ52" s="201">
        <f>COUNTIFS(Respostas_Formatadas!$C:$C,EmpAtual!$CN$42,Respostas_Formatadas!$CB:$CB,EmpAtual!CQ$43)</f>
        <v>6</v>
      </c>
      <c r="CR52" s="201">
        <f>COUNTIFS(Respostas_Formatadas!$C:$C,EmpAtual!$CN$42,Respostas_Formatadas!$CB:$CB,EmpAtual!CR$43)</f>
        <v>7</v>
      </c>
      <c r="CS52" s="201">
        <f>COUNTIFS(Respostas_Formatadas!$C:$C,EmpAtual!$CN$42,Respostas_Formatadas!$CB:$CB,EmpAtual!CS$43)</f>
        <v>6</v>
      </c>
      <c r="CT52" s="201">
        <f t="shared" si="51"/>
        <v>19</v>
      </c>
      <c r="CU52" s="202">
        <f t="shared" si="47"/>
        <v>4</v>
      </c>
      <c r="CV52" s="48"/>
      <c r="CW52" s="48"/>
      <c r="CX52" s="48"/>
      <c r="CY52" s="48"/>
      <c r="CZ52" s="48"/>
      <c r="DA52" s="48"/>
      <c r="DB52" s="48"/>
      <c r="DC52" s="48"/>
      <c r="DD52" s="48"/>
      <c r="DE52" s="48"/>
      <c r="DF52" s="48"/>
      <c r="DG52" s="48"/>
      <c r="DH52" s="48"/>
      <c r="DI52" s="48"/>
      <c r="DJ52" s="48"/>
      <c r="DK52" s="48"/>
      <c r="DL52" s="48"/>
      <c r="DM52" s="48"/>
      <c r="DN52" s="48"/>
      <c r="DO52" s="48"/>
      <c r="DP52" s="48"/>
    </row>
    <row r="53" spans="2:120" x14ac:dyDescent="0.2">
      <c r="B53" s="48"/>
      <c r="C53" s="144"/>
      <c r="D53" s="48"/>
      <c r="E53" s="48"/>
      <c r="F53" s="195" t="s">
        <v>1062</v>
      </c>
      <c r="G53" s="196" t="s">
        <v>131</v>
      </c>
      <c r="H53" s="196" t="s">
        <v>132</v>
      </c>
      <c r="I53" s="196" t="s">
        <v>1152</v>
      </c>
      <c r="J53" s="48"/>
      <c r="K53" s="48"/>
      <c r="L53" s="48"/>
      <c r="M53" s="52">
        <v>45</v>
      </c>
      <c r="N53" s="51" t="s">
        <v>545</v>
      </c>
      <c r="O53" s="70">
        <v>1</v>
      </c>
      <c r="P53" s="53">
        <f t="shared" si="3"/>
        <v>6.5359477124183009E-3</v>
      </c>
      <c r="Q53" s="48"/>
      <c r="R53" s="52">
        <v>45</v>
      </c>
      <c r="S53" s="51" t="str">
        <f t="array" ref="S53">INDEX($N$103:$N$188,SMALL(IF($O$103:$O$188=T53,ROW($O$103:$O$188)-102),COUNTIF($T$9:T53,T53)))</f>
        <v>Profissional da Automação de Marketing</v>
      </c>
      <c r="T53" s="70">
        <f t="shared" si="4"/>
        <v>0</v>
      </c>
      <c r="U53" s="53">
        <f t="shared" si="5"/>
        <v>0</v>
      </c>
      <c r="V53" s="48"/>
      <c r="W53" s="51" t="s">
        <v>124</v>
      </c>
      <c r="X53" s="69">
        <f t="shared" ca="1" si="40"/>
        <v>3212</v>
      </c>
      <c r="Y53" s="69">
        <f>IFERROR(_xlfn.MODE.SNGL($X$177:$X$203),"-")</f>
        <v>2000</v>
      </c>
      <c r="Z53" s="69">
        <f>IFERROR(MEDIAN($X$177:$X$203),"-")</f>
        <v>2100</v>
      </c>
      <c r="AA53" s="69">
        <f>IFERROR(_xlfn.STDEV.S($X$177:$X$203),"-")</f>
        <v>2489.2094049192528</v>
      </c>
      <c r="AB53" s="69">
        <f t="shared" si="41"/>
        <v>6196163.461538461</v>
      </c>
      <c r="AC53" s="69">
        <f>IFERROR(MAX($X$177:$X$203),"-")</f>
        <v>10000</v>
      </c>
      <c r="AD53" s="69">
        <f>IFERROR(MIN($X$177:$X$203),"-")</f>
        <v>937</v>
      </c>
      <c r="AE53" s="70">
        <f t="shared" si="42"/>
        <v>27</v>
      </c>
      <c r="AF53" s="48"/>
      <c r="AG53" s="48"/>
      <c r="AH53" s="48"/>
      <c r="AI53" s="48"/>
      <c r="AJ53" s="48"/>
      <c r="AK53" s="48"/>
      <c r="AL53" s="48"/>
      <c r="AM53" s="48"/>
      <c r="AN53" s="48"/>
      <c r="AO53" s="48"/>
      <c r="AP53" s="48"/>
      <c r="AQ53" s="48"/>
      <c r="AR53" s="48"/>
      <c r="AS53" s="48"/>
      <c r="AT53" s="48"/>
      <c r="AU53" s="48"/>
      <c r="AV53" s="48"/>
      <c r="AW53" s="48"/>
      <c r="AX53" s="48"/>
      <c r="AY53" s="48"/>
      <c r="AZ53" s="48"/>
      <c r="BA53" s="48"/>
      <c r="BB53" s="48"/>
      <c r="BC53" s="48"/>
      <c r="BD53" s="48"/>
      <c r="BE53" s="48"/>
      <c r="BF53" s="48"/>
      <c r="BG53" s="48"/>
      <c r="BH53" s="48"/>
      <c r="BI53" s="48"/>
      <c r="BJ53" s="48"/>
      <c r="BK53" s="48"/>
      <c r="BL53" s="48"/>
      <c r="BM53" s="48"/>
      <c r="BN53" s="48"/>
      <c r="BO53" s="48"/>
      <c r="BP53" s="48"/>
      <c r="BQ53" s="296" t="str">
        <f t="shared" si="52"/>
        <v>São Cristóvão</v>
      </c>
      <c r="BR53" s="238">
        <f>COUNTIFS(Respostas_Formatadas!$C:$C,EmpAtual!$BQ$47,Respostas_Formatadas!$BC:$BC,EmpAtual!BQ53)</f>
        <v>0</v>
      </c>
      <c r="BS53" s="240">
        <f t="shared" si="53"/>
        <v>0</v>
      </c>
      <c r="BT53" s="48"/>
      <c r="BU53" s="48"/>
      <c r="BV53" s="48"/>
      <c r="BW53" s="48"/>
      <c r="BX53" s="48"/>
      <c r="BY53" s="48"/>
      <c r="BZ53" s="81">
        <f t="shared" si="48"/>
        <v>57</v>
      </c>
      <c r="CA53" s="51" t="str">
        <f t="shared" si="49"/>
        <v>Disposição para questionar suas próprias ideias e as dos outros</v>
      </c>
      <c r="CB53" s="120">
        <f>COUNTIFS(Respostas_Formatadas!$C:$C,EmpAtual!$CA$42,Respostas_Formatadas!$BP:$BP,EmpAtual!CB$43)</f>
        <v>0</v>
      </c>
      <c r="CC53" s="120">
        <f>COUNTIFS(Respostas_Formatadas!$C:$C,EmpAtual!$CA$42,Respostas_Formatadas!$BP:$BP,EmpAtual!CC$43)</f>
        <v>0</v>
      </c>
      <c r="CD53" s="120">
        <f>COUNTIFS(Respostas_Formatadas!$C:$C,EmpAtual!$CA$42,Respostas_Formatadas!$BP:$BP,EmpAtual!CD$43)</f>
        <v>3</v>
      </c>
      <c r="CE53" s="120">
        <f>COUNTIFS(Respostas_Formatadas!$C:$C,EmpAtual!$CA$42,Respostas_Formatadas!$BP:$BP,EmpAtual!CE$43)</f>
        <v>6</v>
      </c>
      <c r="CF53" s="120">
        <f>COUNTIFS(Respostas_Formatadas!$C:$C,EmpAtual!$CA$42,Respostas_Formatadas!$BP:$BP,EmpAtual!CF$43)</f>
        <v>9</v>
      </c>
      <c r="CG53" s="120">
        <f t="shared" si="50"/>
        <v>18</v>
      </c>
      <c r="CH53" s="173">
        <f t="shared" si="45"/>
        <v>4.333333333333333</v>
      </c>
      <c r="CI53" s="48"/>
      <c r="CJ53" s="48"/>
      <c r="CK53" s="48"/>
      <c r="CL53" s="48"/>
      <c r="CM53" s="81">
        <f t="shared" si="46"/>
        <v>70</v>
      </c>
      <c r="CN53" s="51" t="s">
        <v>57</v>
      </c>
      <c r="CO53" s="120">
        <f>COUNTIFS(Respostas_Formatadas!$C:$C,EmpAtual!$CN$42,Respostas_Formatadas!$CC:$CC,EmpAtual!CO$43)</f>
        <v>0</v>
      </c>
      <c r="CP53" s="120">
        <f>COUNTIFS(Respostas_Formatadas!$C:$C,EmpAtual!$CN$42,Respostas_Formatadas!$CC:$CC,EmpAtual!CP$43)</f>
        <v>0</v>
      </c>
      <c r="CQ53" s="120">
        <f>COUNTIFS(Respostas_Formatadas!$C:$C,EmpAtual!$CN$42,Respostas_Formatadas!$CC:$CC,EmpAtual!CQ$43)</f>
        <v>4</v>
      </c>
      <c r="CR53" s="120">
        <f>COUNTIFS(Respostas_Formatadas!$C:$C,EmpAtual!$CN$42,Respostas_Formatadas!$CC:$CC,EmpAtual!CR$43)</f>
        <v>9</v>
      </c>
      <c r="CS53" s="120">
        <f>COUNTIFS(Respostas_Formatadas!$C:$C,EmpAtual!$CN$42,Respostas_Formatadas!$CC:$CC,EmpAtual!CS$43)</f>
        <v>6</v>
      </c>
      <c r="CT53" s="120">
        <f t="shared" si="51"/>
        <v>19</v>
      </c>
      <c r="CU53" s="173">
        <f t="shared" si="47"/>
        <v>4.1052631578947372</v>
      </c>
      <c r="CV53" s="48"/>
      <c r="CW53" s="48"/>
      <c r="CX53" s="48"/>
      <c r="CY53" s="48"/>
      <c r="CZ53" s="48"/>
      <c r="DA53" s="48"/>
      <c r="DB53" s="48"/>
      <c r="DC53" s="48"/>
      <c r="DD53" s="48"/>
      <c r="DE53" s="48"/>
      <c r="DF53" s="48"/>
      <c r="DG53" s="48"/>
      <c r="DH53" s="48"/>
      <c r="DI53" s="48"/>
      <c r="DJ53" s="48"/>
      <c r="DK53" s="48"/>
      <c r="DL53" s="48"/>
      <c r="DM53" s="48"/>
      <c r="DN53" s="48"/>
      <c r="DO53" s="48"/>
      <c r="DP53" s="48"/>
    </row>
    <row r="54" spans="2:120" x14ac:dyDescent="0.2">
      <c r="B54" s="48"/>
      <c r="C54" s="144"/>
      <c r="D54" s="48"/>
      <c r="E54" s="48"/>
      <c r="F54" s="60">
        <v>2010</v>
      </c>
      <c r="G54" s="52">
        <f>IFERROR(COUNTIFS(Respostas_Formatadas!$Y:$Y,EmpAtual!$F$17,Respostas_Formatadas!$FE:$FE,EmpAtual!$F54),"-")</f>
        <v>2</v>
      </c>
      <c r="H54" s="53">
        <f>G54/$G$63</f>
        <v>2.0618556701030927E-2</v>
      </c>
      <c r="I54" s="53">
        <f t="shared" ref="I54:I62" si="54">G54/G86</f>
        <v>0.33333333333333331</v>
      </c>
      <c r="J54" s="127"/>
      <c r="K54" s="48"/>
      <c r="L54" s="48"/>
      <c r="M54" s="52">
        <v>46</v>
      </c>
      <c r="N54" s="51" t="s">
        <v>1225</v>
      </c>
      <c r="O54" s="70">
        <v>1</v>
      </c>
      <c r="P54" s="53">
        <f t="shared" si="3"/>
        <v>6.5359477124183009E-3</v>
      </c>
      <c r="Q54" s="48"/>
      <c r="R54" s="52">
        <v>46</v>
      </c>
      <c r="S54" s="51" t="str">
        <f t="array" ref="S54">INDEX($N$103:$N$188,SMALL(IF($O$103:$O$188=T54,ROW($O$103:$O$188)-102),COUNTIF($T$9:T54,T54)))</f>
        <v>Chefe de Patrimônio</v>
      </c>
      <c r="T54" s="70">
        <f t="shared" si="4"/>
        <v>0</v>
      </c>
      <c r="U54" s="53">
        <f t="shared" si="5"/>
        <v>0</v>
      </c>
      <c r="V54" s="48"/>
      <c r="W54" s="48"/>
      <c r="X54" s="48"/>
      <c r="Y54" s="48"/>
      <c r="Z54" s="48"/>
      <c r="AA54" s="48"/>
      <c r="AB54" s="48"/>
      <c r="AC54" s="48"/>
      <c r="AD54" s="48"/>
      <c r="AE54" s="48"/>
      <c r="AF54" s="48"/>
      <c r="AG54" s="48"/>
      <c r="AH54" s="48"/>
      <c r="AI54" s="48"/>
      <c r="AJ54" s="48"/>
      <c r="AK54" s="48"/>
      <c r="AL54" s="48"/>
      <c r="AM54" s="48"/>
      <c r="AN54" s="48"/>
      <c r="AO54" s="48"/>
      <c r="AP54" s="48"/>
      <c r="AQ54" s="48"/>
      <c r="AR54" s="48"/>
      <c r="AS54" s="48"/>
      <c r="AT54" s="48"/>
      <c r="AU54" s="48"/>
      <c r="AV54" s="48"/>
      <c r="AW54" s="48"/>
      <c r="AX54" s="48"/>
      <c r="AY54" s="48"/>
      <c r="AZ54" s="48"/>
      <c r="BA54" s="48"/>
      <c r="BB54" s="48"/>
      <c r="BC54" s="48"/>
      <c r="BD54" s="48"/>
      <c r="BE54" s="48"/>
      <c r="BF54" s="48"/>
      <c r="BG54" s="48"/>
      <c r="BH54" s="48"/>
      <c r="BI54" s="48"/>
      <c r="BJ54" s="48"/>
      <c r="BK54" s="48"/>
      <c r="BL54" s="48"/>
      <c r="BM54" s="48"/>
      <c r="BN54" s="48"/>
      <c r="BO54" s="48"/>
      <c r="BP54" s="48"/>
      <c r="BQ54" s="296" t="str">
        <f t="shared" si="52"/>
        <v>Estância</v>
      </c>
      <c r="BR54" s="238">
        <f>COUNTIFS(Respostas_Formatadas!$C:$C,EmpAtual!$BQ$47,Respostas_Formatadas!$BC:$BC,EmpAtual!BQ54)</f>
        <v>1</v>
      </c>
      <c r="BS54" s="240">
        <f t="shared" si="53"/>
        <v>0.2</v>
      </c>
      <c r="BT54" s="48"/>
      <c r="BU54" s="48"/>
      <c r="BV54" s="48"/>
      <c r="BW54" s="48"/>
      <c r="BX54" s="48"/>
      <c r="BY54" s="48"/>
      <c r="BZ54" s="198">
        <f t="shared" si="48"/>
        <v>58</v>
      </c>
      <c r="CA54" s="199" t="str">
        <f t="shared" si="49"/>
        <v>Habilidade de apresentar produtos, ideias ou relatórios em público</v>
      </c>
      <c r="CB54" s="201">
        <f>COUNTIFS(Respostas_Formatadas!$C:$C,EmpAtual!$CA$42,Respostas_Formatadas!$BQ:$BQ,EmpAtual!CB$43)</f>
        <v>3</v>
      </c>
      <c r="CC54" s="201">
        <f>COUNTIFS(Respostas_Formatadas!$C:$C,EmpAtual!$CA$42,Respostas_Formatadas!$BQ:$BQ,EmpAtual!CC$43)</f>
        <v>3</v>
      </c>
      <c r="CD54" s="201">
        <f>COUNTIFS(Respostas_Formatadas!$C:$C,EmpAtual!$CA$42,Respostas_Formatadas!$BQ:$BQ,EmpAtual!CD$43)</f>
        <v>3</v>
      </c>
      <c r="CE54" s="201">
        <f>COUNTIFS(Respostas_Formatadas!$C:$C,EmpAtual!$CA$42,Respostas_Formatadas!$BQ:$BQ,EmpAtual!CE$43)</f>
        <v>5</v>
      </c>
      <c r="CF54" s="201">
        <f>COUNTIFS(Respostas_Formatadas!$C:$C,EmpAtual!$CA$42,Respostas_Formatadas!$BQ:$BQ,EmpAtual!CF$43)</f>
        <v>4</v>
      </c>
      <c r="CG54" s="201">
        <f t="shared" si="50"/>
        <v>18</v>
      </c>
      <c r="CH54" s="202">
        <f t="shared" si="45"/>
        <v>3.2222222222222223</v>
      </c>
      <c r="CI54" s="48"/>
      <c r="CJ54" s="48"/>
      <c r="CK54" s="48"/>
      <c r="CL54" s="48"/>
      <c r="CM54" s="198">
        <f t="shared" si="46"/>
        <v>71</v>
      </c>
      <c r="CN54" s="199" t="s">
        <v>58</v>
      </c>
      <c r="CO54" s="201">
        <f>COUNTIFS(Respostas_Formatadas!$C:$C,EmpAtual!$CN$42,Respostas_Formatadas!$CD:$CD,EmpAtual!CO$43)</f>
        <v>1</v>
      </c>
      <c r="CP54" s="201">
        <f>COUNTIFS(Respostas_Formatadas!$C:$C,EmpAtual!$CN$42,Respostas_Formatadas!$CD:$CD,EmpAtual!CP$43)</f>
        <v>2</v>
      </c>
      <c r="CQ54" s="201">
        <f>COUNTIFS(Respostas_Formatadas!$C:$C,EmpAtual!$CN$42,Respostas_Formatadas!$CD:$CD,EmpAtual!CQ$43)</f>
        <v>5</v>
      </c>
      <c r="CR54" s="201">
        <f>COUNTIFS(Respostas_Formatadas!$C:$C,EmpAtual!$CN$42,Respostas_Formatadas!$CD:$CD,EmpAtual!CR$43)</f>
        <v>6</v>
      </c>
      <c r="CS54" s="201">
        <f>COUNTIFS(Respostas_Formatadas!$C:$C,EmpAtual!$CN$42,Respostas_Formatadas!$CD:$CD,EmpAtual!CS$43)</f>
        <v>5</v>
      </c>
      <c r="CT54" s="201">
        <f t="shared" si="51"/>
        <v>19</v>
      </c>
      <c r="CU54" s="202">
        <f t="shared" si="47"/>
        <v>3.6315789473684212</v>
      </c>
      <c r="CV54" s="48"/>
      <c r="CW54" s="48"/>
      <c r="CX54" s="48"/>
      <c r="CY54" s="48"/>
      <c r="CZ54" s="48"/>
      <c r="DA54" s="48"/>
      <c r="DB54" s="48"/>
      <c r="DC54" s="48"/>
      <c r="DD54" s="48"/>
      <c r="DE54" s="48"/>
      <c r="DF54" s="48"/>
      <c r="DG54" s="48"/>
      <c r="DH54" s="48"/>
      <c r="DI54" s="48"/>
      <c r="DJ54" s="48"/>
      <c r="DK54" s="48"/>
      <c r="DL54" s="48"/>
      <c r="DM54" s="48"/>
      <c r="DN54" s="48"/>
      <c r="DO54" s="48"/>
      <c r="DP54" s="48"/>
    </row>
    <row r="55" spans="2:120" x14ac:dyDescent="0.2">
      <c r="B55" s="48"/>
      <c r="C55" s="144"/>
      <c r="D55" s="48"/>
      <c r="E55" s="48"/>
      <c r="F55" s="60">
        <v>2011</v>
      </c>
      <c r="G55" s="52">
        <f>IFERROR(COUNTIFS(Respostas_Formatadas!$Y:$Y,EmpAtual!$F$17,Respostas_Formatadas!$FE:$FE,EmpAtual!$F55),"-")</f>
        <v>1</v>
      </c>
      <c r="H55" s="53">
        <f t="shared" ref="H55:H62" si="55">G55/$G$63</f>
        <v>1.0309278350515464E-2</v>
      </c>
      <c r="I55" s="53">
        <f t="shared" si="54"/>
        <v>0.25</v>
      </c>
      <c r="J55" s="127"/>
      <c r="K55" s="48"/>
      <c r="L55" s="48"/>
      <c r="M55" s="52">
        <v>47</v>
      </c>
      <c r="N55" s="51" t="s">
        <v>561</v>
      </c>
      <c r="O55" s="70">
        <v>1</v>
      </c>
      <c r="P55" s="53">
        <f t="shared" si="3"/>
        <v>6.5359477124183009E-3</v>
      </c>
      <c r="Q55" s="48"/>
      <c r="R55" s="52">
        <v>47</v>
      </c>
      <c r="S55" s="51" t="str">
        <f t="array" ref="S55">INDEX($N$103:$N$188,SMALL(IF($O$103:$O$188=T55,ROW($O$103:$O$188)-102),COUNTIF($T$9:T55,T55)))</f>
        <v>Agente de Reservas</v>
      </c>
      <c r="T55" s="70">
        <f t="shared" si="4"/>
        <v>0</v>
      </c>
      <c r="U55" s="53">
        <f t="shared" si="5"/>
        <v>0</v>
      </c>
      <c r="V55" s="48"/>
      <c r="W55" s="168" t="s">
        <v>2</v>
      </c>
      <c r="X55" s="168" t="s">
        <v>34</v>
      </c>
      <c r="Y55" s="168"/>
      <c r="Z55" s="168"/>
      <c r="AA55" s="168"/>
      <c r="AB55" s="48"/>
      <c r="AC55" s="48"/>
      <c r="AD55" s="48"/>
      <c r="AE55" s="48"/>
      <c r="AF55" s="48"/>
      <c r="AG55" s="48"/>
      <c r="AH55" s="48"/>
      <c r="AI55" s="48"/>
      <c r="AJ55" s="48"/>
      <c r="AK55" s="48"/>
      <c r="AL55" s="48"/>
      <c r="AM55" s="48"/>
      <c r="AN55" s="48"/>
      <c r="AO55" s="48"/>
      <c r="AP55" s="48"/>
      <c r="AQ55" s="48"/>
      <c r="AR55" s="48"/>
      <c r="AS55" s="48"/>
      <c r="AT55" s="48"/>
      <c r="AU55" s="48"/>
      <c r="AV55" s="48"/>
      <c r="AW55" s="48"/>
      <c r="AX55" s="48"/>
      <c r="AY55" s="48"/>
      <c r="AZ55" s="48"/>
      <c r="BA55" s="48"/>
      <c r="BB55" s="48"/>
      <c r="BC55" s="48"/>
      <c r="BD55" s="48"/>
      <c r="BE55" s="48"/>
      <c r="BF55" s="48"/>
      <c r="BG55" s="48"/>
      <c r="BH55" s="48"/>
      <c r="BI55" s="48"/>
      <c r="BJ55" s="48"/>
      <c r="BK55" s="48"/>
      <c r="BL55" s="48"/>
      <c r="BM55" s="48"/>
      <c r="BN55" s="48"/>
      <c r="BO55" s="48"/>
      <c r="BP55" s="48"/>
      <c r="BQ55" s="296" t="str">
        <f t="shared" si="52"/>
        <v>Recife - PE</v>
      </c>
      <c r="BR55" s="238">
        <f>COUNTIFS(Respostas_Formatadas!$C:$C,EmpAtual!$BQ$47,Respostas_Formatadas!$BC:$BC,EmpAtual!BQ55)</f>
        <v>0</v>
      </c>
      <c r="BS55" s="240">
        <f t="shared" si="53"/>
        <v>0</v>
      </c>
      <c r="BT55" s="48"/>
      <c r="BU55" s="48"/>
      <c r="BV55" s="48"/>
      <c r="BW55" s="48"/>
      <c r="BX55" s="48"/>
      <c r="BY55" s="48"/>
      <c r="BZ55" s="81">
        <f t="shared" si="48"/>
        <v>59</v>
      </c>
      <c r="CA55" s="51" t="str">
        <f t="shared" si="49"/>
        <v>Habilidade de escrever relatórios, memorandos ou documentos</v>
      </c>
      <c r="CB55" s="120">
        <f>COUNTIFS(Respostas_Formatadas!$C:$C,EmpAtual!$CA$42,Respostas_Formatadas!$BR:$BR,EmpAtual!CB$43)</f>
        <v>5</v>
      </c>
      <c r="CC55" s="120">
        <f>COUNTIFS(Respostas_Formatadas!$C:$C,EmpAtual!$CA$42,Respostas_Formatadas!$BR:$BR,EmpAtual!CC$43)</f>
        <v>5</v>
      </c>
      <c r="CD55" s="120">
        <f>COUNTIFS(Respostas_Formatadas!$C:$C,EmpAtual!$CA$42,Respostas_Formatadas!$BR:$BR,EmpAtual!CD$43)</f>
        <v>3</v>
      </c>
      <c r="CE55" s="120">
        <f>COUNTIFS(Respostas_Formatadas!$C:$C,EmpAtual!$CA$42,Respostas_Formatadas!$BR:$BR,EmpAtual!CE$43)</f>
        <v>1</v>
      </c>
      <c r="CF55" s="120">
        <f>COUNTIFS(Respostas_Formatadas!$C:$C,EmpAtual!$CA$42,Respostas_Formatadas!$BR:$BR,EmpAtual!CF$43)</f>
        <v>4</v>
      </c>
      <c r="CG55" s="120">
        <f t="shared" si="50"/>
        <v>18</v>
      </c>
      <c r="CH55" s="173">
        <f t="shared" si="45"/>
        <v>2.6666666666666665</v>
      </c>
      <c r="CI55" s="48"/>
      <c r="CJ55" s="48"/>
      <c r="CK55" s="48"/>
      <c r="CL55" s="48"/>
      <c r="CM55" s="81">
        <f t="shared" si="46"/>
        <v>72</v>
      </c>
      <c r="CN55" s="51" t="s">
        <v>59</v>
      </c>
      <c r="CO55" s="120">
        <f>COUNTIFS(Respostas_Formatadas!$C:$C,EmpAtual!$CN$42,Respostas_Formatadas!$CE:$CE,EmpAtual!CO$43)</f>
        <v>2</v>
      </c>
      <c r="CP55" s="120">
        <f>COUNTIFS(Respostas_Formatadas!$C:$C,EmpAtual!$CN$42,Respostas_Formatadas!$CE:$CE,EmpAtual!CP$43)</f>
        <v>2</v>
      </c>
      <c r="CQ55" s="120">
        <f>COUNTIFS(Respostas_Formatadas!$C:$C,EmpAtual!$CN$42,Respostas_Formatadas!$CE:$CE,EmpAtual!CQ$43)</f>
        <v>7</v>
      </c>
      <c r="CR55" s="120">
        <f>COUNTIFS(Respostas_Formatadas!$C:$C,EmpAtual!$CN$42,Respostas_Formatadas!$CE:$CE,EmpAtual!CR$43)</f>
        <v>5</v>
      </c>
      <c r="CS55" s="120">
        <f>COUNTIFS(Respostas_Formatadas!$C:$C,EmpAtual!$CN$42,Respostas_Formatadas!$CE:$CE,EmpAtual!CS$43)</f>
        <v>3</v>
      </c>
      <c r="CT55" s="120">
        <f t="shared" si="51"/>
        <v>19</v>
      </c>
      <c r="CU55" s="173">
        <f t="shared" si="47"/>
        <v>3.263157894736842</v>
      </c>
      <c r="CV55" s="48"/>
      <c r="CW55" s="48"/>
      <c r="CX55" s="48"/>
      <c r="CY55" s="48"/>
      <c r="CZ55" s="48"/>
      <c r="DA55" s="48"/>
      <c r="DB55" s="48"/>
      <c r="DC55" s="48"/>
      <c r="DD55" s="48"/>
      <c r="DE55" s="48"/>
      <c r="DF55" s="48"/>
      <c r="DG55" s="48"/>
      <c r="DH55" s="48"/>
      <c r="DI55" s="48"/>
      <c r="DJ55" s="48"/>
      <c r="DK55" s="48"/>
      <c r="DL55" s="48"/>
      <c r="DM55" s="48"/>
      <c r="DN55" s="48"/>
      <c r="DO55" s="48"/>
      <c r="DP55" s="48"/>
    </row>
    <row r="56" spans="2:120" x14ac:dyDescent="0.2">
      <c r="B56" s="48"/>
      <c r="C56" s="144"/>
      <c r="D56" s="48"/>
      <c r="E56" s="48"/>
      <c r="F56" s="60">
        <v>2012</v>
      </c>
      <c r="G56" s="52">
        <f>IFERROR(COUNTIFS(Respostas_Formatadas!$Y:$Y,EmpAtual!$F$17,Respostas_Formatadas!$FE:$FE,EmpAtual!$F56),"-")</f>
        <v>1</v>
      </c>
      <c r="H56" s="53">
        <f t="shared" si="55"/>
        <v>1.0309278350515464E-2</v>
      </c>
      <c r="I56" s="53">
        <f t="shared" si="54"/>
        <v>0.33333333333333331</v>
      </c>
      <c r="J56" s="127"/>
      <c r="K56" s="48"/>
      <c r="L56" s="48"/>
      <c r="M56" s="52">
        <v>48</v>
      </c>
      <c r="N56" s="51" t="s">
        <v>1226</v>
      </c>
      <c r="O56" s="70">
        <v>1</v>
      </c>
      <c r="P56" s="53">
        <f t="shared" si="3"/>
        <v>6.5359477124183009E-3</v>
      </c>
      <c r="Q56" s="48"/>
      <c r="R56" s="52">
        <v>48</v>
      </c>
      <c r="S56" s="51" t="str">
        <f t="array" ref="S56">INDEX($N$103:$N$188,SMALL(IF($O$103:$O$188=T56,ROW($O$103:$O$188)-102),COUNTIF($T$9:T56,T56)))</f>
        <v>Contínuo</v>
      </c>
      <c r="T56" s="70">
        <f t="shared" si="4"/>
        <v>0</v>
      </c>
      <c r="U56" s="53">
        <f t="shared" si="5"/>
        <v>0</v>
      </c>
      <c r="V56" s="48"/>
      <c r="W56" s="168" t="s">
        <v>119</v>
      </c>
      <c r="X56" s="179">
        <v>1800</v>
      </c>
      <c r="Y56" s="168"/>
      <c r="Z56" s="168"/>
      <c r="AA56" s="168"/>
      <c r="AB56" s="48"/>
      <c r="AC56" s="48"/>
      <c r="AD56" s="48"/>
      <c r="AE56" s="48"/>
      <c r="AF56" s="48"/>
      <c r="AG56" s="48"/>
      <c r="AH56" s="48"/>
      <c r="AI56" s="48"/>
      <c r="AJ56" s="48"/>
      <c r="AK56" s="48"/>
      <c r="AL56" s="48"/>
      <c r="AM56" s="48"/>
      <c r="AN56" s="48"/>
      <c r="AO56" s="48"/>
      <c r="AP56" s="48"/>
      <c r="AQ56" s="48"/>
      <c r="AR56" s="48"/>
      <c r="AS56" s="48"/>
      <c r="AT56" s="48"/>
      <c r="AU56" s="48"/>
      <c r="AV56" s="48"/>
      <c r="AW56" s="48"/>
      <c r="AX56" s="48"/>
      <c r="AY56" s="48"/>
      <c r="AZ56" s="48"/>
      <c r="BA56" s="48"/>
      <c r="BB56" s="48"/>
      <c r="BC56" s="48"/>
      <c r="BD56" s="48"/>
      <c r="BE56" s="48"/>
      <c r="BF56" s="48"/>
      <c r="BG56" s="48"/>
      <c r="BH56" s="48"/>
      <c r="BI56" s="48"/>
      <c r="BJ56" s="48"/>
      <c r="BK56" s="48"/>
      <c r="BL56" s="48"/>
      <c r="BM56" s="48"/>
      <c r="BN56" s="48"/>
      <c r="BO56" s="48"/>
      <c r="BP56" s="48"/>
      <c r="BQ56" s="296" t="str">
        <f t="shared" si="52"/>
        <v>Pinhão</v>
      </c>
      <c r="BR56" s="238">
        <f>COUNTIFS(Respostas_Formatadas!$C:$C,EmpAtual!$BQ$47,Respostas_Formatadas!$BC:$BC,EmpAtual!BQ56)</f>
        <v>0</v>
      </c>
      <c r="BS56" s="240">
        <f t="shared" si="53"/>
        <v>0</v>
      </c>
      <c r="BT56" s="48"/>
      <c r="BU56" s="48"/>
      <c r="BV56" s="48"/>
      <c r="BW56" s="48"/>
      <c r="BX56" s="48"/>
      <c r="BY56" s="48"/>
      <c r="BZ56" s="198">
        <f t="shared" si="48"/>
        <v>60</v>
      </c>
      <c r="CA56" s="199" t="str">
        <f t="shared" si="49"/>
        <v>Habilidade de falar e escrever em uma língua estrangeira</v>
      </c>
      <c r="CB56" s="201">
        <f>COUNTIFS(Respostas_Formatadas!$C:$C,EmpAtual!$CA$42,Respostas_Formatadas!$BS:$BS,EmpAtual!CB$43)</f>
        <v>8</v>
      </c>
      <c r="CC56" s="201">
        <f>COUNTIFS(Respostas_Formatadas!$C:$C,EmpAtual!$CA$42,Respostas_Formatadas!$BS:$BS,EmpAtual!CC$43)</f>
        <v>2</v>
      </c>
      <c r="CD56" s="201">
        <f>COUNTIFS(Respostas_Formatadas!$C:$C,EmpAtual!$CA$42,Respostas_Formatadas!$BS:$BS,EmpAtual!CD$43)</f>
        <v>3</v>
      </c>
      <c r="CE56" s="201">
        <f>COUNTIFS(Respostas_Formatadas!$C:$C,EmpAtual!$CA$42,Respostas_Formatadas!$BS:$BS,EmpAtual!CE$43)</f>
        <v>4</v>
      </c>
      <c r="CF56" s="201">
        <f>COUNTIFS(Respostas_Formatadas!$C:$C,EmpAtual!$CA$42,Respostas_Formatadas!$BS:$BS,EmpAtual!CF$43)</f>
        <v>1</v>
      </c>
      <c r="CG56" s="201">
        <f t="shared" si="50"/>
        <v>18</v>
      </c>
      <c r="CH56" s="202">
        <f t="shared" si="45"/>
        <v>2.3333333333333335</v>
      </c>
      <c r="CI56" s="48"/>
      <c r="CJ56" s="48"/>
      <c r="CK56" s="48"/>
      <c r="CL56" s="48"/>
      <c r="CM56" s="198">
        <f t="shared" si="46"/>
        <v>73</v>
      </c>
      <c r="CN56" s="199" t="s">
        <v>60</v>
      </c>
      <c r="CO56" s="201">
        <f>COUNTIFS(Respostas_Formatadas!$C:$C,EmpAtual!$CN$42,Respostas_Formatadas!$CF:$CF,EmpAtual!CO$43)</f>
        <v>6</v>
      </c>
      <c r="CP56" s="201">
        <f>COUNTIFS(Respostas_Formatadas!$C:$C,EmpAtual!$CN$42,Respostas_Formatadas!$CF:$CF,EmpAtual!CP$43)</f>
        <v>4</v>
      </c>
      <c r="CQ56" s="201">
        <f>COUNTIFS(Respostas_Formatadas!$C:$C,EmpAtual!$CN$42,Respostas_Formatadas!$CF:$CF,EmpAtual!CQ$43)</f>
        <v>2</v>
      </c>
      <c r="CR56" s="201">
        <f>COUNTIFS(Respostas_Formatadas!$C:$C,EmpAtual!$CN$42,Respostas_Formatadas!$CF:$CF,EmpAtual!CR$43)</f>
        <v>4</v>
      </c>
      <c r="CS56" s="201">
        <f>COUNTIFS(Respostas_Formatadas!$C:$C,EmpAtual!$CN$42,Respostas_Formatadas!$CF:$CF,EmpAtual!CS$43)</f>
        <v>3</v>
      </c>
      <c r="CT56" s="201">
        <f t="shared" si="51"/>
        <v>19</v>
      </c>
      <c r="CU56" s="202">
        <f t="shared" si="47"/>
        <v>2.6842105263157894</v>
      </c>
      <c r="CV56" s="48"/>
      <c r="CW56" s="48"/>
      <c r="CX56" s="48"/>
      <c r="CY56" s="48"/>
      <c r="CZ56" s="48"/>
      <c r="DA56" s="48"/>
      <c r="DB56" s="48"/>
      <c r="DC56" s="48"/>
      <c r="DD56" s="48"/>
      <c r="DE56" s="48"/>
      <c r="DF56" s="48"/>
      <c r="DG56" s="48"/>
      <c r="DH56" s="48"/>
      <c r="DI56" s="48"/>
      <c r="DJ56" s="48"/>
      <c r="DK56" s="48"/>
      <c r="DL56" s="48"/>
      <c r="DM56" s="48"/>
      <c r="DN56" s="48"/>
      <c r="DO56" s="48"/>
      <c r="DP56" s="48"/>
    </row>
    <row r="57" spans="2:120" x14ac:dyDescent="0.2">
      <c r="B57" s="48"/>
      <c r="C57" s="144"/>
      <c r="D57" s="48"/>
      <c r="E57" s="48"/>
      <c r="F57" s="60">
        <v>2013</v>
      </c>
      <c r="G57" s="52">
        <f>IFERROR(COUNTIFS(Respostas_Formatadas!$Y:$Y,EmpAtual!$F$17,Respostas_Formatadas!$FE:$FE,EmpAtual!$F57),"-")</f>
        <v>6</v>
      </c>
      <c r="H57" s="53">
        <f t="shared" si="55"/>
        <v>6.1855670103092786E-2</v>
      </c>
      <c r="I57" s="53">
        <f t="shared" si="54"/>
        <v>0.33333333333333331</v>
      </c>
      <c r="J57" s="127"/>
      <c r="K57" s="48"/>
      <c r="L57" s="48"/>
      <c r="M57" s="52">
        <v>49</v>
      </c>
      <c r="N57" s="51" t="s">
        <v>1227</v>
      </c>
      <c r="O57" s="70">
        <v>1</v>
      </c>
      <c r="P57" s="53">
        <f t="shared" si="3"/>
        <v>6.5359477124183009E-3</v>
      </c>
      <c r="Q57" s="48"/>
      <c r="R57" s="52">
        <v>49</v>
      </c>
      <c r="S57" s="51" t="str">
        <f t="array" ref="S57">INDEX($N$103:$N$188,SMALL(IF($O$103:$O$188=T57,ROW($O$103:$O$188)-102),COUNTIF($T$9:T57,T57)))</f>
        <v>Agente de Segurança Socioeducativo</v>
      </c>
      <c r="T57" s="70">
        <f t="shared" si="4"/>
        <v>0</v>
      </c>
      <c r="U57" s="53">
        <f t="shared" si="5"/>
        <v>0</v>
      </c>
      <c r="V57" s="48"/>
      <c r="W57" s="168" t="s">
        <v>119</v>
      </c>
      <c r="X57" s="179">
        <v>2800</v>
      </c>
      <c r="Y57" s="168"/>
      <c r="Z57" s="168"/>
      <c r="AA57" s="168"/>
      <c r="AB57" s="48"/>
      <c r="AC57" s="48"/>
      <c r="AD57" s="48"/>
      <c r="AE57" s="48"/>
      <c r="AF57" s="48"/>
      <c r="AG57" s="48"/>
      <c r="AH57" s="48"/>
      <c r="AI57" s="48"/>
      <c r="AJ57" s="48"/>
      <c r="AK57" s="48"/>
      <c r="AL57" s="48"/>
      <c r="AM57" s="48"/>
      <c r="AN57" s="48"/>
      <c r="AO57" s="48"/>
      <c r="AP57" s="48"/>
      <c r="AQ57" s="48"/>
      <c r="AR57" s="48"/>
      <c r="AS57" s="48"/>
      <c r="AT57" s="48"/>
      <c r="AU57" s="48"/>
      <c r="AV57" s="48"/>
      <c r="AW57" s="48"/>
      <c r="AX57" s="48"/>
      <c r="AY57" s="48"/>
      <c r="AZ57" s="48"/>
      <c r="BA57" s="48"/>
      <c r="BB57" s="48"/>
      <c r="BC57" s="48"/>
      <c r="BD57" s="48"/>
      <c r="BE57" s="48"/>
      <c r="BF57" s="48"/>
      <c r="BG57" s="48"/>
      <c r="BH57" s="48"/>
      <c r="BI57" s="48"/>
      <c r="BJ57" s="48"/>
      <c r="BK57" s="48"/>
      <c r="BL57" s="48"/>
      <c r="BM57" s="48"/>
      <c r="BN57" s="48"/>
      <c r="BO57" s="48"/>
      <c r="BP57" s="48"/>
      <c r="BQ57" s="296" t="str">
        <f t="shared" si="52"/>
        <v>Itabaiana</v>
      </c>
      <c r="BR57" s="238">
        <f>COUNTIFS(Respostas_Formatadas!$C:$C,EmpAtual!$BQ$47,Respostas_Formatadas!$BC:$BC,EmpAtual!BQ57)</f>
        <v>0</v>
      </c>
      <c r="BS57" s="240">
        <f t="shared" si="53"/>
        <v>0</v>
      </c>
      <c r="BT57" s="48"/>
      <c r="BU57" s="48"/>
      <c r="BV57" s="48"/>
      <c r="BW57" s="48"/>
      <c r="BX57" s="48"/>
      <c r="BY57" s="48"/>
      <c r="BZ57" s="48"/>
      <c r="CA57" s="48"/>
      <c r="CB57" s="48"/>
      <c r="CC57" s="48"/>
      <c r="CD57" s="48"/>
      <c r="CE57" s="48"/>
      <c r="CF57" s="48"/>
      <c r="CG57" s="48"/>
      <c r="CH57" s="48"/>
      <c r="CI57" s="48"/>
      <c r="CJ57" s="48"/>
      <c r="CK57" s="48"/>
      <c r="CL57" s="48"/>
      <c r="CM57" s="48"/>
      <c r="CN57" s="48"/>
      <c r="CO57" s="48"/>
      <c r="CP57" s="48"/>
      <c r="CQ57" s="48"/>
      <c r="CR57" s="48"/>
      <c r="CS57" s="48"/>
      <c r="CT57" s="48"/>
      <c r="CU57" s="48"/>
      <c r="CV57" s="48"/>
      <c r="CW57" s="48"/>
      <c r="CX57" s="48"/>
      <c r="CY57" s="48"/>
      <c r="CZ57" s="48"/>
      <c r="DA57" s="48"/>
      <c r="DB57" s="48"/>
      <c r="DC57" s="48"/>
      <c r="DD57" s="48"/>
      <c r="DE57" s="48"/>
      <c r="DF57" s="48"/>
      <c r="DG57" s="48"/>
      <c r="DH57" s="48"/>
      <c r="DI57" s="48"/>
      <c r="DJ57" s="48"/>
      <c r="DK57" s="48"/>
      <c r="DL57" s="48"/>
      <c r="DM57" s="48"/>
      <c r="DN57" s="48"/>
      <c r="DO57" s="48"/>
      <c r="DP57" s="48"/>
    </row>
    <row r="58" spans="2:120" x14ac:dyDescent="0.2">
      <c r="B58" s="48"/>
      <c r="C58" s="144"/>
      <c r="D58" s="48"/>
      <c r="E58" s="48"/>
      <c r="F58" s="60">
        <v>2014</v>
      </c>
      <c r="G58" s="52">
        <f>IFERROR(COUNTIFS(Respostas_Formatadas!$Y:$Y,EmpAtual!$F$17,Respostas_Formatadas!$FE:$FE,EmpAtual!$F58),"-")</f>
        <v>5</v>
      </c>
      <c r="H58" s="53">
        <f t="shared" si="55"/>
        <v>5.1546391752577317E-2</v>
      </c>
      <c r="I58" s="53">
        <f t="shared" si="54"/>
        <v>0.25</v>
      </c>
      <c r="J58" s="127"/>
      <c r="K58" s="48"/>
      <c r="L58" s="48"/>
      <c r="M58" s="52">
        <v>50</v>
      </c>
      <c r="N58" s="51" t="s">
        <v>575</v>
      </c>
      <c r="O58" s="70">
        <v>1</v>
      </c>
      <c r="P58" s="53">
        <f t="shared" si="3"/>
        <v>6.5359477124183009E-3</v>
      </c>
      <c r="Q58" s="48"/>
      <c r="R58" s="52">
        <v>50</v>
      </c>
      <c r="S58" s="51" t="str">
        <f t="array" ref="S58">INDEX($N$103:$N$188,SMALL(IF($O$103:$O$188=T58,ROW($O$103:$O$188)-102),COUNTIF($T$9:T58,T58)))</f>
        <v>Analista de Geoprocessamento</v>
      </c>
      <c r="T58" s="70">
        <f t="shared" si="4"/>
        <v>0</v>
      </c>
      <c r="U58" s="53">
        <f t="shared" si="5"/>
        <v>0</v>
      </c>
      <c r="V58" s="48"/>
      <c r="W58" s="168" t="s">
        <v>119</v>
      </c>
      <c r="X58" s="179">
        <v>5000</v>
      </c>
      <c r="Y58" s="168"/>
      <c r="Z58" s="168"/>
      <c r="AA58" s="168"/>
      <c r="AB58" s="48"/>
      <c r="AC58" s="48"/>
      <c r="AD58" s="48"/>
      <c r="AE58" s="48"/>
      <c r="AF58" s="48"/>
      <c r="AG58" s="48"/>
      <c r="AH58" s="48"/>
      <c r="AI58" s="48"/>
      <c r="AJ58" s="48"/>
      <c r="AK58" s="48"/>
      <c r="AL58" s="48"/>
      <c r="AM58" s="48"/>
      <c r="AN58" s="48"/>
      <c r="AO58" s="48"/>
      <c r="AP58" s="48"/>
      <c r="AQ58" s="48"/>
      <c r="AR58" s="48"/>
      <c r="AS58" s="48"/>
      <c r="AT58" s="48"/>
      <c r="AU58" s="48"/>
      <c r="AV58" s="48"/>
      <c r="AW58" s="48"/>
      <c r="AX58" s="48"/>
      <c r="AY58" s="48"/>
      <c r="AZ58" s="48"/>
      <c r="BA58" s="48"/>
      <c r="BB58" s="48"/>
      <c r="BC58" s="48"/>
      <c r="BD58" s="48"/>
      <c r="BE58" s="48"/>
      <c r="BF58" s="48"/>
      <c r="BG58" s="48"/>
      <c r="BH58" s="48"/>
      <c r="BI58" s="48"/>
      <c r="BJ58" s="48"/>
      <c r="BK58" s="48"/>
      <c r="BL58" s="48"/>
      <c r="BM58" s="48"/>
      <c r="BN58" s="48"/>
      <c r="BO58" s="48"/>
      <c r="BP58" s="48"/>
      <c r="BQ58" s="296" t="str">
        <f t="shared" si="52"/>
        <v>Barra dos Coqueiros</v>
      </c>
      <c r="BR58" s="238">
        <f>COUNTIFS(Respostas_Formatadas!$C:$C,EmpAtual!$BQ$47,Respostas_Formatadas!$BC:$BC,EmpAtual!BQ58)</f>
        <v>0</v>
      </c>
      <c r="BS58" s="240">
        <f t="shared" si="53"/>
        <v>0</v>
      </c>
      <c r="BT58" s="48"/>
      <c r="BU58" s="48"/>
      <c r="BV58" s="48"/>
      <c r="BW58" s="48"/>
      <c r="BX58" s="48"/>
      <c r="BY58" s="48"/>
      <c r="BZ58" s="48"/>
      <c r="CA58" s="48"/>
      <c r="CB58" s="48"/>
      <c r="CC58" s="48"/>
      <c r="CD58" s="48"/>
      <c r="CE58" s="48"/>
      <c r="CF58" s="48"/>
      <c r="CG58" s="48"/>
      <c r="CH58" s="84"/>
      <c r="CI58" s="48"/>
      <c r="CJ58" s="48"/>
      <c r="CK58" s="48"/>
      <c r="CL58" s="48"/>
      <c r="CM58" s="48"/>
      <c r="CN58" s="48"/>
      <c r="CO58" s="48"/>
      <c r="CP58" s="48"/>
      <c r="CQ58" s="48"/>
      <c r="CR58" s="48"/>
      <c r="CS58" s="48"/>
      <c r="CT58" s="48"/>
      <c r="CU58" s="84"/>
      <c r="CV58" s="48"/>
      <c r="CW58" s="48"/>
      <c r="CX58" s="48"/>
      <c r="CY58" s="48"/>
      <c r="CZ58" s="48"/>
      <c r="DA58" s="48"/>
      <c r="DB58" s="48"/>
      <c r="DC58" s="48"/>
      <c r="DD58" s="48"/>
      <c r="DE58" s="48"/>
      <c r="DF58" s="48"/>
      <c r="DG58" s="48"/>
      <c r="DH58" s="48"/>
      <c r="DI58" s="48"/>
      <c r="DJ58" s="48"/>
      <c r="DK58" s="48"/>
      <c r="DL58" s="48"/>
      <c r="DM58" s="48"/>
      <c r="DN58" s="48"/>
      <c r="DO58" s="48"/>
      <c r="DP58" s="48"/>
    </row>
    <row r="59" spans="2:120" x14ac:dyDescent="0.2">
      <c r="B59" s="48"/>
      <c r="C59" s="144"/>
      <c r="D59" s="48"/>
      <c r="E59" s="48"/>
      <c r="F59" s="60">
        <v>2015</v>
      </c>
      <c r="G59" s="52">
        <f>IFERROR(COUNTIFS(Respostas_Formatadas!$Y:$Y,EmpAtual!$F$17,Respostas_Formatadas!$FE:$FE,EmpAtual!$F59),"-")</f>
        <v>8</v>
      </c>
      <c r="H59" s="53">
        <f t="shared" si="55"/>
        <v>8.247422680412371E-2</v>
      </c>
      <c r="I59" s="53">
        <f t="shared" si="54"/>
        <v>0.27586206896551724</v>
      </c>
      <c r="J59" s="127"/>
      <c r="K59" s="48"/>
      <c r="L59" s="48"/>
      <c r="M59" s="52">
        <v>51</v>
      </c>
      <c r="N59" s="51" t="s">
        <v>1228</v>
      </c>
      <c r="O59" s="70">
        <v>1</v>
      </c>
      <c r="P59" s="53">
        <f t="shared" si="3"/>
        <v>6.5359477124183009E-3</v>
      </c>
      <c r="Q59" s="48"/>
      <c r="R59" s="52">
        <v>51</v>
      </c>
      <c r="S59" s="51" t="str">
        <f t="array" ref="S59">INDEX($N$103:$N$188,SMALL(IF($O$103:$O$188=T59,ROW($O$103:$O$188)-102),COUNTIF($T$9:T59,T59)))</f>
        <v>Coreógrafo</v>
      </c>
      <c r="T59" s="70">
        <f t="shared" si="4"/>
        <v>0</v>
      </c>
      <c r="U59" s="53">
        <f t="shared" si="5"/>
        <v>0</v>
      </c>
      <c r="V59" s="48"/>
      <c r="W59" s="168" t="s">
        <v>119</v>
      </c>
      <c r="X59" s="179">
        <v>2300</v>
      </c>
      <c r="Y59" s="168"/>
      <c r="Z59" s="168"/>
      <c r="AA59" s="168"/>
      <c r="AB59" s="48"/>
      <c r="AC59" s="48"/>
      <c r="AD59" s="48"/>
      <c r="AE59" s="48"/>
      <c r="AF59" s="48"/>
      <c r="AG59" s="48"/>
      <c r="AH59" s="48"/>
      <c r="AI59" s="48"/>
      <c r="AJ59" s="48"/>
      <c r="AK59" s="48"/>
      <c r="AL59" s="48"/>
      <c r="AM59" s="48"/>
      <c r="AN59" s="48"/>
      <c r="AO59" s="48"/>
      <c r="AP59" s="48"/>
      <c r="AQ59" s="48"/>
      <c r="AR59" s="48"/>
      <c r="AS59" s="48"/>
      <c r="AT59" s="48"/>
      <c r="AU59" s="48"/>
      <c r="AV59" s="48"/>
      <c r="AW59" s="48"/>
      <c r="AX59" s="48"/>
      <c r="AY59" s="48"/>
      <c r="AZ59" s="48"/>
      <c r="BA59" s="48"/>
      <c r="BB59" s="48"/>
      <c r="BC59" s="48"/>
      <c r="BD59" s="48"/>
      <c r="BE59" s="48"/>
      <c r="BF59" s="48"/>
      <c r="BG59" s="48"/>
      <c r="BH59" s="48"/>
      <c r="BI59" s="48"/>
      <c r="BJ59" s="48"/>
      <c r="BK59" s="48"/>
      <c r="BL59" s="48"/>
      <c r="BM59" s="48"/>
      <c r="BN59" s="48"/>
      <c r="BO59" s="48"/>
      <c r="BP59" s="48"/>
      <c r="BQ59" s="296" t="str">
        <f t="shared" si="52"/>
        <v>Belém - PA</v>
      </c>
      <c r="BR59" s="238">
        <f>COUNTIFS(Respostas_Formatadas!$C:$C,EmpAtual!$BQ$47,Respostas_Formatadas!$BC:$BC,EmpAtual!BQ59)</f>
        <v>0</v>
      </c>
      <c r="BS59" s="240">
        <f t="shared" si="53"/>
        <v>0</v>
      </c>
      <c r="BT59" s="48"/>
      <c r="BU59" s="48"/>
      <c r="BV59" s="48"/>
      <c r="BW59" s="48"/>
      <c r="BX59" s="48"/>
      <c r="BY59" s="48"/>
      <c r="BZ59" s="153"/>
      <c r="CA59" s="158" t="str">
        <f>CA42</f>
        <v>Bacharelado em Sistemas de Informação</v>
      </c>
      <c r="CB59" s="48"/>
      <c r="CC59" s="48"/>
      <c r="CD59" s="48"/>
      <c r="CE59" s="48"/>
      <c r="CF59" s="48"/>
      <c r="CG59" s="48"/>
      <c r="CH59" s="48"/>
      <c r="CI59" s="48"/>
      <c r="CJ59" s="48"/>
      <c r="CK59" s="48"/>
      <c r="CL59" s="48"/>
      <c r="CM59" s="48"/>
      <c r="CN59" s="158" t="s">
        <v>120</v>
      </c>
      <c r="CO59" s="48"/>
      <c r="CP59" s="48"/>
      <c r="CQ59" s="48"/>
      <c r="CR59" s="48"/>
      <c r="CS59" s="48"/>
      <c r="CT59" s="48"/>
      <c r="CU59" s="48"/>
      <c r="CV59" s="48"/>
      <c r="CW59" s="48"/>
      <c r="CX59" s="48"/>
      <c r="CY59" s="48"/>
      <c r="CZ59" s="48"/>
      <c r="DA59" s="48"/>
      <c r="DB59" s="48"/>
      <c r="DC59" s="48"/>
      <c r="DD59" s="48"/>
      <c r="DE59" s="48"/>
      <c r="DF59" s="48"/>
      <c r="DG59" s="48"/>
      <c r="DH59" s="48"/>
      <c r="DI59" s="48"/>
      <c r="DJ59" s="48"/>
      <c r="DK59" s="48"/>
      <c r="DL59" s="48"/>
      <c r="DM59" s="48"/>
      <c r="DN59" s="48"/>
      <c r="DO59" s="48"/>
      <c r="DP59" s="48"/>
    </row>
    <row r="60" spans="2:120" ht="25.5" x14ac:dyDescent="0.2">
      <c r="B60" s="48"/>
      <c r="C60" s="144"/>
      <c r="D60" s="48"/>
      <c r="E60" s="48"/>
      <c r="F60" s="60">
        <v>2016</v>
      </c>
      <c r="G60" s="52">
        <f>IFERROR(COUNTIFS(Respostas_Formatadas!$Y:$Y,EmpAtual!$F$17,Respostas_Formatadas!$FE:$FE,EmpAtual!$F60),"-")</f>
        <v>19</v>
      </c>
      <c r="H60" s="53">
        <f t="shared" si="55"/>
        <v>0.19587628865979381</v>
      </c>
      <c r="I60" s="53">
        <f t="shared" si="54"/>
        <v>0.39583333333333331</v>
      </c>
      <c r="J60" s="127"/>
      <c r="K60" s="48"/>
      <c r="L60" s="48"/>
      <c r="M60" s="52">
        <v>52</v>
      </c>
      <c r="N60" s="51" t="s">
        <v>1229</v>
      </c>
      <c r="O60" s="70">
        <v>1</v>
      </c>
      <c r="P60" s="53">
        <f t="shared" si="3"/>
        <v>6.5359477124183009E-3</v>
      </c>
      <c r="Q60" s="48"/>
      <c r="R60" s="52">
        <v>52</v>
      </c>
      <c r="S60" s="51" t="str">
        <f t="array" ref="S60">INDEX($N$103:$N$188,SMALL(IF($O$103:$O$188=T60,ROW($O$103:$O$188)-102),COUNTIF($T$9:T60,T60)))</f>
        <v>Supervisor Técnico Administrativo</v>
      </c>
      <c r="T60" s="70">
        <f t="shared" si="4"/>
        <v>0</v>
      </c>
      <c r="U60" s="53">
        <f t="shared" si="5"/>
        <v>0</v>
      </c>
      <c r="V60" s="48"/>
      <c r="W60" s="168" t="s">
        <v>119</v>
      </c>
      <c r="X60" s="179">
        <v>4000</v>
      </c>
      <c r="Y60" s="168"/>
      <c r="Z60" s="168"/>
      <c r="AA60" s="168"/>
      <c r="AB60" s="48"/>
      <c r="AC60" s="48"/>
      <c r="AD60" s="48"/>
      <c r="AE60" s="48"/>
      <c r="AF60" s="48"/>
      <c r="AG60" s="48"/>
      <c r="AH60" s="48"/>
      <c r="AI60" s="48"/>
      <c r="AJ60" s="48"/>
      <c r="AK60" s="48"/>
      <c r="AL60" s="48"/>
      <c r="AM60" s="48"/>
      <c r="AN60" s="48"/>
      <c r="AO60" s="48"/>
      <c r="AP60" s="48"/>
      <c r="AQ60" s="48"/>
      <c r="AR60" s="48"/>
      <c r="AS60" s="48"/>
      <c r="AT60" s="48"/>
      <c r="AU60" s="48"/>
      <c r="AV60" s="48"/>
      <c r="AW60" s="48"/>
      <c r="AX60" s="48"/>
      <c r="AY60" s="48"/>
      <c r="AZ60" s="48"/>
      <c r="BA60" s="48"/>
      <c r="BB60" s="48"/>
      <c r="BC60" s="48"/>
      <c r="BD60" s="48"/>
      <c r="BE60" s="48"/>
      <c r="BF60" s="48"/>
      <c r="BG60" s="48"/>
      <c r="BH60" s="48"/>
      <c r="BI60" s="48"/>
      <c r="BJ60" s="48"/>
      <c r="BK60" s="48"/>
      <c r="BL60" s="48"/>
      <c r="BM60" s="48"/>
      <c r="BN60" s="48"/>
      <c r="BO60" s="48"/>
      <c r="BP60" s="48"/>
      <c r="BQ60" s="296" t="str">
        <f t="shared" si="52"/>
        <v>Simão Dias</v>
      </c>
      <c r="BR60" s="238">
        <f>COUNTIFS(Respostas_Formatadas!$C:$C,EmpAtual!$BQ$47,Respostas_Formatadas!$BC:$BC,EmpAtual!BQ60)</f>
        <v>1</v>
      </c>
      <c r="BS60" s="240">
        <f t="shared" si="53"/>
        <v>0.2</v>
      </c>
      <c r="BT60" s="48"/>
      <c r="BU60" s="48"/>
      <c r="BV60" s="48"/>
      <c r="BW60" s="48"/>
      <c r="BX60" s="48"/>
      <c r="BY60" s="48"/>
      <c r="BZ60" s="187" t="str">
        <f>BZ43</f>
        <v>Q</v>
      </c>
      <c r="CA60" s="186" t="s">
        <v>1264</v>
      </c>
      <c r="CB60" s="187">
        <f t="shared" ref="CB60:CH60" si="56">CB43</f>
        <v>1</v>
      </c>
      <c r="CC60" s="187">
        <f t="shared" si="56"/>
        <v>2</v>
      </c>
      <c r="CD60" s="187">
        <f t="shared" si="56"/>
        <v>3</v>
      </c>
      <c r="CE60" s="187">
        <f t="shared" si="56"/>
        <v>4</v>
      </c>
      <c r="CF60" s="187">
        <f t="shared" si="56"/>
        <v>5</v>
      </c>
      <c r="CG60" s="187" t="str">
        <f t="shared" si="56"/>
        <v>Total</v>
      </c>
      <c r="CH60" s="187" t="str">
        <f t="shared" si="56"/>
        <v>Média</v>
      </c>
      <c r="CI60" s="48"/>
      <c r="CJ60" s="48"/>
      <c r="CK60" s="48"/>
      <c r="CL60" s="48"/>
      <c r="CM60" s="187" t="str">
        <f>CM43</f>
        <v>Q</v>
      </c>
      <c r="CN60" s="279" t="s">
        <v>1265</v>
      </c>
      <c r="CO60" s="187">
        <f t="shared" ref="CO60:CU60" si="57">CO43</f>
        <v>1</v>
      </c>
      <c r="CP60" s="187">
        <f t="shared" si="57"/>
        <v>2</v>
      </c>
      <c r="CQ60" s="187">
        <f t="shared" si="57"/>
        <v>3</v>
      </c>
      <c r="CR60" s="187">
        <f t="shared" si="57"/>
        <v>4</v>
      </c>
      <c r="CS60" s="187">
        <f t="shared" si="57"/>
        <v>5</v>
      </c>
      <c r="CT60" s="187" t="str">
        <f t="shared" si="57"/>
        <v>Total</v>
      </c>
      <c r="CU60" s="187" t="str">
        <f t="shared" si="57"/>
        <v>Média</v>
      </c>
      <c r="CV60" s="48"/>
      <c r="CW60" s="48"/>
      <c r="CX60" s="48"/>
      <c r="CY60" s="48"/>
      <c r="CZ60" s="48"/>
      <c r="DA60" s="48"/>
      <c r="DB60" s="48"/>
      <c r="DC60" s="48"/>
      <c r="DD60" s="48"/>
      <c r="DE60" s="48"/>
      <c r="DF60" s="48"/>
      <c r="DG60" s="48"/>
      <c r="DH60" s="48"/>
      <c r="DI60" s="48"/>
      <c r="DJ60" s="48"/>
      <c r="DK60" s="48"/>
      <c r="DL60" s="48"/>
      <c r="DM60" s="48"/>
      <c r="DN60" s="48"/>
      <c r="DO60" s="48"/>
      <c r="DP60" s="48"/>
    </row>
    <row r="61" spans="2:120" x14ac:dyDescent="0.2">
      <c r="B61" s="48"/>
      <c r="C61" s="144"/>
      <c r="D61" s="48"/>
      <c r="E61" s="48"/>
      <c r="F61" s="60">
        <v>2017</v>
      </c>
      <c r="G61" s="52">
        <f>IFERROR(COUNTIFS(Respostas_Formatadas!$Y:$Y,EmpAtual!$F$17,Respostas_Formatadas!$FE:$FE,EmpAtual!$F61),"-")</f>
        <v>34</v>
      </c>
      <c r="H61" s="53">
        <f t="shared" si="55"/>
        <v>0.35051546391752575</v>
      </c>
      <c r="I61" s="53">
        <f t="shared" si="54"/>
        <v>0.43037974683544306</v>
      </c>
      <c r="J61" s="127"/>
      <c r="K61" s="48"/>
      <c r="L61" s="48"/>
      <c r="M61" s="52">
        <v>53</v>
      </c>
      <c r="N61" s="51" t="s">
        <v>1129</v>
      </c>
      <c r="O61" s="70">
        <v>1</v>
      </c>
      <c r="P61" s="53">
        <f t="shared" si="3"/>
        <v>6.5359477124183009E-3</v>
      </c>
      <c r="Q61" s="48"/>
      <c r="R61" s="52">
        <v>53</v>
      </c>
      <c r="S61" s="51" t="str">
        <f t="array" ref="S61">INDEX($N$103:$N$188,SMALL(IF($O$103:$O$188=T61,ROW($O$103:$O$188)-102),COUNTIF($T$9:T61,T61)))</f>
        <v>Consultor de Viagens</v>
      </c>
      <c r="T61" s="70">
        <f t="shared" si="4"/>
        <v>0</v>
      </c>
      <c r="U61" s="53">
        <f t="shared" si="5"/>
        <v>0</v>
      </c>
      <c r="V61" s="48"/>
      <c r="W61" s="168" t="s">
        <v>119</v>
      </c>
      <c r="X61" s="179">
        <v>2000</v>
      </c>
      <c r="Y61" s="168"/>
      <c r="Z61" s="168"/>
      <c r="AA61" s="168"/>
      <c r="AB61" s="48"/>
      <c r="AC61" s="48"/>
      <c r="AD61" s="48"/>
      <c r="AE61" s="48"/>
      <c r="AF61" s="48"/>
      <c r="AG61" s="48"/>
      <c r="AH61" s="48"/>
      <c r="AI61" s="48"/>
      <c r="AJ61" s="48"/>
      <c r="AK61" s="48"/>
      <c r="AL61" s="48"/>
      <c r="AM61" s="48"/>
      <c r="AN61" s="48"/>
      <c r="AO61" s="48"/>
      <c r="AP61" s="48"/>
      <c r="AQ61" s="48"/>
      <c r="AR61" s="48"/>
      <c r="AS61" s="48"/>
      <c r="AT61" s="48"/>
      <c r="AU61" s="48"/>
      <c r="AV61" s="48"/>
      <c r="AW61" s="48"/>
      <c r="AX61" s="48"/>
      <c r="AY61" s="48"/>
      <c r="AZ61" s="48"/>
      <c r="BA61" s="48"/>
      <c r="BB61" s="48"/>
      <c r="BC61" s="48"/>
      <c r="BD61" s="48"/>
      <c r="BE61" s="48"/>
      <c r="BF61" s="48"/>
      <c r="BG61" s="48"/>
      <c r="BH61" s="48"/>
      <c r="BI61" s="48"/>
      <c r="BJ61" s="48"/>
      <c r="BK61" s="48"/>
      <c r="BL61" s="48"/>
      <c r="BM61" s="48"/>
      <c r="BN61" s="48"/>
      <c r="BO61" s="48"/>
      <c r="BP61" s="48"/>
      <c r="BQ61" s="296" t="str">
        <f t="shared" si="52"/>
        <v>Pedra Mole</v>
      </c>
      <c r="BR61" s="238">
        <f>COUNTIFS(Respostas_Formatadas!$C:$C,EmpAtual!$BQ$47,Respostas_Formatadas!$BC:$BC,EmpAtual!BQ61)</f>
        <v>0</v>
      </c>
      <c r="BS61" s="240">
        <f t="shared" si="53"/>
        <v>0</v>
      </c>
      <c r="BT61" s="48"/>
      <c r="BU61" s="48"/>
      <c r="BV61" s="48"/>
      <c r="BW61" s="48"/>
      <c r="BX61" s="48"/>
      <c r="BY61" s="48"/>
      <c r="BZ61" s="198">
        <f>BZ44</f>
        <v>48</v>
      </c>
      <c r="CA61" s="199" t="str">
        <f>CA44</f>
        <v>Domínio em sua área ou disciplina</v>
      </c>
      <c r="CB61" s="204">
        <f t="shared" ref="CB61:CF73" si="58">CB44/$CG44</f>
        <v>0</v>
      </c>
      <c r="CC61" s="204">
        <f t="shared" si="58"/>
        <v>0</v>
      </c>
      <c r="CD61" s="204">
        <f t="shared" si="58"/>
        <v>5.5555555555555552E-2</v>
      </c>
      <c r="CE61" s="204">
        <f t="shared" si="58"/>
        <v>0.16666666666666666</v>
      </c>
      <c r="CF61" s="204">
        <f t="shared" si="58"/>
        <v>0.77777777777777779</v>
      </c>
      <c r="CG61" s="205">
        <f>SUM(CB61:CF61)</f>
        <v>1</v>
      </c>
      <c r="CH61" s="202">
        <f>CH44</f>
        <v>4.7222222222222223</v>
      </c>
      <c r="CI61" s="48"/>
      <c r="CJ61" s="48"/>
      <c r="CK61" s="48"/>
      <c r="CL61" s="48"/>
      <c r="CM61" s="198">
        <f t="shared" ref="CM61:CM73" si="59">CM44</f>
        <v>61</v>
      </c>
      <c r="CN61" s="199" t="s">
        <v>48</v>
      </c>
      <c r="CO61" s="204">
        <f t="shared" ref="CO61:CS73" si="60">CO44/$CT44</f>
        <v>0</v>
      </c>
      <c r="CP61" s="204">
        <f t="shared" si="60"/>
        <v>0</v>
      </c>
      <c r="CQ61" s="204">
        <f t="shared" si="60"/>
        <v>0.21052631578947367</v>
      </c>
      <c r="CR61" s="204">
        <f t="shared" si="60"/>
        <v>0.42105263157894735</v>
      </c>
      <c r="CS61" s="204">
        <f t="shared" si="60"/>
        <v>0.36842105263157893</v>
      </c>
      <c r="CT61" s="205">
        <f>SUM(CO61:CS61)</f>
        <v>1</v>
      </c>
      <c r="CU61" s="202">
        <f>CU44</f>
        <v>4.1578947368421053</v>
      </c>
      <c r="CV61" s="48"/>
      <c r="CW61" s="48"/>
      <c r="CX61" s="48"/>
      <c r="CY61" s="48"/>
      <c r="CZ61" s="48"/>
      <c r="DA61" s="48"/>
      <c r="DB61" s="48"/>
      <c r="DC61" s="48"/>
      <c r="DD61" s="48"/>
      <c r="DE61" s="48"/>
      <c r="DF61" s="48"/>
      <c r="DG61" s="48"/>
      <c r="DH61" s="48"/>
      <c r="DI61" s="48"/>
      <c r="DJ61" s="48"/>
      <c r="DK61" s="48"/>
      <c r="DL61" s="48"/>
      <c r="DM61" s="48"/>
      <c r="DN61" s="48"/>
      <c r="DO61" s="48"/>
      <c r="DP61" s="48"/>
    </row>
    <row r="62" spans="2:120" x14ac:dyDescent="0.2">
      <c r="B62" s="48"/>
      <c r="C62" s="144"/>
      <c r="D62" s="48"/>
      <c r="E62" s="48"/>
      <c r="F62" s="60">
        <v>2018</v>
      </c>
      <c r="G62" s="52">
        <f>IFERROR(COUNTIFS(Respostas_Formatadas!$Y:$Y,EmpAtual!$F$17,Respostas_Formatadas!$FE:$FE,EmpAtual!$F62),"-")</f>
        <v>21</v>
      </c>
      <c r="H62" s="53">
        <f t="shared" si="55"/>
        <v>0.21649484536082475</v>
      </c>
      <c r="I62" s="53">
        <f t="shared" si="54"/>
        <v>0.41176470588235292</v>
      </c>
      <c r="J62" s="127"/>
      <c r="K62" s="48"/>
      <c r="L62" s="48"/>
      <c r="M62" s="52">
        <v>54</v>
      </c>
      <c r="N62" s="51" t="s">
        <v>1124</v>
      </c>
      <c r="O62" s="70">
        <v>1</v>
      </c>
      <c r="P62" s="53">
        <f t="shared" si="3"/>
        <v>6.5359477124183009E-3</v>
      </c>
      <c r="Q62" s="48"/>
      <c r="R62" s="52">
        <v>54</v>
      </c>
      <c r="S62" s="51" t="str">
        <f t="array" ref="S62">INDEX($N$103:$N$188,SMALL(IF($O$103:$O$188=T62,ROW($O$103:$O$188)-102),COUNTIF($T$9:T62,T62)))</f>
        <v>Gerentes de Projetos</v>
      </c>
      <c r="T62" s="70">
        <f t="shared" si="4"/>
        <v>0</v>
      </c>
      <c r="U62" s="53">
        <f t="shared" si="5"/>
        <v>0</v>
      </c>
      <c r="V62" s="48"/>
      <c r="W62" s="168" t="s">
        <v>119</v>
      </c>
      <c r="X62" s="179">
        <v>2900</v>
      </c>
      <c r="Y62" s="168"/>
      <c r="Z62" s="168"/>
      <c r="AA62" s="168"/>
      <c r="AB62" s="48"/>
      <c r="AC62" s="48"/>
      <c r="AD62" s="48"/>
      <c r="AE62" s="48"/>
      <c r="AF62" s="48"/>
      <c r="AG62" s="48"/>
      <c r="AH62" s="48"/>
      <c r="AI62" s="48"/>
      <c r="AJ62" s="48"/>
      <c r="AK62" s="48"/>
      <c r="AL62" s="48"/>
      <c r="AM62" s="48"/>
      <c r="AN62" s="48"/>
      <c r="AO62" s="48"/>
      <c r="AP62" s="48"/>
      <c r="AQ62" s="48"/>
      <c r="AR62" s="48"/>
      <c r="AS62" s="48"/>
      <c r="AT62" s="48"/>
      <c r="AU62" s="48"/>
      <c r="AV62" s="48"/>
      <c r="AW62" s="48"/>
      <c r="AX62" s="48"/>
      <c r="AY62" s="48"/>
      <c r="AZ62" s="48"/>
      <c r="BA62" s="48"/>
      <c r="BB62" s="48"/>
      <c r="BC62" s="48"/>
      <c r="BD62" s="48"/>
      <c r="BE62" s="48"/>
      <c r="BF62" s="48"/>
      <c r="BG62" s="48"/>
      <c r="BH62" s="48"/>
      <c r="BI62" s="48"/>
      <c r="BJ62" s="48"/>
      <c r="BK62" s="48"/>
      <c r="BL62" s="48"/>
      <c r="BM62" s="48"/>
      <c r="BN62" s="48"/>
      <c r="BO62" s="48"/>
      <c r="BP62" s="48"/>
      <c r="BQ62" s="296" t="str">
        <f t="shared" si="52"/>
        <v>Campo do Brito</v>
      </c>
      <c r="BR62" s="238">
        <f>COUNTIFS(Respostas_Formatadas!$C:$C,EmpAtual!$BQ$47,Respostas_Formatadas!$BC:$BC,EmpAtual!BQ62)</f>
        <v>0</v>
      </c>
      <c r="BS62" s="240">
        <f t="shared" si="53"/>
        <v>0</v>
      </c>
      <c r="BT62" s="48"/>
      <c r="BU62" s="48"/>
      <c r="BV62" s="48"/>
      <c r="BW62" s="48"/>
      <c r="BX62" s="48"/>
      <c r="BY62" s="48"/>
      <c r="BZ62" s="81">
        <f t="shared" ref="BZ62:BZ73" si="61">BZ45</f>
        <v>49</v>
      </c>
      <c r="CA62" s="51" t="str">
        <f t="shared" ref="CA62:CA73" si="62">CA45</f>
        <v>Conhecimento em outras áreas ou disciplinas</v>
      </c>
      <c r="CB62" s="53">
        <f t="shared" si="58"/>
        <v>0</v>
      </c>
      <c r="CC62" s="53">
        <f t="shared" si="58"/>
        <v>5.5555555555555552E-2</v>
      </c>
      <c r="CD62" s="53">
        <f t="shared" si="58"/>
        <v>0.44444444444444442</v>
      </c>
      <c r="CE62" s="53">
        <f t="shared" si="58"/>
        <v>0.3888888888888889</v>
      </c>
      <c r="CF62" s="53">
        <f t="shared" si="58"/>
        <v>0.1111111111111111</v>
      </c>
      <c r="CG62" s="125">
        <f t="shared" ref="CG62:CG73" si="63">SUM(CB62:CF62)</f>
        <v>1</v>
      </c>
      <c r="CH62" s="173">
        <f t="shared" ref="CH62:CH73" si="64">CH45</f>
        <v>3.5555555555555554</v>
      </c>
      <c r="CI62" s="48"/>
      <c r="CJ62" s="48"/>
      <c r="CK62" s="48"/>
      <c r="CL62" s="48"/>
      <c r="CM62" s="81">
        <f t="shared" si="59"/>
        <v>62</v>
      </c>
      <c r="CN62" s="51" t="s">
        <v>49</v>
      </c>
      <c r="CO62" s="53">
        <f t="shared" si="60"/>
        <v>0</v>
      </c>
      <c r="CP62" s="53">
        <f t="shared" si="60"/>
        <v>0.10526315789473684</v>
      </c>
      <c r="CQ62" s="53">
        <f t="shared" si="60"/>
        <v>0.52631578947368418</v>
      </c>
      <c r="CR62" s="53">
        <f t="shared" si="60"/>
        <v>0.21052631578947367</v>
      </c>
      <c r="CS62" s="53">
        <f t="shared" si="60"/>
        <v>0.15789473684210525</v>
      </c>
      <c r="CT62" s="125">
        <f t="shared" ref="CT62:CT73" si="65">SUM(CO62:CS62)</f>
        <v>1</v>
      </c>
      <c r="CU62" s="173">
        <f t="shared" ref="CU62:CU73" si="66">CU45</f>
        <v>3.4210526315789473</v>
      </c>
      <c r="CV62" s="48"/>
      <c r="CW62" s="48"/>
      <c r="CX62" s="48"/>
      <c r="CY62" s="48"/>
      <c r="CZ62" s="48"/>
      <c r="DA62" s="48"/>
      <c r="DB62" s="48"/>
      <c r="DC62" s="48"/>
      <c r="DD62" s="48"/>
      <c r="DE62" s="48"/>
      <c r="DF62" s="48"/>
      <c r="DG62" s="48"/>
      <c r="DH62" s="48"/>
      <c r="DI62" s="48"/>
      <c r="DJ62" s="48"/>
      <c r="DK62" s="48"/>
      <c r="DL62" s="48"/>
      <c r="DM62" s="48"/>
      <c r="DN62" s="48"/>
      <c r="DO62" s="48"/>
      <c r="DP62" s="48"/>
    </row>
    <row r="63" spans="2:120" x14ac:dyDescent="0.2">
      <c r="B63" s="48"/>
      <c r="C63" s="144"/>
      <c r="D63" s="48"/>
      <c r="E63" s="48"/>
      <c r="F63" s="188" t="s">
        <v>621</v>
      </c>
      <c r="G63" s="189">
        <f>SUM(G54:G62)</f>
        <v>97</v>
      </c>
      <c r="H63" s="190">
        <f>SUM(H54:H62)</f>
        <v>1</v>
      </c>
      <c r="I63" s="190">
        <f>G63/G95</f>
        <v>0.35793357933579334</v>
      </c>
      <c r="J63" s="127"/>
      <c r="K63" s="48"/>
      <c r="L63" s="48"/>
      <c r="M63" s="52">
        <v>55</v>
      </c>
      <c r="N63" s="51" t="s">
        <v>623</v>
      </c>
      <c r="O63" s="70">
        <v>1</v>
      </c>
      <c r="P63" s="53">
        <f t="shared" si="3"/>
        <v>6.5359477124183009E-3</v>
      </c>
      <c r="Q63" s="48"/>
      <c r="R63" s="52">
        <v>55</v>
      </c>
      <c r="S63" s="51" t="str">
        <f t="array" ref="S63">INDEX($N$103:$N$188,SMALL(IF($O$103:$O$188=T63,ROW($O$103:$O$188)-102),COUNTIF($T$9:T63,T63)))</f>
        <v>Microempresário</v>
      </c>
      <c r="T63" s="70">
        <f t="shared" si="4"/>
        <v>0</v>
      </c>
      <c r="U63" s="53">
        <f t="shared" si="5"/>
        <v>0</v>
      </c>
      <c r="V63" s="48"/>
      <c r="W63" s="168" t="s">
        <v>119</v>
      </c>
      <c r="X63" s="179">
        <v>26100</v>
      </c>
      <c r="Y63" s="168"/>
      <c r="Z63" s="168"/>
      <c r="AA63" s="168"/>
      <c r="AB63" s="48"/>
      <c r="AC63" s="48"/>
      <c r="AD63" s="48"/>
      <c r="AE63" s="48"/>
      <c r="AF63" s="48"/>
      <c r="AG63" s="48"/>
      <c r="AH63" s="48"/>
      <c r="AI63" s="48"/>
      <c r="AJ63" s="48"/>
      <c r="AK63" s="48"/>
      <c r="AL63" s="48"/>
      <c r="AM63" s="48"/>
      <c r="AN63" s="48"/>
      <c r="AO63" s="48"/>
      <c r="AP63" s="48"/>
      <c r="AQ63" s="48"/>
      <c r="AR63" s="48"/>
      <c r="AS63" s="48"/>
      <c r="AT63" s="48"/>
      <c r="AU63" s="48"/>
      <c r="AV63" s="48"/>
      <c r="AW63" s="48"/>
      <c r="AX63" s="48"/>
      <c r="AY63" s="48"/>
      <c r="AZ63" s="48"/>
      <c r="BA63" s="48"/>
      <c r="BB63" s="48"/>
      <c r="BC63" s="48"/>
      <c r="BD63" s="48"/>
      <c r="BE63" s="48"/>
      <c r="BF63" s="48"/>
      <c r="BG63" s="48"/>
      <c r="BH63" s="48"/>
      <c r="BI63" s="48"/>
      <c r="BJ63" s="48"/>
      <c r="BK63" s="48"/>
      <c r="BL63" s="48"/>
      <c r="BM63" s="48"/>
      <c r="BN63" s="48"/>
      <c r="BO63" s="48"/>
      <c r="BP63" s="48"/>
      <c r="BQ63" s="296" t="str">
        <f t="shared" si="52"/>
        <v>Boquim</v>
      </c>
      <c r="BR63" s="238">
        <f>COUNTIFS(Respostas_Formatadas!$C:$C,EmpAtual!$BQ$47,Respostas_Formatadas!$BC:$BC,EmpAtual!BQ63)</f>
        <v>0</v>
      </c>
      <c r="BS63" s="240">
        <f t="shared" si="53"/>
        <v>0</v>
      </c>
      <c r="BT63" s="48"/>
      <c r="BU63" s="48"/>
      <c r="BV63" s="48"/>
      <c r="BW63" s="48"/>
      <c r="BX63" s="48"/>
      <c r="BY63" s="48"/>
      <c r="BZ63" s="198">
        <f t="shared" si="61"/>
        <v>50</v>
      </c>
      <c r="CA63" s="199" t="str">
        <f t="shared" si="62"/>
        <v>Pensamento analítico</v>
      </c>
      <c r="CB63" s="204">
        <f t="shared" si="58"/>
        <v>0</v>
      </c>
      <c r="CC63" s="204">
        <f t="shared" si="58"/>
        <v>0</v>
      </c>
      <c r="CD63" s="204">
        <f t="shared" si="58"/>
        <v>5.5555555555555552E-2</v>
      </c>
      <c r="CE63" s="204">
        <f t="shared" si="58"/>
        <v>0.22222222222222221</v>
      </c>
      <c r="CF63" s="204">
        <f t="shared" si="58"/>
        <v>0.72222222222222221</v>
      </c>
      <c r="CG63" s="205">
        <f t="shared" si="63"/>
        <v>1</v>
      </c>
      <c r="CH63" s="202">
        <f t="shared" si="64"/>
        <v>4.666666666666667</v>
      </c>
      <c r="CI63" s="48"/>
      <c r="CJ63" s="48"/>
      <c r="CK63" s="48"/>
      <c r="CL63" s="48"/>
      <c r="CM63" s="198">
        <f t="shared" si="59"/>
        <v>63</v>
      </c>
      <c r="CN63" s="199" t="s">
        <v>50</v>
      </c>
      <c r="CO63" s="204">
        <f t="shared" si="60"/>
        <v>0</v>
      </c>
      <c r="CP63" s="204">
        <f t="shared" si="60"/>
        <v>0</v>
      </c>
      <c r="CQ63" s="204">
        <f t="shared" si="60"/>
        <v>0.15789473684210525</v>
      </c>
      <c r="CR63" s="204">
        <f t="shared" si="60"/>
        <v>0.63157894736842102</v>
      </c>
      <c r="CS63" s="204">
        <f t="shared" si="60"/>
        <v>0.21052631578947367</v>
      </c>
      <c r="CT63" s="205">
        <f t="shared" si="65"/>
        <v>1</v>
      </c>
      <c r="CU63" s="202">
        <f t="shared" si="66"/>
        <v>4.0526315789473681</v>
      </c>
      <c r="CV63" s="48"/>
      <c r="CW63" s="48"/>
      <c r="CX63" s="48"/>
      <c r="CY63" s="48"/>
      <c r="CZ63" s="48"/>
      <c r="DA63" s="48"/>
      <c r="DB63" s="48"/>
      <c r="DC63" s="48"/>
      <c r="DD63" s="48"/>
      <c r="DE63" s="48"/>
      <c r="DF63" s="48"/>
      <c r="DG63" s="48"/>
      <c r="DH63" s="48"/>
      <c r="DI63" s="48"/>
      <c r="DJ63" s="48"/>
      <c r="DK63" s="48"/>
      <c r="DL63" s="48"/>
      <c r="DM63" s="48"/>
      <c r="DN63" s="48"/>
      <c r="DO63" s="48"/>
      <c r="DP63" s="48"/>
    </row>
    <row r="64" spans="2:120" x14ac:dyDescent="0.2">
      <c r="B64" s="48"/>
      <c r="C64" s="144"/>
      <c r="D64" s="48"/>
      <c r="E64" s="48"/>
      <c r="F64" s="48"/>
      <c r="G64" s="48"/>
      <c r="H64" s="48"/>
      <c r="I64" s="48"/>
      <c r="J64" s="48"/>
      <c r="K64" s="48"/>
      <c r="L64" s="48"/>
      <c r="M64" s="52">
        <v>56</v>
      </c>
      <c r="N64" s="51" t="s">
        <v>1230</v>
      </c>
      <c r="O64" s="70">
        <v>1</v>
      </c>
      <c r="P64" s="53">
        <f t="shared" si="3"/>
        <v>6.5359477124183009E-3</v>
      </c>
      <c r="Q64" s="48"/>
      <c r="R64" s="52">
        <v>56</v>
      </c>
      <c r="S64" s="51" t="str">
        <f t="array" ref="S64">INDEX($N$103:$N$188,SMALL(IF($O$103:$O$188=T64,ROW($O$103:$O$188)-102),COUNTIF($T$9:T64,T64)))</f>
        <v>Técnico de Suporte</v>
      </c>
      <c r="T64" s="70">
        <f t="shared" si="4"/>
        <v>0</v>
      </c>
      <c r="U64" s="53">
        <f t="shared" si="5"/>
        <v>0</v>
      </c>
      <c r="V64" s="48"/>
      <c r="W64" s="168" t="s">
        <v>119</v>
      </c>
      <c r="X64" s="179">
        <v>6000</v>
      </c>
      <c r="Y64" s="168"/>
      <c r="Z64" s="168"/>
      <c r="AA64" s="168"/>
      <c r="AB64" s="48"/>
      <c r="AC64" s="48"/>
      <c r="AD64" s="48"/>
      <c r="AE64" s="48"/>
      <c r="AF64" s="48"/>
      <c r="AG64" s="48"/>
      <c r="AH64" s="48"/>
      <c r="AI64" s="48"/>
      <c r="AJ64" s="48"/>
      <c r="AK64" s="48"/>
      <c r="AL64" s="48"/>
      <c r="AM64" s="48"/>
      <c r="AN64" s="48"/>
      <c r="AO64" s="48"/>
      <c r="AP64" s="48"/>
      <c r="AQ64" s="48"/>
      <c r="AR64" s="48"/>
      <c r="AS64" s="48"/>
      <c r="AT64" s="48"/>
      <c r="AU64" s="48"/>
      <c r="AV64" s="48"/>
      <c r="AW64" s="48"/>
      <c r="AX64" s="48"/>
      <c r="AY64" s="48"/>
      <c r="AZ64" s="48"/>
      <c r="BA64" s="48"/>
      <c r="BB64" s="48"/>
      <c r="BC64" s="48"/>
      <c r="BD64" s="48"/>
      <c r="BE64" s="48"/>
      <c r="BF64" s="48"/>
      <c r="BG64" s="48"/>
      <c r="BH64" s="48"/>
      <c r="BI64" s="48"/>
      <c r="BJ64" s="48"/>
      <c r="BK64" s="48"/>
      <c r="BL64" s="48"/>
      <c r="BM64" s="48"/>
      <c r="BN64" s="48"/>
      <c r="BO64" s="48"/>
      <c r="BP64" s="48"/>
      <c r="BQ64" s="296" t="str">
        <f t="shared" si="52"/>
        <v>Itaporanga D'Ajuda</v>
      </c>
      <c r="BR64" s="238">
        <f>COUNTIFS(Respostas_Formatadas!$C:$C,EmpAtual!$BQ$47,Respostas_Formatadas!$BC:$BC,EmpAtual!BQ64)</f>
        <v>0</v>
      </c>
      <c r="BS64" s="240">
        <f t="shared" si="53"/>
        <v>0</v>
      </c>
      <c r="BT64" s="48"/>
      <c r="BU64" s="48"/>
      <c r="BV64" s="48"/>
      <c r="BW64" s="48"/>
      <c r="BX64" s="48"/>
      <c r="BY64" s="48"/>
      <c r="BZ64" s="81">
        <f t="shared" si="61"/>
        <v>51</v>
      </c>
      <c r="CA64" s="51" t="str">
        <f t="shared" si="62"/>
        <v>Habilidade para negociar</v>
      </c>
      <c r="CB64" s="53">
        <f t="shared" si="58"/>
        <v>0.16666666666666666</v>
      </c>
      <c r="CC64" s="53">
        <f t="shared" si="58"/>
        <v>0.27777777777777779</v>
      </c>
      <c r="CD64" s="53">
        <f t="shared" si="58"/>
        <v>0.16666666666666666</v>
      </c>
      <c r="CE64" s="53">
        <f t="shared" si="58"/>
        <v>0.1111111111111111</v>
      </c>
      <c r="CF64" s="53">
        <f t="shared" si="58"/>
        <v>0.27777777777777779</v>
      </c>
      <c r="CG64" s="125">
        <f t="shared" si="63"/>
        <v>0.99999999999999989</v>
      </c>
      <c r="CH64" s="173">
        <f t="shared" si="64"/>
        <v>3.0555555555555554</v>
      </c>
      <c r="CI64" s="48"/>
      <c r="CJ64" s="48"/>
      <c r="CK64" s="48"/>
      <c r="CL64" s="48"/>
      <c r="CM64" s="81">
        <f t="shared" si="59"/>
        <v>64</v>
      </c>
      <c r="CN64" s="51" t="s">
        <v>51</v>
      </c>
      <c r="CO64" s="53">
        <f t="shared" si="60"/>
        <v>0.10526315789473684</v>
      </c>
      <c r="CP64" s="53">
        <f t="shared" si="60"/>
        <v>5.2631578947368418E-2</v>
      </c>
      <c r="CQ64" s="53">
        <f t="shared" si="60"/>
        <v>0.42105263157894735</v>
      </c>
      <c r="CR64" s="53">
        <f t="shared" si="60"/>
        <v>0.31578947368421051</v>
      </c>
      <c r="CS64" s="53">
        <f t="shared" si="60"/>
        <v>0.10526315789473684</v>
      </c>
      <c r="CT64" s="125">
        <f t="shared" si="65"/>
        <v>1</v>
      </c>
      <c r="CU64" s="173">
        <f t="shared" si="66"/>
        <v>3.263157894736842</v>
      </c>
      <c r="CV64" s="48"/>
      <c r="CW64" s="48"/>
      <c r="CX64" s="48"/>
      <c r="CY64" s="48"/>
      <c r="CZ64" s="48"/>
      <c r="DA64" s="48"/>
      <c r="DB64" s="48"/>
      <c r="DC64" s="48"/>
      <c r="DD64" s="48"/>
      <c r="DE64" s="48"/>
      <c r="DF64" s="48"/>
      <c r="DG64" s="48"/>
      <c r="DH64" s="48"/>
      <c r="DI64" s="48"/>
      <c r="DJ64" s="48"/>
      <c r="DK64" s="48"/>
      <c r="DL64" s="48"/>
      <c r="DM64" s="48"/>
      <c r="DN64" s="48"/>
      <c r="DO64" s="48"/>
      <c r="DP64" s="48"/>
    </row>
    <row r="65" spans="2:120" x14ac:dyDescent="0.2">
      <c r="B65" s="48"/>
      <c r="C65" s="144"/>
      <c r="D65" s="48"/>
      <c r="E65" s="48"/>
      <c r="F65" s="166">
        <v>31</v>
      </c>
      <c r="G65" s="48"/>
      <c r="H65" s="48"/>
      <c r="I65" s="48"/>
      <c r="J65" s="48"/>
      <c r="K65" s="48"/>
      <c r="L65" s="48"/>
      <c r="M65" s="52">
        <v>57</v>
      </c>
      <c r="N65" s="51" t="s">
        <v>1131</v>
      </c>
      <c r="O65" s="70">
        <v>1</v>
      </c>
      <c r="P65" s="53">
        <f t="shared" si="3"/>
        <v>6.5359477124183009E-3</v>
      </c>
      <c r="Q65" s="48"/>
      <c r="R65" s="52">
        <v>57</v>
      </c>
      <c r="S65" s="51" t="str">
        <f t="array" ref="S65">INDEX($N$103:$N$188,SMALL(IF($O$103:$O$188=T65,ROW($O$103:$O$188)-102),COUNTIF($T$9:T65,T65)))</f>
        <v>Tecnólogo em Saneamento Ambiental</v>
      </c>
      <c r="T65" s="70">
        <f t="shared" si="4"/>
        <v>0</v>
      </c>
      <c r="U65" s="53">
        <f t="shared" si="5"/>
        <v>0</v>
      </c>
      <c r="V65" s="48"/>
      <c r="W65" s="168" t="s">
        <v>119</v>
      </c>
      <c r="X65" s="179">
        <v>1900</v>
      </c>
      <c r="Y65" s="168"/>
      <c r="Z65" s="168"/>
      <c r="AA65" s="168"/>
      <c r="AB65" s="48"/>
      <c r="AC65" s="48"/>
      <c r="AD65" s="48"/>
      <c r="AE65" s="48"/>
      <c r="AF65" s="48"/>
      <c r="AG65" s="48"/>
      <c r="AH65" s="48"/>
      <c r="AI65" s="48"/>
      <c r="AJ65" s="48"/>
      <c r="AK65" s="48"/>
      <c r="AL65" s="48"/>
      <c r="AM65" s="48"/>
      <c r="AN65" s="48"/>
      <c r="AO65" s="48"/>
      <c r="AP65" s="48"/>
      <c r="AQ65" s="48"/>
      <c r="AR65" s="48"/>
      <c r="AS65" s="48"/>
      <c r="AT65" s="48"/>
      <c r="AU65" s="48"/>
      <c r="AV65" s="48"/>
      <c r="AW65" s="48"/>
      <c r="AX65" s="48"/>
      <c r="AY65" s="48"/>
      <c r="AZ65" s="48"/>
      <c r="BA65" s="48"/>
      <c r="BB65" s="48"/>
      <c r="BC65" s="48"/>
      <c r="BD65" s="48"/>
      <c r="BE65" s="48"/>
      <c r="BF65" s="48"/>
      <c r="BG65" s="48"/>
      <c r="BH65" s="48"/>
      <c r="BI65" s="48"/>
      <c r="BJ65" s="48"/>
      <c r="BK65" s="48"/>
      <c r="BL65" s="48"/>
      <c r="BM65" s="48"/>
      <c r="BN65" s="48"/>
      <c r="BO65" s="48"/>
      <c r="BP65" s="48"/>
      <c r="BQ65" s="296" t="str">
        <f t="shared" si="52"/>
        <v>Alagoinhas - BA</v>
      </c>
      <c r="BR65" s="238">
        <f>COUNTIFS(Respostas_Formatadas!$C:$C,EmpAtual!$BQ$47,Respostas_Formatadas!$BC:$BC,EmpAtual!BQ65)</f>
        <v>0</v>
      </c>
      <c r="BS65" s="240">
        <f t="shared" si="53"/>
        <v>0</v>
      </c>
      <c r="BT65" s="48"/>
      <c r="BU65" s="48"/>
      <c r="BV65" s="48"/>
      <c r="BW65" s="48"/>
      <c r="BX65" s="48"/>
      <c r="BY65" s="48"/>
      <c r="BZ65" s="198">
        <f t="shared" si="61"/>
        <v>52</v>
      </c>
      <c r="CA65" s="199" t="str">
        <f t="shared" si="62"/>
        <v>Habilidade de coordenar atividades</v>
      </c>
      <c r="CB65" s="204">
        <f t="shared" si="58"/>
        <v>5.5555555555555552E-2</v>
      </c>
      <c r="CC65" s="204">
        <f t="shared" si="58"/>
        <v>5.5555555555555552E-2</v>
      </c>
      <c r="CD65" s="204">
        <f t="shared" si="58"/>
        <v>0.33333333333333331</v>
      </c>
      <c r="CE65" s="204">
        <f t="shared" si="58"/>
        <v>5.5555555555555552E-2</v>
      </c>
      <c r="CF65" s="204">
        <f t="shared" si="58"/>
        <v>0.5</v>
      </c>
      <c r="CG65" s="205">
        <f t="shared" si="63"/>
        <v>1</v>
      </c>
      <c r="CH65" s="202">
        <f t="shared" si="64"/>
        <v>3.8888888888888888</v>
      </c>
      <c r="CI65" s="48"/>
      <c r="CJ65" s="48"/>
      <c r="CK65" s="48"/>
      <c r="CL65" s="48"/>
      <c r="CM65" s="198">
        <f t="shared" si="59"/>
        <v>65</v>
      </c>
      <c r="CN65" s="199" t="s">
        <v>52</v>
      </c>
      <c r="CO65" s="204">
        <f t="shared" si="60"/>
        <v>5.2631578947368418E-2</v>
      </c>
      <c r="CP65" s="204">
        <f t="shared" si="60"/>
        <v>0.10526315789473684</v>
      </c>
      <c r="CQ65" s="204">
        <f t="shared" si="60"/>
        <v>0.31578947368421051</v>
      </c>
      <c r="CR65" s="204">
        <f t="shared" si="60"/>
        <v>0.21052631578947367</v>
      </c>
      <c r="CS65" s="204">
        <f t="shared" si="60"/>
        <v>0.31578947368421051</v>
      </c>
      <c r="CT65" s="205">
        <f t="shared" si="65"/>
        <v>0.99999999999999989</v>
      </c>
      <c r="CU65" s="202">
        <f t="shared" si="66"/>
        <v>3.6315789473684212</v>
      </c>
      <c r="CV65" s="48"/>
      <c r="CW65" s="48"/>
      <c r="CX65" s="48"/>
      <c r="CY65" s="48"/>
      <c r="CZ65" s="48"/>
      <c r="DA65" s="48"/>
      <c r="DB65" s="48"/>
      <c r="DC65" s="48"/>
      <c r="DD65" s="48"/>
      <c r="DE65" s="48"/>
      <c r="DF65" s="48"/>
      <c r="DG65" s="48"/>
      <c r="DH65" s="48"/>
      <c r="DI65" s="48"/>
      <c r="DJ65" s="48"/>
      <c r="DK65" s="48"/>
      <c r="DL65" s="48"/>
      <c r="DM65" s="48"/>
      <c r="DN65" s="48"/>
      <c r="DO65" s="48"/>
      <c r="DP65" s="48"/>
    </row>
    <row r="66" spans="2:120" x14ac:dyDescent="0.2">
      <c r="B66" s="48"/>
      <c r="C66" s="144"/>
      <c r="D66" s="48"/>
      <c r="E66" s="48"/>
      <c r="F66" s="48"/>
      <c r="G66" s="48"/>
      <c r="H66" s="48"/>
      <c r="I66" s="48"/>
      <c r="J66" s="48"/>
      <c r="K66" s="48"/>
      <c r="L66" s="48"/>
      <c r="M66" s="52">
        <v>58</v>
      </c>
      <c r="N66" s="51" t="s">
        <v>1133</v>
      </c>
      <c r="O66" s="70">
        <v>1</v>
      </c>
      <c r="P66" s="53">
        <f t="shared" si="3"/>
        <v>6.5359477124183009E-3</v>
      </c>
      <c r="Q66" s="48"/>
      <c r="R66" s="52">
        <v>58</v>
      </c>
      <c r="S66" s="51" t="str">
        <f t="array" ref="S66">INDEX($N$103:$N$188,SMALL(IF($O$103:$O$188=T66,ROW($O$103:$O$188)-102),COUNTIF($T$9:T66,T66)))</f>
        <v>Funcionário Público</v>
      </c>
      <c r="T66" s="70">
        <f t="shared" si="4"/>
        <v>0</v>
      </c>
      <c r="U66" s="53">
        <f t="shared" si="5"/>
        <v>0</v>
      </c>
      <c r="V66" s="48"/>
      <c r="W66" s="168" t="s">
        <v>119</v>
      </c>
      <c r="X66" s="179">
        <v>5000</v>
      </c>
      <c r="Y66" s="168"/>
      <c r="Z66" s="168"/>
      <c r="AA66" s="168"/>
      <c r="AB66" s="48"/>
      <c r="AC66" s="48"/>
      <c r="AD66" s="48"/>
      <c r="AE66" s="48"/>
      <c r="AF66" s="48"/>
      <c r="AG66" s="48"/>
      <c r="AH66" s="48"/>
      <c r="AI66" s="48"/>
      <c r="AJ66" s="48"/>
      <c r="AK66" s="48"/>
      <c r="AL66" s="48"/>
      <c r="AM66" s="48"/>
      <c r="AN66" s="48"/>
      <c r="AO66" s="48"/>
      <c r="AP66" s="48"/>
      <c r="AQ66" s="48"/>
      <c r="AR66" s="48"/>
      <c r="AS66" s="48"/>
      <c r="AT66" s="48"/>
      <c r="AU66" s="48"/>
      <c r="AV66" s="48"/>
      <c r="AW66" s="48"/>
      <c r="AX66" s="48"/>
      <c r="AY66" s="48"/>
      <c r="AZ66" s="48"/>
      <c r="BA66" s="48"/>
      <c r="BB66" s="48"/>
      <c r="BC66" s="48"/>
      <c r="BD66" s="48"/>
      <c r="BE66" s="48"/>
      <c r="BF66" s="48"/>
      <c r="BG66" s="48"/>
      <c r="BH66" s="48"/>
      <c r="BI66" s="48"/>
      <c r="BJ66" s="48"/>
      <c r="BK66" s="48"/>
      <c r="BL66" s="48"/>
      <c r="BM66" s="48"/>
      <c r="BN66" s="48"/>
      <c r="BO66" s="48"/>
      <c r="BP66" s="48"/>
      <c r="BQ66" s="296" t="str">
        <f t="shared" si="52"/>
        <v>Poço Redondo</v>
      </c>
      <c r="BR66" s="238">
        <f>COUNTIFS(Respostas_Formatadas!$C:$C,EmpAtual!$BQ$47,Respostas_Formatadas!$BC:$BC,EmpAtual!BQ66)</f>
        <v>0</v>
      </c>
      <c r="BS66" s="240">
        <f t="shared" si="53"/>
        <v>0</v>
      </c>
      <c r="BT66" s="48"/>
      <c r="BU66" s="48"/>
      <c r="BV66" s="48"/>
      <c r="BW66" s="48"/>
      <c r="BX66" s="48"/>
      <c r="BY66" s="48"/>
      <c r="BZ66" s="81">
        <f t="shared" si="61"/>
        <v>53</v>
      </c>
      <c r="CA66" s="51" t="str">
        <f t="shared" si="62"/>
        <v>Habilidade de trabalhar produtivamente em grupo</v>
      </c>
      <c r="CB66" s="53">
        <f t="shared" si="58"/>
        <v>0</v>
      </c>
      <c r="CC66" s="53">
        <f t="shared" si="58"/>
        <v>0</v>
      </c>
      <c r="CD66" s="53">
        <f t="shared" si="58"/>
        <v>0.1111111111111111</v>
      </c>
      <c r="CE66" s="53">
        <f t="shared" si="58"/>
        <v>0.33333333333333331</v>
      </c>
      <c r="CF66" s="53">
        <f t="shared" si="58"/>
        <v>0.55555555555555558</v>
      </c>
      <c r="CG66" s="125">
        <f t="shared" si="63"/>
        <v>1</v>
      </c>
      <c r="CH66" s="173">
        <f t="shared" si="64"/>
        <v>4.4444444444444446</v>
      </c>
      <c r="CI66" s="48"/>
      <c r="CJ66" s="48"/>
      <c r="CK66" s="48"/>
      <c r="CL66" s="48"/>
      <c r="CM66" s="81">
        <f t="shared" si="59"/>
        <v>66</v>
      </c>
      <c r="CN66" s="51" t="s">
        <v>53</v>
      </c>
      <c r="CO66" s="53">
        <f t="shared" si="60"/>
        <v>0</v>
      </c>
      <c r="CP66" s="53">
        <f t="shared" si="60"/>
        <v>0</v>
      </c>
      <c r="CQ66" s="53">
        <f t="shared" si="60"/>
        <v>0.21052631578947367</v>
      </c>
      <c r="CR66" s="53">
        <f t="shared" si="60"/>
        <v>0.42105263157894735</v>
      </c>
      <c r="CS66" s="53">
        <f t="shared" si="60"/>
        <v>0.36842105263157893</v>
      </c>
      <c r="CT66" s="125">
        <f t="shared" si="65"/>
        <v>1</v>
      </c>
      <c r="CU66" s="173">
        <f t="shared" si="66"/>
        <v>4.1578947368421053</v>
      </c>
      <c r="CV66" s="48"/>
      <c r="CW66" s="48"/>
      <c r="CX66" s="48"/>
      <c r="CY66" s="48"/>
      <c r="CZ66" s="48"/>
      <c r="DA66" s="48"/>
      <c r="DB66" s="48"/>
      <c r="DC66" s="48"/>
      <c r="DD66" s="48"/>
      <c r="DE66" s="48"/>
      <c r="DF66" s="48"/>
      <c r="DG66" s="48"/>
      <c r="DH66" s="48"/>
      <c r="DI66" s="48"/>
      <c r="DJ66" s="48"/>
      <c r="DK66" s="48"/>
      <c r="DL66" s="48"/>
      <c r="DM66" s="48"/>
      <c r="DN66" s="48"/>
      <c r="DO66" s="48"/>
      <c r="DP66" s="48"/>
    </row>
    <row r="67" spans="2:120" x14ac:dyDescent="0.2">
      <c r="B67" s="48"/>
      <c r="C67" s="144"/>
      <c r="D67" s="48"/>
      <c r="E67" s="48"/>
      <c r="F67" s="195" t="s">
        <v>1062</v>
      </c>
      <c r="G67" s="196" t="s">
        <v>131</v>
      </c>
      <c r="H67" s="196" t="s">
        <v>132</v>
      </c>
      <c r="I67" s="48"/>
      <c r="J67" s="48"/>
      <c r="K67" s="48"/>
      <c r="L67" s="48"/>
      <c r="M67" s="52">
        <v>59</v>
      </c>
      <c r="N67" s="51" t="s">
        <v>1231</v>
      </c>
      <c r="O67" s="70">
        <v>1</v>
      </c>
      <c r="P67" s="53">
        <f t="shared" si="3"/>
        <v>6.5359477124183009E-3</v>
      </c>
      <c r="Q67" s="48"/>
      <c r="R67" s="52">
        <v>59</v>
      </c>
      <c r="S67" s="51" t="str">
        <f t="array" ref="S67">INDEX($N$103:$N$188,SMALL(IF($O$103:$O$188=T67,ROW($O$103:$O$188)-102),COUNTIF($T$9:T67,T67)))</f>
        <v>Auxiliar de Controle da Qualidade</v>
      </c>
      <c r="T67" s="70">
        <f t="shared" si="4"/>
        <v>0</v>
      </c>
      <c r="U67" s="53">
        <f t="shared" si="5"/>
        <v>0</v>
      </c>
      <c r="V67" s="48"/>
      <c r="W67" s="168" t="s">
        <v>119</v>
      </c>
      <c r="X67" s="179">
        <v>1200</v>
      </c>
      <c r="Y67" s="168"/>
      <c r="Z67" s="168"/>
      <c r="AA67" s="168"/>
      <c r="AB67" s="48"/>
      <c r="AC67" s="48"/>
      <c r="AD67" s="48"/>
      <c r="AE67" s="48"/>
      <c r="AF67" s="48"/>
      <c r="AG67" s="48"/>
      <c r="AH67" s="48"/>
      <c r="AI67" s="48"/>
      <c r="AJ67" s="48"/>
      <c r="AK67" s="48"/>
      <c r="AL67" s="48"/>
      <c r="AM67" s="48"/>
      <c r="AN67" s="48"/>
      <c r="AO67" s="48"/>
      <c r="AP67" s="48"/>
      <c r="AQ67" s="48"/>
      <c r="AR67" s="48"/>
      <c r="AS67" s="48"/>
      <c r="AT67" s="48"/>
      <c r="AU67" s="48"/>
      <c r="AV67" s="48"/>
      <c r="AW67" s="48"/>
      <c r="AX67" s="48"/>
      <c r="AY67" s="48"/>
      <c r="AZ67" s="48"/>
      <c r="BA67" s="48"/>
      <c r="BB67" s="48"/>
      <c r="BC67" s="48"/>
      <c r="BD67" s="48"/>
      <c r="BE67" s="48"/>
      <c r="BF67" s="48"/>
      <c r="BG67" s="48"/>
      <c r="BH67" s="48"/>
      <c r="BI67" s="48"/>
      <c r="BJ67" s="48"/>
      <c r="BK67" s="48"/>
      <c r="BL67" s="48"/>
      <c r="BM67" s="48"/>
      <c r="BN67" s="48"/>
      <c r="BO67" s="48"/>
      <c r="BP67" s="48"/>
      <c r="BQ67" s="296" t="str">
        <f t="shared" si="52"/>
        <v>Feira de Santana - BA</v>
      </c>
      <c r="BR67" s="238">
        <f>COUNTIFS(Respostas_Formatadas!$C:$C,EmpAtual!$BQ$47,Respostas_Formatadas!$BC:$BC,EmpAtual!BQ67)</f>
        <v>0</v>
      </c>
      <c r="BS67" s="240">
        <f t="shared" si="53"/>
        <v>0</v>
      </c>
      <c r="BT67" s="48"/>
      <c r="BU67" s="48"/>
      <c r="BV67" s="48"/>
      <c r="BW67" s="48"/>
      <c r="BX67" s="48"/>
      <c r="BY67" s="48"/>
      <c r="BZ67" s="198">
        <f t="shared" si="61"/>
        <v>54</v>
      </c>
      <c r="CA67" s="199" t="str">
        <f t="shared" si="62"/>
        <v>Habilidade de expressar uma ideia de maneira clara</v>
      </c>
      <c r="CB67" s="204">
        <f t="shared" si="58"/>
        <v>0</v>
      </c>
      <c r="CC67" s="204">
        <f t="shared" si="58"/>
        <v>5.5555555555555552E-2</v>
      </c>
      <c r="CD67" s="204">
        <f t="shared" si="58"/>
        <v>0</v>
      </c>
      <c r="CE67" s="204">
        <f t="shared" si="58"/>
        <v>0.16666666666666666</v>
      </c>
      <c r="CF67" s="204">
        <f t="shared" si="58"/>
        <v>0.77777777777777779</v>
      </c>
      <c r="CG67" s="205">
        <f t="shared" si="63"/>
        <v>1</v>
      </c>
      <c r="CH67" s="202">
        <f t="shared" si="64"/>
        <v>4.666666666666667</v>
      </c>
      <c r="CI67" s="48"/>
      <c r="CJ67" s="48"/>
      <c r="CK67" s="48"/>
      <c r="CL67" s="48"/>
      <c r="CM67" s="198">
        <f t="shared" si="59"/>
        <v>67</v>
      </c>
      <c r="CN67" s="199" t="s">
        <v>54</v>
      </c>
      <c r="CO67" s="204">
        <f t="shared" si="60"/>
        <v>0</v>
      </c>
      <c r="CP67" s="204">
        <f t="shared" si="60"/>
        <v>0</v>
      </c>
      <c r="CQ67" s="204">
        <f t="shared" si="60"/>
        <v>0.15789473684210525</v>
      </c>
      <c r="CR67" s="204">
        <f t="shared" si="60"/>
        <v>0.63157894736842102</v>
      </c>
      <c r="CS67" s="204">
        <f t="shared" si="60"/>
        <v>0.21052631578947367</v>
      </c>
      <c r="CT67" s="205">
        <f t="shared" si="65"/>
        <v>1</v>
      </c>
      <c r="CU67" s="202">
        <f t="shared" si="66"/>
        <v>4.0526315789473681</v>
      </c>
      <c r="CV67" s="48"/>
      <c r="CW67" s="48"/>
      <c r="CX67" s="48"/>
      <c r="CY67" s="48"/>
      <c r="CZ67" s="48"/>
      <c r="DA67" s="48"/>
      <c r="DB67" s="48"/>
      <c r="DC67" s="48"/>
      <c r="DD67" s="48"/>
      <c r="DE67" s="48"/>
      <c r="DF67" s="48"/>
      <c r="DG67" s="48"/>
      <c r="DH67" s="48"/>
      <c r="DI67" s="48"/>
      <c r="DJ67" s="48"/>
      <c r="DK67" s="48"/>
      <c r="DL67" s="48"/>
      <c r="DM67" s="48"/>
      <c r="DN67" s="48"/>
      <c r="DO67" s="48"/>
      <c r="DP67" s="48"/>
    </row>
    <row r="68" spans="2:120" x14ac:dyDescent="0.2">
      <c r="B68" s="48"/>
      <c r="C68" s="144"/>
      <c r="D68" s="48"/>
      <c r="E68" s="48"/>
      <c r="F68" s="60">
        <v>2009</v>
      </c>
      <c r="G68" s="52">
        <f>IFERROR(COUNTIFS(Respostas_Formatadas!$AO:$AO,EmpAtual!$F$11,Respostas_Formatadas!$FE:$FE,EmpAtual!$F68),"-")</f>
        <v>2</v>
      </c>
      <c r="H68" s="53">
        <f>G68/$G$78</f>
        <v>0.125</v>
      </c>
      <c r="I68" s="48"/>
      <c r="J68" s="48"/>
      <c r="K68" s="48"/>
      <c r="L68" s="48"/>
      <c r="M68" s="52">
        <v>60</v>
      </c>
      <c r="N68" s="51" t="s">
        <v>676</v>
      </c>
      <c r="O68" s="70">
        <v>1</v>
      </c>
      <c r="P68" s="53">
        <f t="shared" si="3"/>
        <v>6.5359477124183009E-3</v>
      </c>
      <c r="Q68" s="48"/>
      <c r="R68" s="52">
        <v>60</v>
      </c>
      <c r="S68" s="51" t="str">
        <f t="array" ref="S68">INDEX($N$103:$N$188,SMALL(IF($O$103:$O$188=T68,ROW($O$103:$O$188)-102),COUNTIF($T$9:T68,T68)))</f>
        <v>Tecnólogo em Laticínio</v>
      </c>
      <c r="T68" s="70">
        <f t="shared" si="4"/>
        <v>0</v>
      </c>
      <c r="U68" s="53">
        <f t="shared" si="5"/>
        <v>0</v>
      </c>
      <c r="V68" s="48"/>
      <c r="W68" s="168" t="s">
        <v>119</v>
      </c>
      <c r="X68" s="179">
        <v>2914</v>
      </c>
      <c r="Y68" s="168"/>
      <c r="Z68" s="168"/>
      <c r="AA68" s="168"/>
      <c r="AB68" s="48"/>
      <c r="AC68" s="48"/>
      <c r="AD68" s="48"/>
      <c r="AE68" s="48"/>
      <c r="AF68" s="48"/>
      <c r="AG68" s="48"/>
      <c r="AH68" s="48"/>
      <c r="AI68" s="48"/>
      <c r="AJ68" s="48"/>
      <c r="AK68" s="48"/>
      <c r="AL68" s="48"/>
      <c r="AM68" s="48"/>
      <c r="AN68" s="48"/>
      <c r="AO68" s="48"/>
      <c r="AP68" s="48"/>
      <c r="AQ68" s="48"/>
      <c r="AR68" s="48"/>
      <c r="AS68" s="48"/>
      <c r="AT68" s="48"/>
      <c r="AU68" s="48"/>
      <c r="AV68" s="48"/>
      <c r="AW68" s="48"/>
      <c r="AX68" s="48"/>
      <c r="AY68" s="48"/>
      <c r="AZ68" s="48"/>
      <c r="BA68" s="48"/>
      <c r="BB68" s="48"/>
      <c r="BC68" s="48"/>
      <c r="BD68" s="48"/>
      <c r="BE68" s="48"/>
      <c r="BF68" s="48"/>
      <c r="BG68" s="48"/>
      <c r="BH68" s="48"/>
      <c r="BI68" s="48"/>
      <c r="BJ68" s="48"/>
      <c r="BK68" s="48"/>
      <c r="BL68" s="48"/>
      <c r="BM68" s="48"/>
      <c r="BN68" s="48"/>
      <c r="BO68" s="48"/>
      <c r="BP68" s="48"/>
      <c r="BQ68" s="296" t="str">
        <f t="shared" si="52"/>
        <v>Ribeirópolis</v>
      </c>
      <c r="BR68" s="238">
        <f>COUNTIFS(Respostas_Formatadas!$C:$C,EmpAtual!$BQ$47,Respostas_Formatadas!$BC:$BC,EmpAtual!BQ68)</f>
        <v>1</v>
      </c>
      <c r="BS68" s="240">
        <f t="shared" si="53"/>
        <v>0.2</v>
      </c>
      <c r="BT68" s="48"/>
      <c r="BU68" s="48"/>
      <c r="BV68" s="48"/>
      <c r="BW68" s="48"/>
      <c r="BX68" s="48"/>
      <c r="BY68" s="48"/>
      <c r="BZ68" s="81">
        <f t="shared" si="61"/>
        <v>55</v>
      </c>
      <c r="CA68" s="51" t="str">
        <f t="shared" si="62"/>
        <v>Habilidade de usar computadores e internet</v>
      </c>
      <c r="CB68" s="53">
        <f t="shared" si="58"/>
        <v>0</v>
      </c>
      <c r="CC68" s="53">
        <f t="shared" si="58"/>
        <v>0</v>
      </c>
      <c r="CD68" s="53">
        <f t="shared" si="58"/>
        <v>0</v>
      </c>
      <c r="CE68" s="53">
        <f t="shared" si="58"/>
        <v>0</v>
      </c>
      <c r="CF68" s="53">
        <f t="shared" si="58"/>
        <v>1</v>
      </c>
      <c r="CG68" s="125">
        <f t="shared" si="63"/>
        <v>1</v>
      </c>
      <c r="CH68" s="173">
        <f t="shared" si="64"/>
        <v>5</v>
      </c>
      <c r="CI68" s="48"/>
      <c r="CJ68" s="48"/>
      <c r="CK68" s="48"/>
      <c r="CL68" s="48"/>
      <c r="CM68" s="81">
        <f t="shared" si="59"/>
        <v>68</v>
      </c>
      <c r="CN68" s="51" t="s">
        <v>55</v>
      </c>
      <c r="CO68" s="53">
        <f t="shared" si="60"/>
        <v>0</v>
      </c>
      <c r="CP68" s="53">
        <f t="shared" si="60"/>
        <v>0</v>
      </c>
      <c r="CQ68" s="53">
        <f t="shared" si="60"/>
        <v>0</v>
      </c>
      <c r="CR68" s="53">
        <f t="shared" si="60"/>
        <v>0</v>
      </c>
      <c r="CS68" s="53">
        <f t="shared" si="60"/>
        <v>1</v>
      </c>
      <c r="CT68" s="125">
        <f t="shared" si="65"/>
        <v>1</v>
      </c>
      <c r="CU68" s="173">
        <f t="shared" si="66"/>
        <v>5</v>
      </c>
      <c r="CV68" s="48"/>
      <c r="CW68" s="48"/>
      <c r="CX68" s="48"/>
      <c r="CY68" s="48"/>
      <c r="CZ68" s="48"/>
      <c r="DA68" s="48"/>
      <c r="DB68" s="48"/>
      <c r="DC68" s="48"/>
      <c r="DD68" s="48"/>
      <c r="DE68" s="48"/>
      <c r="DF68" s="48"/>
      <c r="DG68" s="48"/>
      <c r="DH68" s="48"/>
      <c r="DI68" s="48"/>
      <c r="DJ68" s="48"/>
      <c r="DK68" s="48"/>
      <c r="DL68" s="48"/>
      <c r="DM68" s="48"/>
      <c r="DN68" s="48"/>
      <c r="DO68" s="48"/>
      <c r="DP68" s="48"/>
    </row>
    <row r="69" spans="2:120" x14ac:dyDescent="0.2">
      <c r="B69" s="48"/>
      <c r="C69" s="144"/>
      <c r="D69" s="48"/>
      <c r="E69" s="48"/>
      <c r="F69" s="60">
        <v>2010</v>
      </c>
      <c r="G69" s="52">
        <f>IFERROR(COUNTIFS(Respostas_Formatadas!$AO:$AO,EmpAtual!$F$11,Respostas_Formatadas!$FE:$FE,EmpAtual!$F69),"-")</f>
        <v>0</v>
      </c>
      <c r="H69" s="53">
        <f t="shared" ref="H69:H77" si="67">G69/$G$78</f>
        <v>0</v>
      </c>
      <c r="I69" s="48"/>
      <c r="J69" s="48"/>
      <c r="K69" s="48"/>
      <c r="L69" s="48"/>
      <c r="M69" s="52">
        <v>61</v>
      </c>
      <c r="N69" s="51" t="s">
        <v>680</v>
      </c>
      <c r="O69" s="70">
        <v>1</v>
      </c>
      <c r="P69" s="53">
        <f t="shared" si="3"/>
        <v>6.5359477124183009E-3</v>
      </c>
      <c r="Q69" s="48"/>
      <c r="R69" s="52">
        <v>61</v>
      </c>
      <c r="S69" s="51" t="str">
        <f t="array" ref="S69">INDEX($N$103:$N$188,SMALL(IF($O$103:$O$188=T69,ROW($O$103:$O$188)-102),COUNTIF($T$9:T69,T69)))</f>
        <v>Educador Profissional</v>
      </c>
      <c r="T69" s="70">
        <f t="shared" si="4"/>
        <v>0</v>
      </c>
      <c r="U69" s="53">
        <f t="shared" si="5"/>
        <v>0</v>
      </c>
      <c r="V69" s="48"/>
      <c r="W69" s="168" t="s">
        <v>119</v>
      </c>
      <c r="X69" s="179">
        <v>2500</v>
      </c>
      <c r="Y69" s="168"/>
      <c r="Z69" s="168"/>
      <c r="AA69" s="168"/>
      <c r="AB69" s="48"/>
      <c r="AC69" s="48"/>
      <c r="AD69" s="48"/>
      <c r="AE69" s="48"/>
      <c r="AF69" s="48"/>
      <c r="AG69" s="48"/>
      <c r="AH69" s="48"/>
      <c r="AI69" s="48"/>
      <c r="AJ69" s="48"/>
      <c r="AK69" s="48"/>
      <c r="AL69" s="48"/>
      <c r="AM69" s="48"/>
      <c r="AN69" s="48"/>
      <c r="AO69" s="48"/>
      <c r="AP69" s="48"/>
      <c r="AQ69" s="48"/>
      <c r="AR69" s="48"/>
      <c r="AS69" s="48"/>
      <c r="AT69" s="48"/>
      <c r="AU69" s="48"/>
      <c r="AV69" s="48"/>
      <c r="AW69" s="48"/>
      <c r="AX69" s="48"/>
      <c r="AY69" s="48"/>
      <c r="AZ69" s="48"/>
      <c r="BA69" s="48"/>
      <c r="BB69" s="48"/>
      <c r="BC69" s="48"/>
      <c r="BD69" s="48"/>
      <c r="BE69" s="48"/>
      <c r="BF69" s="48"/>
      <c r="BG69" s="48"/>
      <c r="BH69" s="48"/>
      <c r="BI69" s="48"/>
      <c r="BJ69" s="48"/>
      <c r="BK69" s="48"/>
      <c r="BL69" s="48"/>
      <c r="BM69" s="48"/>
      <c r="BN69" s="48"/>
      <c r="BO69" s="48"/>
      <c r="BP69" s="48"/>
      <c r="BQ69" s="296" t="str">
        <f t="shared" si="52"/>
        <v>Frei Paulo</v>
      </c>
      <c r="BR69" s="238">
        <f>COUNTIFS(Respostas_Formatadas!$C:$C,EmpAtual!$BQ$47,Respostas_Formatadas!$BC:$BC,EmpAtual!BQ69)</f>
        <v>0</v>
      </c>
      <c r="BS69" s="240">
        <f t="shared" si="53"/>
        <v>0</v>
      </c>
      <c r="BT69" s="48"/>
      <c r="BU69" s="48"/>
      <c r="BV69" s="48"/>
      <c r="BW69" s="48"/>
      <c r="BX69" s="48"/>
      <c r="BY69" s="48"/>
      <c r="BZ69" s="198">
        <f t="shared" si="61"/>
        <v>56</v>
      </c>
      <c r="CA69" s="199" t="str">
        <f t="shared" si="62"/>
        <v>Habilidade de encontrar ideias e soluções inovadoras</v>
      </c>
      <c r="CB69" s="204">
        <f t="shared" si="58"/>
        <v>5.5555555555555552E-2</v>
      </c>
      <c r="CC69" s="204">
        <f t="shared" si="58"/>
        <v>0</v>
      </c>
      <c r="CD69" s="204">
        <f t="shared" si="58"/>
        <v>5.5555555555555552E-2</v>
      </c>
      <c r="CE69" s="204">
        <f t="shared" si="58"/>
        <v>0.33333333333333331</v>
      </c>
      <c r="CF69" s="204">
        <f t="shared" si="58"/>
        <v>0.55555555555555558</v>
      </c>
      <c r="CG69" s="205">
        <f t="shared" si="63"/>
        <v>1</v>
      </c>
      <c r="CH69" s="202">
        <f t="shared" si="64"/>
        <v>4.333333333333333</v>
      </c>
      <c r="CI69" s="48"/>
      <c r="CJ69" s="48"/>
      <c r="CK69" s="48"/>
      <c r="CL69" s="48"/>
      <c r="CM69" s="198">
        <f t="shared" si="59"/>
        <v>69</v>
      </c>
      <c r="CN69" s="199" t="s">
        <v>56</v>
      </c>
      <c r="CO69" s="204">
        <f t="shared" si="60"/>
        <v>0</v>
      </c>
      <c r="CP69" s="204">
        <f t="shared" si="60"/>
        <v>0</v>
      </c>
      <c r="CQ69" s="204">
        <f t="shared" si="60"/>
        <v>0.31578947368421051</v>
      </c>
      <c r="CR69" s="204">
        <f t="shared" si="60"/>
        <v>0.36842105263157893</v>
      </c>
      <c r="CS69" s="204">
        <f t="shared" si="60"/>
        <v>0.31578947368421051</v>
      </c>
      <c r="CT69" s="205">
        <f t="shared" si="65"/>
        <v>0.99999999999999989</v>
      </c>
      <c r="CU69" s="202">
        <f t="shared" si="66"/>
        <v>4</v>
      </c>
      <c r="CV69" s="48"/>
      <c r="CW69" s="48"/>
      <c r="CX69" s="48"/>
      <c r="CY69" s="48"/>
      <c r="CZ69" s="48"/>
      <c r="DA69" s="48"/>
      <c r="DB69" s="48"/>
      <c r="DC69" s="48"/>
      <c r="DD69" s="48"/>
      <c r="DE69" s="48"/>
      <c r="DF69" s="48"/>
      <c r="DG69" s="48"/>
      <c r="DH69" s="48"/>
      <c r="DI69" s="48"/>
      <c r="DJ69" s="48"/>
      <c r="DK69" s="48"/>
      <c r="DL69" s="48"/>
      <c r="DM69" s="48"/>
      <c r="DN69" s="48"/>
      <c r="DO69" s="48"/>
      <c r="DP69" s="48"/>
    </row>
    <row r="70" spans="2:120" x14ac:dyDescent="0.2">
      <c r="B70" s="48"/>
      <c r="C70" s="144"/>
      <c r="D70" s="48"/>
      <c r="E70" s="48"/>
      <c r="F70" s="60">
        <v>2011</v>
      </c>
      <c r="G70" s="52">
        <f>IFERROR(COUNTIFS(Respostas_Formatadas!$AO:$AO,EmpAtual!$F$11,Respostas_Formatadas!$FE:$FE,EmpAtual!$F70),"-")</f>
        <v>0</v>
      </c>
      <c r="H70" s="53">
        <f t="shared" si="67"/>
        <v>0</v>
      </c>
      <c r="I70" s="48"/>
      <c r="J70" s="48"/>
      <c r="K70" s="48"/>
      <c r="L70" s="48"/>
      <c r="M70" s="52">
        <v>62</v>
      </c>
      <c r="N70" s="51" t="s">
        <v>1117</v>
      </c>
      <c r="O70" s="70">
        <v>1</v>
      </c>
      <c r="P70" s="53">
        <f t="shared" si="3"/>
        <v>6.5359477124183009E-3</v>
      </c>
      <c r="Q70" s="48"/>
      <c r="R70" s="52">
        <v>62</v>
      </c>
      <c r="S70" s="51" t="str">
        <f t="array" ref="S70">INDEX($N$103:$N$188,SMALL(IF($O$103:$O$188=T70,ROW($O$103:$O$188)-102),COUNTIF($T$9:T70,T70)))</f>
        <v>Instrutor</v>
      </c>
      <c r="T70" s="70">
        <f t="shared" si="4"/>
        <v>0</v>
      </c>
      <c r="U70" s="53">
        <f t="shared" si="5"/>
        <v>0</v>
      </c>
      <c r="V70" s="48"/>
      <c r="W70" s="168" t="s">
        <v>119</v>
      </c>
      <c r="X70" s="179">
        <v>3500</v>
      </c>
      <c r="Y70" s="168"/>
      <c r="Z70" s="168"/>
      <c r="AA70" s="168"/>
      <c r="AB70" s="48"/>
      <c r="AC70" s="48"/>
      <c r="AD70" s="48"/>
      <c r="AE70" s="48"/>
      <c r="AF70" s="48"/>
      <c r="AG70" s="48"/>
      <c r="AH70" s="48"/>
      <c r="AI70" s="48"/>
      <c r="AJ70" s="48"/>
      <c r="AK70" s="48"/>
      <c r="AL70" s="48"/>
      <c r="AM70" s="48"/>
      <c r="AN70" s="48"/>
      <c r="AO70" s="48"/>
      <c r="AP70" s="48"/>
      <c r="AQ70" s="48"/>
      <c r="AR70" s="48"/>
      <c r="AS70" s="48"/>
      <c r="AT70" s="48"/>
      <c r="AU70" s="48"/>
      <c r="AV70" s="48"/>
      <c r="AW70" s="48"/>
      <c r="AX70" s="48"/>
      <c r="AY70" s="48"/>
      <c r="AZ70" s="48"/>
      <c r="BA70" s="48"/>
      <c r="BB70" s="48"/>
      <c r="BC70" s="48"/>
      <c r="BD70" s="48"/>
      <c r="BE70" s="48"/>
      <c r="BF70" s="48"/>
      <c r="BG70" s="48"/>
      <c r="BH70" s="48"/>
      <c r="BI70" s="48"/>
      <c r="BJ70" s="48"/>
      <c r="BK70" s="48"/>
      <c r="BL70" s="48"/>
      <c r="BM70" s="48"/>
      <c r="BN70" s="48"/>
      <c r="BO70" s="48"/>
      <c r="BP70" s="48"/>
      <c r="BQ70" s="296" t="str">
        <f t="shared" si="52"/>
        <v>Balneário Camboriú - SC</v>
      </c>
      <c r="BR70" s="238">
        <f>COUNTIFS(Respostas_Formatadas!$C:$C,EmpAtual!$BQ$47,Respostas_Formatadas!$BC:$BC,EmpAtual!BQ70)</f>
        <v>0</v>
      </c>
      <c r="BS70" s="240">
        <f t="shared" si="53"/>
        <v>0</v>
      </c>
      <c r="BT70" s="48"/>
      <c r="BU70" s="48"/>
      <c r="BV70" s="48"/>
      <c r="BW70" s="48"/>
      <c r="BX70" s="48"/>
      <c r="BY70" s="48"/>
      <c r="BZ70" s="81">
        <f t="shared" si="61"/>
        <v>57</v>
      </c>
      <c r="CA70" s="51" t="str">
        <f t="shared" si="62"/>
        <v>Disposição para questionar suas próprias ideias e as dos outros</v>
      </c>
      <c r="CB70" s="53">
        <f t="shared" si="58"/>
        <v>0</v>
      </c>
      <c r="CC70" s="53">
        <f t="shared" si="58"/>
        <v>0</v>
      </c>
      <c r="CD70" s="53">
        <f t="shared" si="58"/>
        <v>0.16666666666666666</v>
      </c>
      <c r="CE70" s="53">
        <f t="shared" si="58"/>
        <v>0.33333333333333331</v>
      </c>
      <c r="CF70" s="53">
        <f t="shared" si="58"/>
        <v>0.5</v>
      </c>
      <c r="CG70" s="125">
        <f t="shared" si="63"/>
        <v>1</v>
      </c>
      <c r="CH70" s="173">
        <f t="shared" si="64"/>
        <v>4.333333333333333</v>
      </c>
      <c r="CI70" s="48"/>
      <c r="CJ70" s="48"/>
      <c r="CK70" s="48"/>
      <c r="CL70" s="48"/>
      <c r="CM70" s="81">
        <f t="shared" si="59"/>
        <v>70</v>
      </c>
      <c r="CN70" s="51" t="s">
        <v>57</v>
      </c>
      <c r="CO70" s="53">
        <f t="shared" si="60"/>
        <v>0</v>
      </c>
      <c r="CP70" s="53">
        <f t="shared" si="60"/>
        <v>0</v>
      </c>
      <c r="CQ70" s="53">
        <f t="shared" si="60"/>
        <v>0.21052631578947367</v>
      </c>
      <c r="CR70" s="53">
        <f t="shared" si="60"/>
        <v>0.47368421052631576</v>
      </c>
      <c r="CS70" s="53">
        <f t="shared" si="60"/>
        <v>0.31578947368421051</v>
      </c>
      <c r="CT70" s="125">
        <f t="shared" si="65"/>
        <v>0.99999999999999989</v>
      </c>
      <c r="CU70" s="173">
        <f t="shared" si="66"/>
        <v>4.1052631578947372</v>
      </c>
      <c r="CV70" s="48"/>
      <c r="CW70" s="48"/>
      <c r="CX70" s="48"/>
      <c r="CY70" s="48"/>
      <c r="CZ70" s="48"/>
      <c r="DA70" s="48"/>
      <c r="DB70" s="48"/>
      <c r="DC70" s="48"/>
      <c r="DD70" s="48"/>
      <c r="DE70" s="48"/>
      <c r="DF70" s="48"/>
      <c r="DG70" s="48"/>
      <c r="DH70" s="48"/>
      <c r="DI70" s="48"/>
      <c r="DJ70" s="48"/>
      <c r="DK70" s="48"/>
      <c r="DL70" s="48"/>
      <c r="DM70" s="48"/>
      <c r="DN70" s="48"/>
      <c r="DO70" s="48"/>
      <c r="DP70" s="48"/>
    </row>
    <row r="71" spans="2:120" x14ac:dyDescent="0.2">
      <c r="B71" s="48"/>
      <c r="C71" s="144"/>
      <c r="D71" s="48"/>
      <c r="E71" s="48"/>
      <c r="F71" s="60">
        <v>2012</v>
      </c>
      <c r="G71" s="52">
        <f>IFERROR(COUNTIFS(Respostas_Formatadas!$AO:$AO,EmpAtual!$F$11,Respostas_Formatadas!$FE:$FE,EmpAtual!$F71),"-")</f>
        <v>0</v>
      </c>
      <c r="H71" s="53">
        <f t="shared" si="67"/>
        <v>0</v>
      </c>
      <c r="I71" s="48"/>
      <c r="J71" s="48"/>
      <c r="K71" s="48"/>
      <c r="L71" s="48"/>
      <c r="M71" s="52">
        <v>63</v>
      </c>
      <c r="N71" s="51" t="s">
        <v>699</v>
      </c>
      <c r="O71" s="70">
        <v>1</v>
      </c>
      <c r="P71" s="53">
        <f t="shared" si="3"/>
        <v>6.5359477124183009E-3</v>
      </c>
      <c r="Q71" s="48"/>
      <c r="R71" s="52">
        <v>63</v>
      </c>
      <c r="S71" s="51" t="str">
        <f t="array" ref="S71">INDEX($N$103:$N$188,SMALL(IF($O$103:$O$188=T71,ROW($O$103:$O$188)-102),COUNTIF($T$9:T71,T71)))</f>
        <v>Analista de Desenvolvimento de TI</v>
      </c>
      <c r="T71" s="70">
        <f t="shared" si="4"/>
        <v>0</v>
      </c>
      <c r="U71" s="53">
        <f t="shared" si="5"/>
        <v>0</v>
      </c>
      <c r="V71" s="48"/>
      <c r="W71" s="168" t="s">
        <v>119</v>
      </c>
      <c r="X71" s="179">
        <v>3200</v>
      </c>
      <c r="Y71" s="168"/>
      <c r="Z71" s="168"/>
      <c r="AA71" s="168"/>
      <c r="AB71" s="48"/>
      <c r="AC71" s="48"/>
      <c r="AD71" s="48"/>
      <c r="AE71" s="48"/>
      <c r="AF71" s="48"/>
      <c r="AG71" s="48"/>
      <c r="AH71" s="48"/>
      <c r="AI71" s="48"/>
      <c r="AJ71" s="48"/>
      <c r="AK71" s="48"/>
      <c r="AL71" s="48"/>
      <c r="AM71" s="48"/>
      <c r="AN71" s="48"/>
      <c r="AO71" s="48"/>
      <c r="AP71" s="48"/>
      <c r="AQ71" s="48"/>
      <c r="AR71" s="48"/>
      <c r="AS71" s="48"/>
      <c r="AT71" s="48"/>
      <c r="AU71" s="48"/>
      <c r="AV71" s="48"/>
      <c r="AW71" s="48"/>
      <c r="AX71" s="48"/>
      <c r="AY71" s="48"/>
      <c r="AZ71" s="48"/>
      <c r="BA71" s="48"/>
      <c r="BB71" s="48"/>
      <c r="BC71" s="48"/>
      <c r="BD71" s="48"/>
      <c r="BE71" s="48"/>
      <c r="BF71" s="48"/>
      <c r="BG71" s="48"/>
      <c r="BH71" s="48"/>
      <c r="BI71" s="48"/>
      <c r="BJ71" s="48"/>
      <c r="BK71" s="48"/>
      <c r="BL71" s="48"/>
      <c r="BM71" s="48"/>
      <c r="BN71" s="48"/>
      <c r="BO71" s="48"/>
      <c r="BP71" s="48"/>
      <c r="BQ71" s="296" t="str">
        <f t="shared" si="52"/>
        <v>João Pessoa - PB</v>
      </c>
      <c r="BR71" s="238">
        <f>COUNTIFS(Respostas_Formatadas!$C:$C,EmpAtual!$BQ$47,Respostas_Formatadas!$BC:$BC,EmpAtual!BQ71)</f>
        <v>0</v>
      </c>
      <c r="BS71" s="240">
        <f t="shared" si="53"/>
        <v>0</v>
      </c>
      <c r="BT71" s="48"/>
      <c r="BU71" s="48"/>
      <c r="BV71" s="48"/>
      <c r="BW71" s="48"/>
      <c r="BX71" s="48"/>
      <c r="BY71" s="48"/>
      <c r="BZ71" s="198">
        <f t="shared" si="61"/>
        <v>58</v>
      </c>
      <c r="CA71" s="199" t="str">
        <f t="shared" si="62"/>
        <v>Habilidade de apresentar produtos, ideias ou relatórios em público</v>
      </c>
      <c r="CB71" s="204">
        <f t="shared" si="58"/>
        <v>0.16666666666666666</v>
      </c>
      <c r="CC71" s="204">
        <f t="shared" si="58"/>
        <v>0.16666666666666666</v>
      </c>
      <c r="CD71" s="204">
        <f t="shared" si="58"/>
        <v>0.16666666666666666</v>
      </c>
      <c r="CE71" s="204">
        <f t="shared" si="58"/>
        <v>0.27777777777777779</v>
      </c>
      <c r="CF71" s="204">
        <f t="shared" si="58"/>
        <v>0.22222222222222221</v>
      </c>
      <c r="CG71" s="205">
        <f t="shared" si="63"/>
        <v>1</v>
      </c>
      <c r="CH71" s="202">
        <f t="shared" si="64"/>
        <v>3.2222222222222223</v>
      </c>
      <c r="CI71" s="48"/>
      <c r="CJ71" s="48"/>
      <c r="CK71" s="48"/>
      <c r="CL71" s="48"/>
      <c r="CM71" s="198">
        <f t="shared" si="59"/>
        <v>71</v>
      </c>
      <c r="CN71" s="199" t="s">
        <v>58</v>
      </c>
      <c r="CO71" s="204">
        <f t="shared" si="60"/>
        <v>5.2631578947368418E-2</v>
      </c>
      <c r="CP71" s="204">
        <f t="shared" si="60"/>
        <v>0.10526315789473684</v>
      </c>
      <c r="CQ71" s="204">
        <f t="shared" si="60"/>
        <v>0.26315789473684209</v>
      </c>
      <c r="CR71" s="204">
        <f t="shared" si="60"/>
        <v>0.31578947368421051</v>
      </c>
      <c r="CS71" s="204">
        <f t="shared" si="60"/>
        <v>0.26315789473684209</v>
      </c>
      <c r="CT71" s="205">
        <f t="shared" si="65"/>
        <v>1</v>
      </c>
      <c r="CU71" s="202">
        <f t="shared" si="66"/>
        <v>3.6315789473684212</v>
      </c>
      <c r="CV71" s="48"/>
      <c r="CW71" s="48"/>
      <c r="CX71" s="48"/>
      <c r="CY71" s="48"/>
      <c r="CZ71" s="48"/>
      <c r="DA71" s="48"/>
      <c r="DB71" s="48"/>
      <c r="DC71" s="48"/>
      <c r="DD71" s="48"/>
      <c r="DE71" s="48"/>
      <c r="DF71" s="48"/>
      <c r="DG71" s="48"/>
      <c r="DH71" s="48"/>
      <c r="DI71" s="48"/>
      <c r="DJ71" s="48"/>
      <c r="DK71" s="48"/>
      <c r="DL71" s="48"/>
      <c r="DM71" s="48"/>
      <c r="DN71" s="48"/>
      <c r="DO71" s="48"/>
      <c r="DP71" s="48"/>
    </row>
    <row r="72" spans="2:120" x14ac:dyDescent="0.2">
      <c r="B72" s="48"/>
      <c r="C72" s="144"/>
      <c r="D72" s="48"/>
      <c r="E72" s="48"/>
      <c r="F72" s="60">
        <v>2013</v>
      </c>
      <c r="G72" s="52">
        <f>IFERROR(COUNTIFS(Respostas_Formatadas!$AO:$AO,EmpAtual!$F$11,Respostas_Formatadas!$FE:$FE,EmpAtual!$F72),"-")</f>
        <v>0</v>
      </c>
      <c r="H72" s="53">
        <f t="shared" si="67"/>
        <v>0</v>
      </c>
      <c r="I72" s="48"/>
      <c r="J72" s="48"/>
      <c r="K72" s="48"/>
      <c r="L72" s="48"/>
      <c r="M72" s="52">
        <v>64</v>
      </c>
      <c r="N72" s="51" t="s">
        <v>1136</v>
      </c>
      <c r="O72" s="70">
        <v>1</v>
      </c>
      <c r="P72" s="53">
        <f t="shared" si="3"/>
        <v>6.5359477124183009E-3</v>
      </c>
      <c r="Q72" s="48"/>
      <c r="R72" s="52">
        <v>64</v>
      </c>
      <c r="S72" s="51" t="str">
        <f t="array" ref="S72">INDEX($N$103:$N$188,SMALL(IF($O$103:$O$188=T72,ROW($O$103:$O$188)-102),COUNTIF($T$9:T72,T72)))</f>
        <v>Técnico em Eletrônica</v>
      </c>
      <c r="T72" s="70">
        <f t="shared" si="4"/>
        <v>0</v>
      </c>
      <c r="U72" s="53">
        <f t="shared" si="5"/>
        <v>0</v>
      </c>
      <c r="V72" s="48"/>
      <c r="W72" s="168" t="s">
        <v>119</v>
      </c>
      <c r="X72" s="179">
        <v>3500</v>
      </c>
      <c r="Y72" s="168"/>
      <c r="Z72" s="168"/>
      <c r="AA72" s="168"/>
      <c r="AB72" s="48"/>
      <c r="AC72" s="48"/>
      <c r="AD72" s="48"/>
      <c r="AE72" s="48"/>
      <c r="AF72" s="48"/>
      <c r="AG72" s="48"/>
      <c r="AH72" s="48"/>
      <c r="AI72" s="48"/>
      <c r="AJ72" s="48"/>
      <c r="AK72" s="48"/>
      <c r="AL72" s="48"/>
      <c r="AM72" s="48"/>
      <c r="AN72" s="48"/>
      <c r="AO72" s="48"/>
      <c r="AP72" s="48"/>
      <c r="AQ72" s="48"/>
      <c r="AR72" s="48"/>
      <c r="AS72" s="48"/>
      <c r="AT72" s="48"/>
      <c r="AU72" s="48"/>
      <c r="AV72" s="48"/>
      <c r="AW72" s="48"/>
      <c r="AX72" s="48"/>
      <c r="AY72" s="48"/>
      <c r="AZ72" s="48"/>
      <c r="BA72" s="48"/>
      <c r="BB72" s="48"/>
      <c r="BC72" s="48"/>
      <c r="BD72" s="48"/>
      <c r="BE72" s="48"/>
      <c r="BF72" s="48"/>
      <c r="BG72" s="48"/>
      <c r="BH72" s="48"/>
      <c r="BI72" s="48"/>
      <c r="BJ72" s="48"/>
      <c r="BK72" s="48"/>
      <c r="BL72" s="48"/>
      <c r="BM72" s="48"/>
      <c r="BN72" s="48"/>
      <c r="BO72" s="48"/>
      <c r="BP72" s="48"/>
      <c r="BQ72" s="296" t="str">
        <f t="shared" si="52"/>
        <v>Macapá - AP</v>
      </c>
      <c r="BR72" s="238">
        <f>COUNTIFS(Respostas_Formatadas!$C:$C,EmpAtual!$BQ$47,Respostas_Formatadas!$BC:$BC,EmpAtual!BQ72)</f>
        <v>0</v>
      </c>
      <c r="BS72" s="240">
        <f t="shared" si="53"/>
        <v>0</v>
      </c>
      <c r="BT72" s="48"/>
      <c r="BU72" s="48"/>
      <c r="BV72" s="48"/>
      <c r="BW72" s="48"/>
      <c r="BX72" s="48"/>
      <c r="BY72" s="48"/>
      <c r="BZ72" s="81">
        <f t="shared" si="61"/>
        <v>59</v>
      </c>
      <c r="CA72" s="51" t="str">
        <f t="shared" si="62"/>
        <v>Habilidade de escrever relatórios, memorandos ou documentos</v>
      </c>
      <c r="CB72" s="53">
        <f t="shared" si="58"/>
        <v>0.27777777777777779</v>
      </c>
      <c r="CC72" s="53">
        <f t="shared" si="58"/>
        <v>0.27777777777777779</v>
      </c>
      <c r="CD72" s="53">
        <f t="shared" si="58"/>
        <v>0.16666666666666666</v>
      </c>
      <c r="CE72" s="53">
        <f t="shared" si="58"/>
        <v>5.5555555555555552E-2</v>
      </c>
      <c r="CF72" s="53">
        <f t="shared" si="58"/>
        <v>0.22222222222222221</v>
      </c>
      <c r="CG72" s="125">
        <f t="shared" si="63"/>
        <v>1</v>
      </c>
      <c r="CH72" s="173">
        <f t="shared" si="64"/>
        <v>2.6666666666666665</v>
      </c>
      <c r="CI72" s="48"/>
      <c r="CJ72" s="48"/>
      <c r="CK72" s="48"/>
      <c r="CL72" s="48"/>
      <c r="CM72" s="81">
        <f t="shared" si="59"/>
        <v>72</v>
      </c>
      <c r="CN72" s="51" t="s">
        <v>59</v>
      </c>
      <c r="CO72" s="53">
        <f t="shared" si="60"/>
        <v>0.10526315789473684</v>
      </c>
      <c r="CP72" s="53">
        <f t="shared" si="60"/>
        <v>0.10526315789473684</v>
      </c>
      <c r="CQ72" s="53">
        <f t="shared" si="60"/>
        <v>0.36842105263157893</v>
      </c>
      <c r="CR72" s="53">
        <f t="shared" si="60"/>
        <v>0.26315789473684209</v>
      </c>
      <c r="CS72" s="53">
        <f t="shared" si="60"/>
        <v>0.15789473684210525</v>
      </c>
      <c r="CT72" s="125">
        <f t="shared" si="65"/>
        <v>1</v>
      </c>
      <c r="CU72" s="173">
        <f t="shared" si="66"/>
        <v>3.263157894736842</v>
      </c>
      <c r="CV72" s="48"/>
      <c r="CW72" s="48"/>
      <c r="CX72" s="48"/>
      <c r="CY72" s="48"/>
      <c r="CZ72" s="48"/>
      <c r="DA72" s="48"/>
      <c r="DB72" s="48"/>
      <c r="DC72" s="48"/>
      <c r="DD72" s="48"/>
      <c r="DE72" s="48"/>
      <c r="DF72" s="48"/>
      <c r="DG72" s="48"/>
      <c r="DH72" s="48"/>
      <c r="DI72" s="48"/>
      <c r="DJ72" s="48"/>
      <c r="DK72" s="48"/>
      <c r="DL72" s="48"/>
      <c r="DM72" s="48"/>
      <c r="DN72" s="48"/>
      <c r="DO72" s="48"/>
      <c r="DP72" s="48"/>
    </row>
    <row r="73" spans="2:120" x14ac:dyDescent="0.2">
      <c r="B73" s="48"/>
      <c r="C73" s="144"/>
      <c r="D73" s="48"/>
      <c r="E73" s="48"/>
      <c r="F73" s="60">
        <v>2014</v>
      </c>
      <c r="G73" s="52">
        <f>IFERROR(COUNTIFS(Respostas_Formatadas!$AO:$AO,EmpAtual!$F$11,Respostas_Formatadas!$FE:$FE,EmpAtual!$F73),"-")</f>
        <v>1</v>
      </c>
      <c r="H73" s="53">
        <f t="shared" si="67"/>
        <v>6.25E-2</v>
      </c>
      <c r="I73" s="48"/>
      <c r="J73" s="48"/>
      <c r="K73" s="48"/>
      <c r="L73" s="48"/>
      <c r="M73" s="52">
        <v>65</v>
      </c>
      <c r="N73" s="51" t="s">
        <v>1232</v>
      </c>
      <c r="O73" s="70">
        <v>1</v>
      </c>
      <c r="P73" s="53">
        <f t="shared" si="3"/>
        <v>6.5359477124183009E-3</v>
      </c>
      <c r="Q73" s="48"/>
      <c r="R73" s="52">
        <v>65</v>
      </c>
      <c r="S73" s="51" t="str">
        <f t="array" ref="S73">INDEX($N$103:$N$188,SMALL(IF($O$103:$O$188=T73,ROW($O$103:$O$188)-102),COUNTIF($T$9:T73,T73)))</f>
        <v>Gerente de Insfraestrutura Tecnológica</v>
      </c>
      <c r="T73" s="70">
        <f t="shared" si="4"/>
        <v>0</v>
      </c>
      <c r="U73" s="53">
        <f t="shared" si="5"/>
        <v>0</v>
      </c>
      <c r="V73" s="48"/>
      <c r="W73" s="168" t="s">
        <v>119</v>
      </c>
      <c r="X73" s="179">
        <v>3000</v>
      </c>
      <c r="Y73" s="168"/>
      <c r="Z73" s="168"/>
      <c r="AA73" s="168"/>
      <c r="AB73" s="48"/>
      <c r="AC73" s="48"/>
      <c r="AD73" s="48"/>
      <c r="AE73" s="48"/>
      <c r="AF73" s="48"/>
      <c r="AG73" s="48"/>
      <c r="AH73" s="48"/>
      <c r="AI73" s="48"/>
      <c r="AJ73" s="48"/>
      <c r="AK73" s="48"/>
      <c r="AL73" s="48"/>
      <c r="AM73" s="48"/>
      <c r="AN73" s="48"/>
      <c r="AO73" s="48"/>
      <c r="AP73" s="48"/>
      <c r="AQ73" s="48"/>
      <c r="AR73" s="48"/>
      <c r="AS73" s="48"/>
      <c r="AT73" s="48"/>
      <c r="AU73" s="48"/>
      <c r="AV73" s="48"/>
      <c r="AW73" s="48"/>
      <c r="AX73" s="48"/>
      <c r="AY73" s="48"/>
      <c r="AZ73" s="48"/>
      <c r="BA73" s="48"/>
      <c r="BB73" s="48"/>
      <c r="BC73" s="48"/>
      <c r="BD73" s="48"/>
      <c r="BE73" s="48"/>
      <c r="BF73" s="48"/>
      <c r="BG73" s="48"/>
      <c r="BH73" s="48"/>
      <c r="BI73" s="48"/>
      <c r="BJ73" s="48"/>
      <c r="BK73" s="48"/>
      <c r="BL73" s="48"/>
      <c r="BM73" s="48"/>
      <c r="BN73" s="48"/>
      <c r="BO73" s="48"/>
      <c r="BP73" s="48"/>
      <c r="BQ73" s="296" t="str">
        <f t="shared" si="52"/>
        <v>Palmas - TO</v>
      </c>
      <c r="BR73" s="238">
        <f>COUNTIFS(Respostas_Formatadas!$C:$C,EmpAtual!$BQ$47,Respostas_Formatadas!$BC:$BC,EmpAtual!BQ73)</f>
        <v>0</v>
      </c>
      <c r="BS73" s="240">
        <f t="shared" si="53"/>
        <v>0</v>
      </c>
      <c r="BT73" s="48"/>
      <c r="BU73" s="48"/>
      <c r="BV73" s="48"/>
      <c r="BW73" s="48"/>
      <c r="BX73" s="48"/>
      <c r="BY73" s="48"/>
      <c r="BZ73" s="198">
        <f t="shared" si="61"/>
        <v>60</v>
      </c>
      <c r="CA73" s="199" t="str">
        <f t="shared" si="62"/>
        <v>Habilidade de falar e escrever em uma língua estrangeira</v>
      </c>
      <c r="CB73" s="204">
        <f t="shared" si="58"/>
        <v>0.44444444444444442</v>
      </c>
      <c r="CC73" s="204">
        <f t="shared" si="58"/>
        <v>0.1111111111111111</v>
      </c>
      <c r="CD73" s="204">
        <f t="shared" si="58"/>
        <v>0.16666666666666666</v>
      </c>
      <c r="CE73" s="204">
        <f t="shared" si="58"/>
        <v>0.22222222222222221</v>
      </c>
      <c r="CF73" s="204">
        <f t="shared" si="58"/>
        <v>5.5555555555555552E-2</v>
      </c>
      <c r="CG73" s="205">
        <f t="shared" si="63"/>
        <v>1</v>
      </c>
      <c r="CH73" s="202">
        <f t="shared" si="64"/>
        <v>2.3333333333333335</v>
      </c>
      <c r="CI73" s="48"/>
      <c r="CJ73" s="48"/>
      <c r="CK73" s="48"/>
      <c r="CL73" s="48"/>
      <c r="CM73" s="198">
        <f t="shared" si="59"/>
        <v>73</v>
      </c>
      <c r="CN73" s="199" t="s">
        <v>60</v>
      </c>
      <c r="CO73" s="204">
        <f t="shared" si="60"/>
        <v>0.31578947368421051</v>
      </c>
      <c r="CP73" s="204">
        <f t="shared" si="60"/>
        <v>0.21052631578947367</v>
      </c>
      <c r="CQ73" s="204">
        <f t="shared" si="60"/>
        <v>0.10526315789473684</v>
      </c>
      <c r="CR73" s="204">
        <f t="shared" si="60"/>
        <v>0.21052631578947367</v>
      </c>
      <c r="CS73" s="204">
        <f t="shared" si="60"/>
        <v>0.15789473684210525</v>
      </c>
      <c r="CT73" s="205">
        <f t="shared" si="65"/>
        <v>1</v>
      </c>
      <c r="CU73" s="202">
        <f t="shared" si="66"/>
        <v>2.6842105263157894</v>
      </c>
      <c r="CV73" s="48"/>
      <c r="CW73" s="48"/>
      <c r="CX73" s="48"/>
      <c r="CY73" s="48"/>
      <c r="CZ73" s="48"/>
      <c r="DA73" s="48"/>
      <c r="DB73" s="48"/>
      <c r="DC73" s="48"/>
      <c r="DD73" s="48"/>
      <c r="DE73" s="48"/>
      <c r="DF73" s="48"/>
      <c r="DG73" s="48"/>
      <c r="DH73" s="48"/>
      <c r="DI73" s="48"/>
      <c r="DJ73" s="48"/>
      <c r="DK73" s="48"/>
      <c r="DL73" s="48"/>
      <c r="DM73" s="48"/>
      <c r="DN73" s="48"/>
      <c r="DO73" s="48"/>
      <c r="DP73" s="48"/>
    </row>
    <row r="74" spans="2:120" x14ac:dyDescent="0.2">
      <c r="B74" s="48"/>
      <c r="C74" s="144"/>
      <c r="D74" s="48"/>
      <c r="E74" s="48"/>
      <c r="F74" s="60">
        <v>2015</v>
      </c>
      <c r="G74" s="52">
        <f>IFERROR(COUNTIFS(Respostas_Formatadas!$AO:$AO,EmpAtual!$F$11,Respostas_Formatadas!$FE:$FE,EmpAtual!$F74),"-")</f>
        <v>3</v>
      </c>
      <c r="H74" s="53">
        <f t="shared" si="67"/>
        <v>0.1875</v>
      </c>
      <c r="I74" s="48"/>
      <c r="J74" s="48"/>
      <c r="K74" s="48"/>
      <c r="L74" s="48"/>
      <c r="M74" s="52">
        <v>66</v>
      </c>
      <c r="N74" s="51" t="s">
        <v>1138</v>
      </c>
      <c r="O74" s="70">
        <v>1</v>
      </c>
      <c r="P74" s="53">
        <f t="shared" ref="P74:P94" si="68">O74/$O$95</f>
        <v>6.5359477124183009E-3</v>
      </c>
      <c r="Q74" s="48"/>
      <c r="R74" s="52">
        <v>66</v>
      </c>
      <c r="S74" s="51" t="str">
        <f t="array" ref="S74">INDEX($N$103:$N$188,SMALL(IF($O$103:$O$188=T74,ROW($O$103:$O$188)-102),COUNTIF($T$9:T74,T74)))</f>
        <v>Monitor de Transporte Escolar</v>
      </c>
      <c r="T74" s="70">
        <f t="shared" ref="T74:T94" si="69">IFERROR(LARGE($O$103:$O$188,R74),"-")</f>
        <v>0</v>
      </c>
      <c r="U74" s="53">
        <f t="shared" ref="U74:U94" si="70">IFERROR(T74/$T$95,"-")</f>
        <v>0</v>
      </c>
      <c r="V74" s="48"/>
      <c r="W74" s="168" t="s">
        <v>119</v>
      </c>
      <c r="X74" s="179">
        <v>3000</v>
      </c>
      <c r="Y74" s="168"/>
      <c r="Z74" s="168"/>
      <c r="AA74" s="168"/>
      <c r="AB74" s="48"/>
      <c r="AC74" s="48"/>
      <c r="AD74" s="48"/>
      <c r="AE74" s="48"/>
      <c r="AF74" s="48"/>
      <c r="AG74" s="48"/>
      <c r="AH74" s="48"/>
      <c r="AI74" s="48"/>
      <c r="AJ74" s="48"/>
      <c r="AK74" s="48"/>
      <c r="AL74" s="48"/>
      <c r="AM74" s="48"/>
      <c r="AN74" s="48"/>
      <c r="AO74" s="48"/>
      <c r="AP74" s="48"/>
      <c r="AQ74" s="48"/>
      <c r="AR74" s="48"/>
      <c r="AS74" s="48"/>
      <c r="AT74" s="48"/>
      <c r="AU74" s="48"/>
      <c r="AV74" s="48"/>
      <c r="AW74" s="48"/>
      <c r="AX74" s="48"/>
      <c r="AY74" s="48"/>
      <c r="AZ74" s="48"/>
      <c r="BA74" s="48"/>
      <c r="BB74" s="48"/>
      <c r="BC74" s="48"/>
      <c r="BD74" s="48"/>
      <c r="BE74" s="48"/>
      <c r="BF74" s="48"/>
      <c r="BG74" s="48"/>
      <c r="BH74" s="48"/>
      <c r="BI74" s="48"/>
      <c r="BJ74" s="48"/>
      <c r="BK74" s="48"/>
      <c r="BL74" s="48"/>
      <c r="BM74" s="48"/>
      <c r="BN74" s="48"/>
      <c r="BO74" s="48"/>
      <c r="BP74" s="48"/>
      <c r="BQ74" s="296" t="str">
        <f t="shared" si="52"/>
        <v>Penedo - AL</v>
      </c>
      <c r="BR74" s="238">
        <f>COUNTIFS(Respostas_Formatadas!$C:$C,EmpAtual!$BQ$47,Respostas_Formatadas!$BC:$BC,EmpAtual!BQ74)</f>
        <v>0</v>
      </c>
      <c r="BS74" s="240">
        <f t="shared" si="53"/>
        <v>0</v>
      </c>
      <c r="BT74" s="48"/>
      <c r="BU74" s="48"/>
      <c r="BV74" s="48"/>
      <c r="BW74" s="48"/>
      <c r="BX74" s="48"/>
      <c r="BY74" s="48"/>
      <c r="BZ74" s="48"/>
      <c r="CA74" s="48"/>
      <c r="CB74" s="48"/>
      <c r="CC74" s="48"/>
      <c r="CD74" s="48"/>
      <c r="CE74" s="48"/>
      <c r="CF74" s="48"/>
      <c r="CG74" s="48"/>
      <c r="CH74" s="48"/>
      <c r="CI74" s="48"/>
      <c r="CJ74" s="48"/>
      <c r="CK74" s="48"/>
      <c r="CL74" s="48"/>
      <c r="CM74" s="48"/>
      <c r="CN74" s="48"/>
      <c r="CO74" s="48"/>
      <c r="CP74" s="48"/>
      <c r="CQ74" s="48"/>
      <c r="CR74" s="48"/>
      <c r="CS74" s="48"/>
      <c r="CT74" s="48"/>
      <c r="CU74" s="48"/>
      <c r="CV74" s="48"/>
      <c r="CW74" s="48"/>
      <c r="CX74" s="48"/>
      <c r="CY74" s="48"/>
      <c r="CZ74" s="48"/>
      <c r="DA74" s="48"/>
      <c r="DB74" s="48"/>
      <c r="DC74" s="48"/>
      <c r="DD74" s="48"/>
      <c r="DE74" s="48"/>
      <c r="DF74" s="48"/>
      <c r="DG74" s="48"/>
      <c r="DH74" s="48"/>
      <c r="DI74" s="48"/>
      <c r="DJ74" s="48"/>
      <c r="DK74" s="48"/>
      <c r="DL74" s="48"/>
      <c r="DM74" s="48"/>
      <c r="DN74" s="48"/>
      <c r="DO74" s="48"/>
      <c r="DP74" s="48"/>
    </row>
    <row r="75" spans="2:120" x14ac:dyDescent="0.2">
      <c r="B75" s="48"/>
      <c r="C75" s="144"/>
      <c r="D75" s="48"/>
      <c r="E75" s="48"/>
      <c r="F75" s="60">
        <v>2016</v>
      </c>
      <c r="G75" s="52">
        <f>IFERROR(COUNTIFS(Respostas_Formatadas!$AO:$AO,EmpAtual!$F$11,Respostas_Formatadas!$FE:$FE,EmpAtual!$F75),"-")</f>
        <v>1</v>
      </c>
      <c r="H75" s="53">
        <f t="shared" si="67"/>
        <v>6.25E-2</v>
      </c>
      <c r="I75" s="48"/>
      <c r="J75" s="48"/>
      <c r="K75" s="48"/>
      <c r="L75" s="48"/>
      <c r="M75" s="52">
        <v>67</v>
      </c>
      <c r="N75" s="51" t="s">
        <v>1233</v>
      </c>
      <c r="O75" s="70">
        <v>1</v>
      </c>
      <c r="P75" s="53">
        <f t="shared" si="68"/>
        <v>6.5359477124183009E-3</v>
      </c>
      <c r="Q75" s="48"/>
      <c r="R75" s="52">
        <v>67</v>
      </c>
      <c r="S75" s="51" t="str">
        <f t="array" ref="S75">INDEX($N$103:$N$188,SMALL(IF($O$103:$O$188=T75,ROW($O$103:$O$188)-102),COUNTIF($T$9:T75,T75)))</f>
        <v>Assistente de Laboratório</v>
      </c>
      <c r="T75" s="70">
        <f t="shared" si="69"/>
        <v>0</v>
      </c>
      <c r="U75" s="53">
        <f t="shared" si="70"/>
        <v>0</v>
      </c>
      <c r="V75" s="48"/>
      <c r="W75" s="168" t="s">
        <v>119</v>
      </c>
      <c r="X75" s="179">
        <v>2000</v>
      </c>
      <c r="Y75" s="168"/>
      <c r="Z75" s="168"/>
      <c r="AA75" s="168"/>
      <c r="AB75" s="48"/>
      <c r="AC75" s="48"/>
      <c r="AD75" s="48"/>
      <c r="AE75" s="48"/>
      <c r="AF75" s="48"/>
      <c r="AG75" s="48"/>
      <c r="AH75" s="48"/>
      <c r="AI75" s="48"/>
      <c r="AJ75" s="48"/>
      <c r="AK75" s="48"/>
      <c r="AL75" s="48"/>
      <c r="AM75" s="48"/>
      <c r="AN75" s="48"/>
      <c r="AO75" s="48"/>
      <c r="AP75" s="48"/>
      <c r="AQ75" s="48"/>
      <c r="AR75" s="48"/>
      <c r="AS75" s="48"/>
      <c r="AT75" s="48"/>
      <c r="AU75" s="48"/>
      <c r="AV75" s="48"/>
      <c r="AW75" s="48"/>
      <c r="AX75" s="48"/>
      <c r="AY75" s="48"/>
      <c r="AZ75" s="48"/>
      <c r="BA75" s="48"/>
      <c r="BB75" s="48"/>
      <c r="BC75" s="48"/>
      <c r="BD75" s="48"/>
      <c r="BE75" s="48"/>
      <c r="BF75" s="48"/>
      <c r="BG75" s="48"/>
      <c r="BH75" s="48"/>
      <c r="BI75" s="48"/>
      <c r="BJ75" s="48"/>
      <c r="BK75" s="48"/>
      <c r="BL75" s="48"/>
      <c r="BM75" s="48"/>
      <c r="BN75" s="48"/>
      <c r="BO75" s="48"/>
      <c r="BP75" s="48"/>
      <c r="BQ75" s="296" t="str">
        <f t="shared" si="52"/>
        <v>Barra do Rio Grande - BA</v>
      </c>
      <c r="BR75" s="238">
        <f>COUNTIFS(Respostas_Formatadas!$C:$C,EmpAtual!$BQ$47,Respostas_Formatadas!$BC:$BC,EmpAtual!BQ75)</f>
        <v>1</v>
      </c>
      <c r="BS75" s="240">
        <f t="shared" si="53"/>
        <v>0.2</v>
      </c>
      <c r="BT75" s="48"/>
      <c r="BU75" s="48"/>
      <c r="BV75" s="48"/>
      <c r="BW75" s="48"/>
      <c r="BX75" s="48"/>
      <c r="BY75" s="48"/>
      <c r="BZ75" s="48"/>
      <c r="CA75" s="48"/>
      <c r="CB75" s="48"/>
      <c r="CC75" s="48"/>
      <c r="CD75" s="48"/>
      <c r="CE75" s="48"/>
      <c r="CF75" s="48"/>
      <c r="CG75" s="48"/>
      <c r="CH75" s="48"/>
      <c r="CI75" s="48"/>
      <c r="CJ75" s="48"/>
      <c r="CK75" s="48"/>
      <c r="CL75" s="48"/>
      <c r="CM75" s="48"/>
      <c r="CN75" s="48"/>
      <c r="CO75" s="48"/>
      <c r="CP75" s="48"/>
      <c r="CQ75" s="48"/>
      <c r="CR75" s="48"/>
      <c r="CS75" s="48"/>
      <c r="CT75" s="48"/>
      <c r="CU75" s="48"/>
      <c r="CV75" s="48"/>
      <c r="CW75" s="48"/>
      <c r="CX75" s="48"/>
      <c r="CY75" s="48"/>
      <c r="CZ75" s="48"/>
      <c r="DA75" s="48"/>
      <c r="DB75" s="48"/>
      <c r="DC75" s="48"/>
      <c r="DD75" s="48"/>
      <c r="DE75" s="48"/>
      <c r="DF75" s="48"/>
      <c r="DG75" s="48"/>
      <c r="DH75" s="48"/>
      <c r="DI75" s="48"/>
      <c r="DJ75" s="48"/>
      <c r="DK75" s="48"/>
      <c r="DL75" s="48"/>
      <c r="DM75" s="48"/>
      <c r="DN75" s="48"/>
      <c r="DO75" s="48"/>
      <c r="DP75" s="48"/>
    </row>
    <row r="76" spans="2:120" x14ac:dyDescent="0.2">
      <c r="B76" s="48"/>
      <c r="C76" s="144"/>
      <c r="D76" s="48"/>
      <c r="E76" s="48"/>
      <c r="F76" s="60">
        <v>2017</v>
      </c>
      <c r="G76" s="52">
        <f>IFERROR(COUNTIFS(Respostas_Formatadas!$AO:$AO,EmpAtual!$F$11,Respostas_Formatadas!$FE:$FE,EmpAtual!$F76),"-")</f>
        <v>6</v>
      </c>
      <c r="H76" s="53">
        <f t="shared" si="67"/>
        <v>0.375</v>
      </c>
      <c r="I76" s="48"/>
      <c r="J76" s="48"/>
      <c r="K76" s="48"/>
      <c r="L76" s="48"/>
      <c r="M76" s="52">
        <v>68</v>
      </c>
      <c r="N76" s="51" t="s">
        <v>739</v>
      </c>
      <c r="O76" s="70">
        <v>1</v>
      </c>
      <c r="P76" s="53">
        <f t="shared" si="68"/>
        <v>6.5359477124183009E-3</v>
      </c>
      <c r="Q76" s="48"/>
      <c r="R76" s="52">
        <v>68</v>
      </c>
      <c r="S76" s="51" t="str">
        <f t="array" ref="S76">INDEX($N$103:$N$188,SMALL(IF($O$103:$O$188=T76,ROW($O$103:$O$188)-102),COUNTIF($T$9:T76,T76)))</f>
        <v>Administrador</v>
      </c>
      <c r="T76" s="70">
        <f t="shared" si="69"/>
        <v>0</v>
      </c>
      <c r="U76" s="53">
        <f t="shared" si="70"/>
        <v>0</v>
      </c>
      <c r="V76" s="48"/>
      <c r="W76" s="168" t="s">
        <v>119</v>
      </c>
      <c r="X76" s="179">
        <v>5000</v>
      </c>
      <c r="Y76" s="168"/>
      <c r="Z76" s="168"/>
      <c r="AA76" s="168"/>
      <c r="AB76" s="48"/>
      <c r="AC76" s="48"/>
      <c r="AD76" s="48"/>
      <c r="AE76" s="48"/>
      <c r="AF76" s="48"/>
      <c r="AG76" s="48"/>
      <c r="AH76" s="48"/>
      <c r="AI76" s="48"/>
      <c r="AJ76" s="48"/>
      <c r="AK76" s="48"/>
      <c r="AL76" s="48"/>
      <c r="AM76" s="48"/>
      <c r="AN76" s="48"/>
      <c r="AO76" s="48"/>
      <c r="AP76" s="48"/>
      <c r="AQ76" s="48"/>
      <c r="AR76" s="48"/>
      <c r="AS76" s="48"/>
      <c r="AT76" s="48"/>
      <c r="AU76" s="48"/>
      <c r="AV76" s="48"/>
      <c r="AW76" s="48"/>
      <c r="AX76" s="48"/>
      <c r="AY76" s="48"/>
      <c r="AZ76" s="48"/>
      <c r="BA76" s="48"/>
      <c r="BB76" s="48"/>
      <c r="BC76" s="48"/>
      <c r="BD76" s="48"/>
      <c r="BE76" s="48"/>
      <c r="BF76" s="48"/>
      <c r="BG76" s="48"/>
      <c r="BH76" s="48"/>
      <c r="BI76" s="48"/>
      <c r="BJ76" s="48"/>
      <c r="BK76" s="48"/>
      <c r="BL76" s="48"/>
      <c r="BM76" s="48"/>
      <c r="BN76" s="48"/>
      <c r="BO76" s="48"/>
      <c r="BP76" s="48"/>
      <c r="BQ76" s="296" t="str">
        <f t="shared" si="52"/>
        <v>Teixeira de Freitas - BA</v>
      </c>
      <c r="BR76" s="238">
        <f>COUNTIFS(Respostas_Formatadas!$C:$C,EmpAtual!$BQ$47,Respostas_Formatadas!$BC:$BC,EmpAtual!BQ76)</f>
        <v>0</v>
      </c>
      <c r="BS76" s="240">
        <f t="shared" si="53"/>
        <v>0</v>
      </c>
      <c r="BT76" s="48"/>
      <c r="BU76" s="48"/>
      <c r="BV76" s="48"/>
      <c r="BW76" s="48"/>
      <c r="BX76" s="48"/>
      <c r="BY76" s="48"/>
      <c r="BZ76" s="48"/>
      <c r="CA76" s="48"/>
      <c r="CB76" s="48"/>
      <c r="CC76" s="48"/>
      <c r="CD76" s="48"/>
      <c r="CE76" s="48"/>
      <c r="CF76" s="48"/>
      <c r="CG76" s="48"/>
      <c r="CH76" s="48"/>
      <c r="CI76" s="48"/>
      <c r="CJ76" s="48"/>
      <c r="CK76" s="48"/>
      <c r="CL76" s="48"/>
      <c r="CM76" s="48"/>
      <c r="CN76" s="48"/>
      <c r="CO76" s="48"/>
      <c r="CP76" s="48"/>
      <c r="CQ76" s="48"/>
      <c r="CR76" s="48"/>
      <c r="CS76" s="48"/>
      <c r="CT76" s="48"/>
      <c r="CU76" s="48"/>
      <c r="CV76" s="48"/>
      <c r="CW76" s="48"/>
      <c r="CX76" s="48"/>
      <c r="CY76" s="48"/>
      <c r="CZ76" s="48"/>
      <c r="DA76" s="48"/>
      <c r="DB76" s="48"/>
      <c r="DC76" s="48"/>
      <c r="DD76" s="48"/>
      <c r="DE76" s="48"/>
      <c r="DF76" s="48"/>
      <c r="DG76" s="48"/>
      <c r="DH76" s="48"/>
      <c r="DI76" s="48"/>
      <c r="DJ76" s="48"/>
      <c r="DK76" s="48"/>
      <c r="DL76" s="48"/>
      <c r="DM76" s="48"/>
      <c r="DN76" s="48"/>
      <c r="DO76" s="48"/>
      <c r="DP76" s="48"/>
    </row>
    <row r="77" spans="2:120" x14ac:dyDescent="0.2">
      <c r="B77" s="48"/>
      <c r="C77" s="144"/>
      <c r="D77" s="48"/>
      <c r="E77" s="48"/>
      <c r="F77" s="60">
        <v>2018</v>
      </c>
      <c r="G77" s="52">
        <f>IFERROR(COUNTIFS(Respostas_Formatadas!$AO:$AO,EmpAtual!$F$11,Respostas_Formatadas!$FE:$FE,EmpAtual!$F77),"-")</f>
        <v>3</v>
      </c>
      <c r="H77" s="53">
        <f t="shared" si="67"/>
        <v>0.1875</v>
      </c>
      <c r="I77" s="48"/>
      <c r="J77" s="48"/>
      <c r="K77" s="48"/>
      <c r="L77" s="48"/>
      <c r="M77" s="52">
        <v>69</v>
      </c>
      <c r="N77" s="51" t="s">
        <v>1234</v>
      </c>
      <c r="O77" s="70">
        <v>1</v>
      </c>
      <c r="P77" s="53">
        <f t="shared" si="68"/>
        <v>6.5359477124183009E-3</v>
      </c>
      <c r="Q77" s="48"/>
      <c r="R77" s="52">
        <v>69</v>
      </c>
      <c r="S77" s="51" t="str">
        <f t="array" ref="S77">INDEX($N$103:$N$188,SMALL(IF($O$103:$O$188=T77,ROW($O$103:$O$188)-102),COUNTIF($T$9:T77,T77)))</f>
        <v>Representante de Atendimento</v>
      </c>
      <c r="T77" s="70">
        <f t="shared" si="69"/>
        <v>0</v>
      </c>
      <c r="U77" s="53">
        <f t="shared" si="70"/>
        <v>0</v>
      </c>
      <c r="V77" s="48"/>
      <c r="W77" s="168" t="s">
        <v>119</v>
      </c>
      <c r="X77" s="179">
        <v>4100</v>
      </c>
      <c r="Y77" s="168"/>
      <c r="Z77" s="168"/>
      <c r="AA77" s="168"/>
      <c r="AB77" s="48"/>
      <c r="AC77" s="48"/>
      <c r="AD77" s="48"/>
      <c r="AE77" s="48"/>
      <c r="AF77" s="48"/>
      <c r="AG77" s="48"/>
      <c r="AH77" s="48"/>
      <c r="AI77" s="48"/>
      <c r="AJ77" s="48"/>
      <c r="AK77" s="48"/>
      <c r="AL77" s="48"/>
      <c r="AM77" s="48"/>
      <c r="AN77" s="48"/>
      <c r="AO77" s="48"/>
      <c r="AP77" s="48"/>
      <c r="AQ77" s="48"/>
      <c r="AR77" s="48"/>
      <c r="AS77" s="48"/>
      <c r="AT77" s="48"/>
      <c r="AU77" s="48"/>
      <c r="AV77" s="48"/>
      <c r="AW77" s="48"/>
      <c r="AX77" s="48"/>
      <c r="AY77" s="48"/>
      <c r="AZ77" s="48"/>
      <c r="BA77" s="48"/>
      <c r="BB77" s="48"/>
      <c r="BC77" s="48"/>
      <c r="BD77" s="48"/>
      <c r="BE77" s="48"/>
      <c r="BF77" s="48"/>
      <c r="BG77" s="48"/>
      <c r="BH77" s="48"/>
      <c r="BI77" s="48"/>
      <c r="BJ77" s="48"/>
      <c r="BK77" s="48"/>
      <c r="BL77" s="48"/>
      <c r="BM77" s="48"/>
      <c r="BN77" s="48"/>
      <c r="BO77" s="48"/>
      <c r="BP77" s="48"/>
      <c r="BQ77" s="296" t="str">
        <f t="shared" si="52"/>
        <v>Propriá</v>
      </c>
      <c r="BR77" s="238">
        <f>COUNTIFS(Respostas_Formatadas!$C:$C,EmpAtual!$BQ$47,Respostas_Formatadas!$BC:$BC,EmpAtual!BQ77)</f>
        <v>0</v>
      </c>
      <c r="BS77" s="240">
        <f t="shared" si="53"/>
        <v>0</v>
      </c>
      <c r="BT77" s="48"/>
      <c r="BU77" s="48"/>
      <c r="BV77" s="48"/>
      <c r="BW77" s="48"/>
      <c r="BX77" s="48"/>
      <c r="BY77" s="48"/>
      <c r="BZ77" s="48"/>
      <c r="CA77" s="48"/>
      <c r="CB77" s="48"/>
      <c r="CC77" s="48"/>
      <c r="CD77" s="48"/>
      <c r="CE77" s="48"/>
      <c r="CF77" s="48"/>
      <c r="CG77" s="48"/>
      <c r="CH77" s="48"/>
      <c r="CI77" s="48"/>
      <c r="CJ77" s="48"/>
      <c r="CK77" s="48"/>
      <c r="CL77" s="48"/>
      <c r="CM77" s="48"/>
      <c r="CN77" s="48"/>
      <c r="CO77" s="48"/>
      <c r="CP77" s="48"/>
      <c r="CQ77" s="48"/>
      <c r="CR77" s="48"/>
      <c r="CS77" s="48"/>
      <c r="CT77" s="48"/>
      <c r="CU77" s="48"/>
      <c r="CV77" s="48"/>
      <c r="CW77" s="48"/>
      <c r="CX77" s="48"/>
      <c r="CY77" s="48"/>
      <c r="CZ77" s="48"/>
      <c r="DA77" s="48"/>
      <c r="DB77" s="48"/>
      <c r="DC77" s="48"/>
      <c r="DD77" s="48"/>
      <c r="DE77" s="48"/>
      <c r="DF77" s="48"/>
      <c r="DG77" s="48"/>
      <c r="DH77" s="48"/>
      <c r="DI77" s="48"/>
      <c r="DJ77" s="48"/>
      <c r="DK77" s="48"/>
      <c r="DL77" s="48"/>
      <c r="DM77" s="48"/>
      <c r="DN77" s="48"/>
      <c r="DO77" s="48"/>
      <c r="DP77" s="48"/>
    </row>
    <row r="78" spans="2:120" x14ac:dyDescent="0.2">
      <c r="B78" s="48"/>
      <c r="C78" s="144"/>
      <c r="D78" s="48"/>
      <c r="E78" s="48"/>
      <c r="F78" s="188" t="s">
        <v>621</v>
      </c>
      <c r="G78" s="189">
        <f>SUM(G68:G77)</f>
        <v>16</v>
      </c>
      <c r="H78" s="190">
        <f>SUM(H68:H77)</f>
        <v>1</v>
      </c>
      <c r="I78" s="48"/>
      <c r="J78" s="48"/>
      <c r="K78" s="48"/>
      <c r="L78" s="48"/>
      <c r="M78" s="52">
        <v>70</v>
      </c>
      <c r="N78" s="51" t="s">
        <v>1140</v>
      </c>
      <c r="O78" s="70">
        <v>1</v>
      </c>
      <c r="P78" s="53">
        <f t="shared" si="68"/>
        <v>6.5359477124183009E-3</v>
      </c>
      <c r="Q78" s="48"/>
      <c r="R78" s="52">
        <v>70</v>
      </c>
      <c r="S78" s="51" t="str">
        <f t="array" ref="S78">INDEX($N$103:$N$188,SMALL(IF($O$103:$O$188=T78,ROW($O$103:$O$188)-102),COUNTIF($T$9:T78,T78)))</f>
        <v>Supervisão</v>
      </c>
      <c r="T78" s="70">
        <f t="shared" si="69"/>
        <v>0</v>
      </c>
      <c r="U78" s="53">
        <f t="shared" si="70"/>
        <v>0</v>
      </c>
      <c r="V78" s="48"/>
      <c r="W78" s="168" t="s">
        <v>119</v>
      </c>
      <c r="X78" s="179">
        <v>17000</v>
      </c>
      <c r="Y78" s="168"/>
      <c r="Z78" s="168"/>
      <c r="AA78" s="168"/>
      <c r="AB78" s="48"/>
      <c r="AC78" s="48"/>
      <c r="AD78" s="48"/>
      <c r="AE78" s="48"/>
      <c r="AF78" s="48"/>
      <c r="AG78" s="48"/>
      <c r="AH78" s="48"/>
      <c r="AI78" s="48"/>
      <c r="AJ78" s="48"/>
      <c r="AK78" s="48"/>
      <c r="AL78" s="48"/>
      <c r="AM78" s="48"/>
      <c r="AN78" s="48"/>
      <c r="AO78" s="48"/>
      <c r="AP78" s="48"/>
      <c r="AQ78" s="48"/>
      <c r="AR78" s="48"/>
      <c r="AS78" s="48"/>
      <c r="AT78" s="48"/>
      <c r="AU78" s="48"/>
      <c r="AV78" s="48"/>
      <c r="AW78" s="48"/>
      <c r="AX78" s="48"/>
      <c r="AY78" s="48"/>
      <c r="AZ78" s="48"/>
      <c r="BA78" s="48"/>
      <c r="BB78" s="48"/>
      <c r="BC78" s="48"/>
      <c r="BD78" s="48"/>
      <c r="BE78" s="48"/>
      <c r="BF78" s="48"/>
      <c r="BG78" s="48"/>
      <c r="BH78" s="48"/>
      <c r="BI78" s="48"/>
      <c r="BJ78" s="48"/>
      <c r="BK78" s="48"/>
      <c r="BL78" s="48"/>
      <c r="BM78" s="48"/>
      <c r="BN78" s="48"/>
      <c r="BO78" s="48"/>
      <c r="BP78" s="48"/>
      <c r="BQ78" s="296" t="str">
        <f t="shared" si="52"/>
        <v>Cumbe</v>
      </c>
      <c r="BR78" s="238">
        <f>COUNTIFS(Respostas_Formatadas!$C:$C,EmpAtual!$BQ$47,Respostas_Formatadas!$BC:$BC,EmpAtual!BQ78)</f>
        <v>0</v>
      </c>
      <c r="BS78" s="240">
        <f t="shared" si="53"/>
        <v>0</v>
      </c>
      <c r="BT78" s="48"/>
      <c r="BU78" s="48"/>
      <c r="BV78" s="48"/>
      <c r="BW78" s="48"/>
      <c r="BX78" s="48"/>
      <c r="BY78" s="48"/>
      <c r="BZ78" s="48"/>
      <c r="CA78" s="48"/>
      <c r="CB78" s="48"/>
      <c r="CC78" s="48"/>
      <c r="CD78" s="48"/>
      <c r="CE78" s="48"/>
      <c r="CF78" s="48"/>
      <c r="CG78" s="48"/>
      <c r="CH78" s="48"/>
      <c r="CI78" s="48"/>
      <c r="CJ78" s="48"/>
      <c r="CK78" s="48"/>
      <c r="CL78" s="48"/>
      <c r="CM78" s="48"/>
      <c r="CN78" s="48"/>
      <c r="CO78" s="48"/>
      <c r="CP78" s="48"/>
      <c r="CQ78" s="48"/>
      <c r="CR78" s="48"/>
      <c r="CS78" s="48"/>
      <c r="CT78" s="48"/>
      <c r="CU78" s="48"/>
      <c r="CV78" s="48"/>
      <c r="CW78" s="48"/>
      <c r="CX78" s="48"/>
      <c r="CY78" s="48"/>
      <c r="CZ78" s="48"/>
      <c r="DA78" s="48"/>
      <c r="DB78" s="48"/>
      <c r="DC78" s="48"/>
      <c r="DD78" s="48"/>
      <c r="DE78" s="48"/>
      <c r="DF78" s="48"/>
      <c r="DG78" s="48"/>
      <c r="DH78" s="48"/>
      <c r="DI78" s="48"/>
      <c r="DJ78" s="48"/>
      <c r="DK78" s="48"/>
      <c r="DL78" s="48"/>
      <c r="DM78" s="48"/>
      <c r="DN78" s="48"/>
      <c r="DO78" s="48"/>
      <c r="DP78" s="48"/>
    </row>
    <row r="79" spans="2:120" x14ac:dyDescent="0.2">
      <c r="B79" s="48"/>
      <c r="C79" s="144"/>
      <c r="D79" s="48"/>
      <c r="E79" s="48"/>
      <c r="F79" s="48"/>
      <c r="G79" s="48"/>
      <c r="H79" s="48"/>
      <c r="I79" s="48"/>
      <c r="J79" s="48"/>
      <c r="K79" s="48"/>
      <c r="L79" s="48"/>
      <c r="M79" s="52">
        <v>71</v>
      </c>
      <c r="N79" s="51" t="s">
        <v>791</v>
      </c>
      <c r="O79" s="70">
        <v>1</v>
      </c>
      <c r="P79" s="53">
        <f t="shared" si="68"/>
        <v>6.5359477124183009E-3</v>
      </c>
      <c r="Q79" s="48"/>
      <c r="R79" s="52">
        <v>71</v>
      </c>
      <c r="S79" s="51" t="str">
        <f t="array" ref="S79">INDEX($N$103:$N$188,SMALL(IF($O$103:$O$188=T79,ROW($O$103:$O$188)-102),COUNTIF($T$9:T79,T79)))</f>
        <v>Executor de Serviços Básicos</v>
      </c>
      <c r="T79" s="70">
        <f t="shared" si="69"/>
        <v>0</v>
      </c>
      <c r="U79" s="53">
        <f t="shared" si="70"/>
        <v>0</v>
      </c>
      <c r="V79" s="48"/>
      <c r="W79" s="168" t="s">
        <v>120</v>
      </c>
      <c r="X79" s="179">
        <v>4000</v>
      </c>
      <c r="Y79" s="168"/>
      <c r="Z79" s="168"/>
      <c r="AA79" s="168"/>
      <c r="AB79" s="48"/>
      <c r="AC79" s="48"/>
      <c r="AD79" s="48"/>
      <c r="AE79" s="48"/>
      <c r="AF79" s="48"/>
      <c r="AG79" s="48"/>
      <c r="AH79" s="48"/>
      <c r="AI79" s="48"/>
      <c r="AJ79" s="48"/>
      <c r="AK79" s="48"/>
      <c r="AL79" s="48"/>
      <c r="AM79" s="48"/>
      <c r="AN79" s="48"/>
      <c r="AO79" s="48"/>
      <c r="AP79" s="48"/>
      <c r="AQ79" s="48"/>
      <c r="AR79" s="48"/>
      <c r="AS79" s="48"/>
      <c r="AT79" s="48"/>
      <c r="AU79" s="48"/>
      <c r="AV79" s="48"/>
      <c r="AW79" s="48"/>
      <c r="AX79" s="48"/>
      <c r="AY79" s="48"/>
      <c r="AZ79" s="48"/>
      <c r="BA79" s="48"/>
      <c r="BB79" s="48"/>
      <c r="BC79" s="48"/>
      <c r="BD79" s="48"/>
      <c r="BE79" s="48"/>
      <c r="BF79" s="48"/>
      <c r="BG79" s="48"/>
      <c r="BH79" s="48"/>
      <c r="BI79" s="48"/>
      <c r="BJ79" s="48"/>
      <c r="BK79" s="48"/>
      <c r="BL79" s="48"/>
      <c r="BM79" s="48"/>
      <c r="BN79" s="48"/>
      <c r="BO79" s="48"/>
      <c r="BP79" s="48"/>
      <c r="BQ79" s="296" t="str">
        <f t="shared" si="52"/>
        <v>Blumenau - SC</v>
      </c>
      <c r="BR79" s="238">
        <f>COUNTIFS(Respostas_Formatadas!$C:$C,EmpAtual!$BQ$47,Respostas_Formatadas!$BC:$BC,EmpAtual!BQ79)</f>
        <v>0</v>
      </c>
      <c r="BS79" s="240">
        <f t="shared" si="53"/>
        <v>0</v>
      </c>
      <c r="BT79" s="48"/>
      <c r="BU79" s="48"/>
      <c r="BV79" s="48"/>
      <c r="BW79" s="48"/>
      <c r="BX79" s="48"/>
      <c r="BY79" s="48"/>
      <c r="BZ79" s="48"/>
      <c r="CA79" s="48"/>
      <c r="CB79" s="48"/>
      <c r="CC79" s="48"/>
      <c r="CD79" s="48"/>
      <c r="CE79" s="48"/>
      <c r="CF79" s="48"/>
      <c r="CG79" s="48"/>
      <c r="CH79" s="48"/>
      <c r="CI79" s="48"/>
      <c r="CJ79" s="48"/>
      <c r="CK79" s="48"/>
      <c r="CL79" s="48"/>
      <c r="CM79" s="48"/>
      <c r="CN79" s="48"/>
      <c r="CO79" s="48"/>
      <c r="CP79" s="48"/>
      <c r="CQ79" s="48"/>
      <c r="CR79" s="48"/>
      <c r="CS79" s="48"/>
      <c r="CT79" s="48"/>
      <c r="CU79" s="48"/>
      <c r="CV79" s="48"/>
      <c r="CW79" s="48"/>
      <c r="CX79" s="48"/>
      <c r="CY79" s="48"/>
      <c r="CZ79" s="48"/>
      <c r="DA79" s="48"/>
      <c r="DB79" s="48"/>
      <c r="DC79" s="48"/>
      <c r="DD79" s="48"/>
      <c r="DE79" s="48"/>
      <c r="DF79" s="48"/>
      <c r="DG79" s="48"/>
      <c r="DH79" s="48"/>
      <c r="DI79" s="48"/>
      <c r="DJ79" s="48"/>
      <c r="DK79" s="48"/>
      <c r="DL79" s="48"/>
      <c r="DM79" s="48"/>
      <c r="DN79" s="48"/>
      <c r="DO79" s="48"/>
      <c r="DP79" s="48"/>
    </row>
    <row r="80" spans="2:120" x14ac:dyDescent="0.2">
      <c r="B80" s="48"/>
      <c r="C80" s="144"/>
      <c r="D80" s="48"/>
      <c r="E80" s="48"/>
      <c r="F80" s="195" t="s">
        <v>1063</v>
      </c>
      <c r="G80" s="196" t="s">
        <v>131</v>
      </c>
      <c r="H80" s="196" t="s">
        <v>132</v>
      </c>
      <c r="I80" s="48"/>
      <c r="J80" s="48"/>
      <c r="K80" s="48"/>
      <c r="L80" s="48"/>
      <c r="M80" s="52">
        <v>72</v>
      </c>
      <c r="N80" s="51" t="s">
        <v>1144</v>
      </c>
      <c r="O80" s="70">
        <v>1</v>
      </c>
      <c r="P80" s="53">
        <f t="shared" si="68"/>
        <v>6.5359477124183009E-3</v>
      </c>
      <c r="Q80" s="48"/>
      <c r="R80" s="52">
        <v>72</v>
      </c>
      <c r="S80" s="51" t="str">
        <f t="array" ref="S80">INDEX($N$103:$N$188,SMALL(IF($O$103:$O$188=T80,ROW($O$103:$O$188)-102),COUNTIF($T$9:T80,T80)))</f>
        <v>Supervisor</v>
      </c>
      <c r="T80" s="70">
        <f t="shared" si="69"/>
        <v>0</v>
      </c>
      <c r="U80" s="53">
        <f t="shared" si="70"/>
        <v>0</v>
      </c>
      <c r="V80" s="48"/>
      <c r="W80" s="168" t="s">
        <v>120</v>
      </c>
      <c r="X80" s="179">
        <v>3900</v>
      </c>
      <c r="Y80" s="168"/>
      <c r="Z80" s="168"/>
      <c r="AA80" s="168"/>
      <c r="AB80" s="48"/>
      <c r="AC80" s="48"/>
      <c r="AD80" s="48"/>
      <c r="AE80" s="48"/>
      <c r="AF80" s="48"/>
      <c r="AG80" s="48"/>
      <c r="AH80" s="48"/>
      <c r="AI80" s="48"/>
      <c r="AJ80" s="48"/>
      <c r="AK80" s="48"/>
      <c r="AL80" s="48"/>
      <c r="AM80" s="48"/>
      <c r="AN80" s="48"/>
      <c r="AO80" s="48"/>
      <c r="AP80" s="48"/>
      <c r="AQ80" s="48"/>
      <c r="AR80" s="48"/>
      <c r="AS80" s="48"/>
      <c r="AT80" s="48"/>
      <c r="AU80" s="48"/>
      <c r="AV80" s="48"/>
      <c r="AW80" s="48"/>
      <c r="AX80" s="48"/>
      <c r="AY80" s="48"/>
      <c r="AZ80" s="48"/>
      <c r="BA80" s="48"/>
      <c r="BB80" s="48"/>
      <c r="BC80" s="48"/>
      <c r="BD80" s="48"/>
      <c r="BE80" s="48"/>
      <c r="BF80" s="48"/>
      <c r="BG80" s="48"/>
      <c r="BH80" s="48"/>
      <c r="BI80" s="48"/>
      <c r="BJ80" s="48"/>
      <c r="BK80" s="48"/>
      <c r="BL80" s="48"/>
      <c r="BM80" s="48"/>
      <c r="BN80" s="48"/>
      <c r="BO80" s="48"/>
      <c r="BP80" s="48"/>
      <c r="BQ80" s="296" t="str">
        <f t="shared" si="52"/>
        <v>São Miguel do Aleixo</v>
      </c>
      <c r="BR80" s="238">
        <f>COUNTIFS(Respostas_Formatadas!$C:$C,EmpAtual!$BQ$47,Respostas_Formatadas!$BC:$BC,EmpAtual!BQ80)</f>
        <v>0</v>
      </c>
      <c r="BS80" s="240">
        <f t="shared" si="53"/>
        <v>0</v>
      </c>
      <c r="BT80" s="48"/>
      <c r="BU80" s="48"/>
      <c r="BV80" s="48"/>
      <c r="BW80" s="48"/>
      <c r="BX80" s="48"/>
      <c r="BY80" s="48"/>
      <c r="BZ80" s="48"/>
      <c r="CA80" s="48"/>
      <c r="CB80" s="48"/>
      <c r="CC80" s="48"/>
      <c r="CD80" s="48"/>
      <c r="CE80" s="48"/>
      <c r="CF80" s="48"/>
      <c r="CG80" s="48"/>
      <c r="CH80" s="48"/>
      <c r="CI80" s="48"/>
      <c r="CJ80" s="48"/>
      <c r="CK80" s="48"/>
      <c r="CL80" s="48"/>
      <c r="CM80" s="48"/>
      <c r="CN80" s="48"/>
      <c r="CO80" s="48"/>
      <c r="CP80" s="48"/>
      <c r="CQ80" s="48"/>
      <c r="CR80" s="48"/>
      <c r="CS80" s="48"/>
      <c r="CT80" s="48"/>
      <c r="CU80" s="48"/>
      <c r="CV80" s="48"/>
      <c r="CW80" s="48"/>
      <c r="CX80" s="48"/>
      <c r="CY80" s="48"/>
      <c r="CZ80" s="48"/>
      <c r="DA80" s="48"/>
      <c r="DB80" s="48"/>
      <c r="DC80" s="48"/>
      <c r="DD80" s="48"/>
      <c r="DE80" s="48"/>
      <c r="DF80" s="48"/>
      <c r="DG80" s="48"/>
      <c r="DH80" s="48"/>
      <c r="DI80" s="48"/>
      <c r="DJ80" s="48"/>
      <c r="DK80" s="48"/>
      <c r="DL80" s="48"/>
      <c r="DM80" s="48"/>
      <c r="DN80" s="48"/>
      <c r="DO80" s="48"/>
      <c r="DP80" s="48"/>
    </row>
    <row r="81" spans="2:120" x14ac:dyDescent="0.2">
      <c r="B81" s="48"/>
      <c r="C81" s="144"/>
      <c r="D81" s="48"/>
      <c r="E81" s="48"/>
      <c r="F81" s="60">
        <v>2005</v>
      </c>
      <c r="G81" s="52">
        <v>2</v>
      </c>
      <c r="H81" s="53">
        <f>G81/$G$95</f>
        <v>7.3800738007380072E-3</v>
      </c>
      <c r="I81" s="48"/>
      <c r="J81" s="48"/>
      <c r="K81" s="48"/>
      <c r="L81" s="48"/>
      <c r="M81" s="52">
        <v>73</v>
      </c>
      <c r="N81" s="51" t="s">
        <v>1113</v>
      </c>
      <c r="O81" s="70">
        <v>1</v>
      </c>
      <c r="P81" s="53">
        <f t="shared" si="68"/>
        <v>6.5359477124183009E-3</v>
      </c>
      <c r="Q81" s="48"/>
      <c r="R81" s="52">
        <v>73</v>
      </c>
      <c r="S81" s="51" t="str">
        <f t="array" ref="S81">INDEX($N$103:$N$188,SMALL(IF($O$103:$O$188=T81,ROW($O$103:$O$188)-102),COUNTIF($T$9:T81,T81)))</f>
        <v>Técnico em Eletroeletrônica</v>
      </c>
      <c r="T81" s="70">
        <f t="shared" si="69"/>
        <v>0</v>
      </c>
      <c r="U81" s="53">
        <f t="shared" si="70"/>
        <v>0</v>
      </c>
      <c r="V81" s="48"/>
      <c r="W81" s="168" t="s">
        <v>120</v>
      </c>
      <c r="X81" s="179">
        <v>1979</v>
      </c>
      <c r="Y81" s="168"/>
      <c r="Z81" s="168"/>
      <c r="AA81" s="168"/>
      <c r="AB81" s="48"/>
      <c r="AC81" s="48"/>
      <c r="AD81" s="48"/>
      <c r="AE81" s="48"/>
      <c r="AF81" s="48"/>
      <c r="AG81" s="48"/>
      <c r="AH81" s="48"/>
      <c r="AI81" s="48"/>
      <c r="AJ81" s="48"/>
      <c r="AK81" s="48"/>
      <c r="AL81" s="48"/>
      <c r="AM81" s="48"/>
      <c r="AN81" s="48"/>
      <c r="AO81" s="48"/>
      <c r="AP81" s="48"/>
      <c r="AQ81" s="48"/>
      <c r="AR81" s="48"/>
      <c r="AS81" s="48"/>
      <c r="AT81" s="48"/>
      <c r="AU81" s="48"/>
      <c r="AV81" s="48"/>
      <c r="AW81" s="48"/>
      <c r="AX81" s="48"/>
      <c r="AY81" s="48"/>
      <c r="AZ81" s="48"/>
      <c r="BA81" s="48"/>
      <c r="BB81" s="48"/>
      <c r="BC81" s="48"/>
      <c r="BD81" s="48"/>
      <c r="BE81" s="48"/>
      <c r="BF81" s="48"/>
      <c r="BG81" s="48"/>
      <c r="BH81" s="48"/>
      <c r="BI81" s="48"/>
      <c r="BJ81" s="48"/>
      <c r="BK81" s="48"/>
      <c r="BL81" s="48"/>
      <c r="BM81" s="48"/>
      <c r="BN81" s="48"/>
      <c r="BO81" s="48"/>
      <c r="BP81" s="48"/>
      <c r="BQ81" s="296" t="str">
        <f t="shared" si="52"/>
        <v>Carmópolis</v>
      </c>
      <c r="BR81" s="238">
        <f>COUNTIFS(Respostas_Formatadas!$C:$C,EmpAtual!$BQ$47,Respostas_Formatadas!$BC:$BC,EmpAtual!BQ81)</f>
        <v>0</v>
      </c>
      <c r="BS81" s="240">
        <f t="shared" si="53"/>
        <v>0</v>
      </c>
      <c r="BT81" s="144"/>
      <c r="BU81" s="48"/>
      <c r="BV81" s="48"/>
      <c r="BW81" s="48"/>
      <c r="BX81" s="48"/>
      <c r="BY81" s="48"/>
      <c r="BZ81" s="48"/>
      <c r="CA81" s="48"/>
      <c r="CB81" s="48"/>
      <c r="CC81" s="48"/>
      <c r="CD81" s="48"/>
      <c r="CE81" s="48"/>
      <c r="CF81" s="48"/>
      <c r="CG81" s="48"/>
      <c r="CH81" s="48"/>
      <c r="CI81" s="48"/>
      <c r="CJ81" s="48"/>
      <c r="CK81" s="48"/>
      <c r="CL81" s="48"/>
      <c r="CM81" s="48"/>
      <c r="CN81" s="48"/>
      <c r="CO81" s="48"/>
      <c r="CP81" s="48"/>
      <c r="CQ81" s="48"/>
      <c r="CR81" s="48"/>
      <c r="CS81" s="48"/>
      <c r="CT81" s="48"/>
      <c r="CU81" s="48"/>
      <c r="CV81" s="48"/>
      <c r="CW81" s="48"/>
      <c r="CX81" s="48"/>
      <c r="CY81" s="48"/>
      <c r="CZ81" s="48"/>
      <c r="DA81" s="48"/>
      <c r="DB81" s="48"/>
      <c r="DC81" s="48"/>
      <c r="DD81" s="48"/>
      <c r="DE81" s="48"/>
      <c r="DF81" s="48"/>
      <c r="DG81" s="48"/>
      <c r="DH81" s="48"/>
      <c r="DI81" s="48"/>
      <c r="DJ81" s="48"/>
      <c r="DK81" s="48"/>
      <c r="DL81" s="48"/>
      <c r="DM81" s="48"/>
      <c r="DN81" s="48"/>
      <c r="DO81" s="48"/>
      <c r="DP81" s="48"/>
    </row>
    <row r="82" spans="2:120" x14ac:dyDescent="0.2">
      <c r="B82" s="48"/>
      <c r="C82" s="144"/>
      <c r="D82" s="48"/>
      <c r="E82" s="48"/>
      <c r="F82" s="60">
        <v>2006</v>
      </c>
      <c r="G82" s="52">
        <v>1</v>
      </c>
      <c r="H82" s="53">
        <f t="shared" ref="H82:H94" si="71">G82/$G$95</f>
        <v>3.6900369003690036E-3</v>
      </c>
      <c r="I82" s="48"/>
      <c r="J82" s="48"/>
      <c r="K82" s="48"/>
      <c r="L82" s="48"/>
      <c r="M82" s="52">
        <v>74</v>
      </c>
      <c r="N82" s="51" t="s">
        <v>822</v>
      </c>
      <c r="O82" s="70">
        <v>1</v>
      </c>
      <c r="P82" s="53">
        <f t="shared" si="68"/>
        <v>6.5359477124183009E-3</v>
      </c>
      <c r="Q82" s="48"/>
      <c r="R82" s="52">
        <v>74</v>
      </c>
      <c r="S82" s="51" t="str">
        <f t="array" ref="S82">INDEX($N$103:$N$188,SMALL(IF($O$103:$O$188=T82,ROW($O$103:$O$188)-102),COUNTIF($T$9:T82,T82)))</f>
        <v>Técnico Ambiental</v>
      </c>
      <c r="T82" s="70">
        <f t="shared" si="69"/>
        <v>0</v>
      </c>
      <c r="U82" s="53">
        <f t="shared" si="70"/>
        <v>0</v>
      </c>
      <c r="V82" s="48"/>
      <c r="W82" s="168" t="s">
        <v>120</v>
      </c>
      <c r="X82" s="179">
        <v>7000</v>
      </c>
      <c r="Y82" s="168"/>
      <c r="Z82" s="168"/>
      <c r="AA82" s="168"/>
      <c r="AB82" s="48"/>
      <c r="AC82" s="48"/>
      <c r="AD82" s="48"/>
      <c r="AE82" s="48"/>
      <c r="AF82" s="48"/>
      <c r="AG82" s="48"/>
      <c r="AH82" s="48"/>
      <c r="AI82" s="48"/>
      <c r="AJ82" s="48"/>
      <c r="AK82" s="48"/>
      <c r="AL82" s="48"/>
      <c r="AM82" s="48"/>
      <c r="AN82" s="48"/>
      <c r="AO82" s="48"/>
      <c r="AP82" s="48"/>
      <c r="AQ82" s="48"/>
      <c r="AR82" s="48"/>
      <c r="AS82" s="48"/>
      <c r="AT82" s="48"/>
      <c r="AU82" s="48"/>
      <c r="AV82" s="48"/>
      <c r="AW82" s="48"/>
      <c r="AX82" s="48"/>
      <c r="AY82" s="48"/>
      <c r="AZ82" s="48"/>
      <c r="BA82" s="48"/>
      <c r="BB82" s="48"/>
      <c r="BC82" s="48"/>
      <c r="BD82" s="48"/>
      <c r="BE82" s="48"/>
      <c r="BF82" s="48"/>
      <c r="BG82" s="48"/>
      <c r="BH82" s="48"/>
      <c r="BI82" s="48"/>
      <c r="BJ82" s="48"/>
      <c r="BK82" s="48"/>
      <c r="BL82" s="48"/>
      <c r="BM82" s="48"/>
      <c r="BN82" s="48"/>
      <c r="BO82" s="48"/>
      <c r="BP82" s="48"/>
      <c r="BQ82" s="296" t="str">
        <f t="shared" si="52"/>
        <v>Riachão do Jacuípe - BA</v>
      </c>
      <c r="BR82" s="238">
        <f>COUNTIFS(Respostas_Formatadas!$C:$C,EmpAtual!$BQ$47,Respostas_Formatadas!$BC:$BC,EmpAtual!BQ82)</f>
        <v>0</v>
      </c>
      <c r="BS82" s="240">
        <f t="shared" si="53"/>
        <v>0</v>
      </c>
      <c r="BT82" s="144"/>
      <c r="BU82" s="48"/>
      <c r="BV82" s="48"/>
      <c r="BW82" s="48"/>
      <c r="BX82" s="48"/>
      <c r="BY82" s="48"/>
      <c r="BZ82" s="48"/>
      <c r="CA82" s="48"/>
      <c r="CB82" s="48"/>
      <c r="CC82" s="48"/>
      <c r="CD82" s="48"/>
      <c r="CE82" s="48"/>
      <c r="CF82" s="48"/>
      <c r="CG82" s="48"/>
      <c r="CH82" s="48"/>
      <c r="CI82" s="48"/>
      <c r="CJ82" s="48"/>
      <c r="CK82" s="48"/>
      <c r="CL82" s="48"/>
      <c r="CM82" s="48"/>
      <c r="CN82" s="48"/>
      <c r="CO82" s="48"/>
      <c r="CP82" s="48"/>
      <c r="CQ82" s="48"/>
      <c r="CR82" s="48"/>
      <c r="CS82" s="48"/>
      <c r="CT82" s="48"/>
      <c r="CU82" s="48"/>
      <c r="CV82" s="48"/>
      <c r="CW82" s="48"/>
      <c r="CX82" s="48"/>
      <c r="CY82" s="48"/>
      <c r="CZ82" s="48"/>
      <c r="DA82" s="48"/>
      <c r="DB82" s="48"/>
      <c r="DC82" s="48"/>
      <c r="DD82" s="48"/>
      <c r="DE82" s="48"/>
      <c r="DF82" s="48"/>
      <c r="DG82" s="48"/>
      <c r="DH82" s="48"/>
      <c r="DI82" s="48"/>
      <c r="DJ82" s="48"/>
      <c r="DK82" s="48"/>
      <c r="DL82" s="48"/>
      <c r="DM82" s="48"/>
      <c r="DN82" s="48"/>
      <c r="DO82" s="48"/>
      <c r="DP82" s="48"/>
    </row>
    <row r="83" spans="2:120" x14ac:dyDescent="0.2">
      <c r="B83" s="48"/>
      <c r="C83" s="144"/>
      <c r="D83" s="48"/>
      <c r="E83" s="48"/>
      <c r="F83" s="60">
        <v>2007</v>
      </c>
      <c r="G83" s="52">
        <v>1</v>
      </c>
      <c r="H83" s="53">
        <f t="shared" si="71"/>
        <v>3.6900369003690036E-3</v>
      </c>
      <c r="I83" s="48"/>
      <c r="J83" s="48"/>
      <c r="K83" s="48"/>
      <c r="L83" s="48"/>
      <c r="M83" s="52">
        <v>75</v>
      </c>
      <c r="N83" s="51" t="s">
        <v>834</v>
      </c>
      <c r="O83" s="70">
        <v>1</v>
      </c>
      <c r="P83" s="53">
        <f t="shared" si="68"/>
        <v>6.5359477124183009E-3</v>
      </c>
      <c r="Q83" s="48"/>
      <c r="R83" s="52">
        <v>75</v>
      </c>
      <c r="S83" s="51" t="str">
        <f t="array" ref="S83">INDEX($N$103:$N$188,SMALL(IF($O$103:$O$188=T83,ROW($O$103:$O$188)-102),COUNTIF($T$9:T83,T83)))</f>
        <v>Técnico em Telecomunicações</v>
      </c>
      <c r="T83" s="70">
        <f t="shared" si="69"/>
        <v>0</v>
      </c>
      <c r="U83" s="53">
        <f t="shared" si="70"/>
        <v>0</v>
      </c>
      <c r="V83" s="48"/>
      <c r="W83" s="168" t="s">
        <v>120</v>
      </c>
      <c r="X83" s="179">
        <v>8000</v>
      </c>
      <c r="Y83" s="168"/>
      <c r="Z83" s="168"/>
      <c r="AA83" s="168"/>
      <c r="AB83" s="48"/>
      <c r="AC83" s="48"/>
      <c r="AD83" s="48"/>
      <c r="AE83" s="48"/>
      <c r="AF83" s="48"/>
      <c r="AG83" s="48"/>
      <c r="AH83" s="48"/>
      <c r="AI83" s="48"/>
      <c r="AJ83" s="48"/>
      <c r="AK83" s="48"/>
      <c r="AL83" s="48"/>
      <c r="AM83" s="48"/>
      <c r="AN83" s="48"/>
      <c r="AO83" s="48"/>
      <c r="AP83" s="48"/>
      <c r="AQ83" s="48"/>
      <c r="AR83" s="48"/>
      <c r="AS83" s="48"/>
      <c r="AT83" s="48"/>
      <c r="AU83" s="48"/>
      <c r="AV83" s="48"/>
      <c r="AW83" s="48"/>
      <c r="AX83" s="48"/>
      <c r="AY83" s="48"/>
      <c r="AZ83" s="48"/>
      <c r="BA83" s="48"/>
      <c r="BB83" s="48"/>
      <c r="BC83" s="48"/>
      <c r="BD83" s="48"/>
      <c r="BE83" s="48"/>
      <c r="BF83" s="48"/>
      <c r="BG83" s="48"/>
      <c r="BH83" s="48"/>
      <c r="BI83" s="48"/>
      <c r="BJ83" s="48"/>
      <c r="BK83" s="48"/>
      <c r="BL83" s="48"/>
      <c r="BM83" s="48"/>
      <c r="BN83" s="48"/>
      <c r="BO83" s="48"/>
      <c r="BP83" s="48"/>
      <c r="BQ83" s="297" t="s">
        <v>621</v>
      </c>
      <c r="BR83" s="241">
        <f>SUM(BR49:BR82)</f>
        <v>5</v>
      </c>
      <c r="BS83" s="242">
        <f>SUM(BS49:BS82)</f>
        <v>1</v>
      </c>
      <c r="BT83" s="144"/>
      <c r="BU83" s="48"/>
      <c r="BV83" s="48"/>
      <c r="BW83" s="48"/>
      <c r="BX83" s="48"/>
      <c r="BY83" s="48"/>
      <c r="BZ83" s="48"/>
      <c r="CA83" s="48"/>
      <c r="CB83" s="48"/>
      <c r="CC83" s="48"/>
      <c r="CD83" s="48"/>
      <c r="CE83" s="48"/>
      <c r="CF83" s="48"/>
      <c r="CG83" s="48"/>
      <c r="CH83" s="48"/>
      <c r="CI83" s="48"/>
      <c r="CJ83" s="48"/>
      <c r="CK83" s="48"/>
      <c r="CL83" s="48"/>
      <c r="CM83" s="48"/>
      <c r="CN83" s="48"/>
      <c r="CO83" s="48"/>
      <c r="CP83" s="48"/>
      <c r="CQ83" s="48"/>
      <c r="CR83" s="48"/>
      <c r="CS83" s="48"/>
      <c r="CT83" s="48"/>
      <c r="CU83" s="48"/>
      <c r="CV83" s="48"/>
      <c r="CW83" s="48"/>
      <c r="CX83" s="48"/>
      <c r="CY83" s="48"/>
      <c r="CZ83" s="48"/>
      <c r="DA83" s="48"/>
      <c r="DB83" s="48"/>
      <c r="DC83" s="48"/>
      <c r="DD83" s="48"/>
      <c r="DE83" s="48"/>
      <c r="DF83" s="48"/>
      <c r="DG83" s="48"/>
      <c r="DH83" s="48"/>
      <c r="DI83" s="48"/>
      <c r="DJ83" s="48"/>
      <c r="DK83" s="48"/>
      <c r="DL83" s="48"/>
      <c r="DM83" s="48"/>
      <c r="DN83" s="48"/>
      <c r="DO83" s="48"/>
      <c r="DP83" s="48"/>
    </row>
    <row r="84" spans="2:120" x14ac:dyDescent="0.2">
      <c r="B84" s="48"/>
      <c r="C84" s="144"/>
      <c r="D84" s="48"/>
      <c r="E84" s="48"/>
      <c r="F84" s="60">
        <v>2008</v>
      </c>
      <c r="G84" s="52">
        <v>1</v>
      </c>
      <c r="H84" s="53">
        <f t="shared" si="71"/>
        <v>3.6900369003690036E-3</v>
      </c>
      <c r="I84" s="48"/>
      <c r="J84" s="48"/>
      <c r="K84" s="48"/>
      <c r="L84" s="48"/>
      <c r="M84" s="52">
        <v>76</v>
      </c>
      <c r="N84" s="51" t="s">
        <v>605</v>
      </c>
      <c r="O84" s="70">
        <v>1</v>
      </c>
      <c r="P84" s="53">
        <f t="shared" si="68"/>
        <v>6.5359477124183009E-3</v>
      </c>
      <c r="Q84" s="48"/>
      <c r="R84" s="52">
        <v>76</v>
      </c>
      <c r="S84" s="51" t="str">
        <f t="array" ref="S84">INDEX($N$103:$N$188,SMALL(IF($O$103:$O$188=T84,ROW($O$103:$O$188)-102),COUNTIF($T$9:T84,T84)))</f>
        <v>Assistente Operacional</v>
      </c>
      <c r="T84" s="70">
        <f t="shared" si="69"/>
        <v>0</v>
      </c>
      <c r="U84" s="53">
        <f t="shared" si="70"/>
        <v>0</v>
      </c>
      <c r="V84" s="48"/>
      <c r="W84" s="168" t="s">
        <v>120</v>
      </c>
      <c r="X84" s="179">
        <v>4200</v>
      </c>
      <c r="Y84" s="168"/>
      <c r="Z84" s="168"/>
      <c r="AA84" s="168"/>
      <c r="AB84" s="48"/>
      <c r="AC84" s="48"/>
      <c r="AD84" s="48"/>
      <c r="AE84" s="48"/>
      <c r="AF84" s="48"/>
      <c r="AG84" s="48"/>
      <c r="AH84" s="48"/>
      <c r="AI84" s="48"/>
      <c r="AJ84" s="48"/>
      <c r="AK84" s="48"/>
      <c r="AL84" s="48"/>
      <c r="AM84" s="48"/>
      <c r="AN84" s="48"/>
      <c r="AO84" s="48"/>
      <c r="AP84" s="48"/>
      <c r="AQ84" s="48"/>
      <c r="AR84" s="48"/>
      <c r="AS84" s="48"/>
      <c r="AT84" s="48"/>
      <c r="AU84" s="48"/>
      <c r="AV84" s="48"/>
      <c r="AW84" s="48"/>
      <c r="AX84" s="48"/>
      <c r="AY84" s="48"/>
      <c r="AZ84" s="48"/>
      <c r="BA84" s="48"/>
      <c r="BB84" s="48"/>
      <c r="BC84" s="48"/>
      <c r="BD84" s="48"/>
      <c r="BE84" s="48"/>
      <c r="BF84" s="48"/>
      <c r="BG84" s="48"/>
      <c r="BH84" s="48"/>
      <c r="BI84" s="48"/>
      <c r="BJ84" s="48"/>
      <c r="BK84" s="48"/>
      <c r="BL84" s="48"/>
      <c r="BM84" s="48"/>
      <c r="BN84" s="48"/>
      <c r="BO84" s="48"/>
      <c r="BP84" s="48"/>
      <c r="BQ84" s="48"/>
      <c r="BR84" s="48"/>
      <c r="BS84" s="48"/>
      <c r="BT84" s="144"/>
      <c r="BU84" s="48"/>
      <c r="BV84" s="48"/>
      <c r="BW84" s="48"/>
      <c r="BX84" s="48"/>
      <c r="BY84" s="48"/>
      <c r="BZ84" s="48"/>
      <c r="CA84" s="48"/>
      <c r="CB84" s="48"/>
      <c r="CC84" s="48"/>
      <c r="CD84" s="48"/>
      <c r="CE84" s="48"/>
      <c r="CF84" s="48"/>
      <c r="CG84" s="48"/>
      <c r="CH84" s="48"/>
      <c r="CI84" s="48"/>
      <c r="CJ84" s="48"/>
      <c r="CK84" s="48"/>
      <c r="CL84" s="48"/>
      <c r="CM84" s="48"/>
      <c r="CN84" s="48"/>
      <c r="CO84" s="48"/>
      <c r="CP84" s="48"/>
      <c r="CQ84" s="48"/>
      <c r="CR84" s="48"/>
      <c r="CS84" s="48"/>
      <c r="CT84" s="48"/>
      <c r="CU84" s="48"/>
      <c r="CV84" s="48"/>
      <c r="CW84" s="48"/>
      <c r="CX84" s="48"/>
      <c r="CY84" s="48"/>
      <c r="CZ84" s="48"/>
      <c r="DA84" s="48"/>
      <c r="DB84" s="48"/>
      <c r="DC84" s="48"/>
      <c r="DD84" s="48"/>
      <c r="DE84" s="48"/>
      <c r="DF84" s="48"/>
      <c r="DG84" s="48"/>
      <c r="DH84" s="48"/>
      <c r="DI84" s="48"/>
      <c r="DJ84" s="48"/>
      <c r="DK84" s="48"/>
      <c r="DL84" s="48"/>
      <c r="DM84" s="48"/>
      <c r="DN84" s="48"/>
      <c r="DO84" s="48"/>
      <c r="DP84" s="48"/>
    </row>
    <row r="85" spans="2:120" x14ac:dyDescent="0.2">
      <c r="B85" s="48"/>
      <c r="C85" s="144"/>
      <c r="D85" s="48"/>
      <c r="E85" s="48"/>
      <c r="F85" s="60">
        <v>2009</v>
      </c>
      <c r="G85" s="52">
        <v>8</v>
      </c>
      <c r="H85" s="53">
        <f t="shared" si="71"/>
        <v>2.9520295202952029E-2</v>
      </c>
      <c r="I85" s="48"/>
      <c r="J85" s="48"/>
      <c r="K85" s="48"/>
      <c r="L85" s="48"/>
      <c r="M85" s="52">
        <v>77</v>
      </c>
      <c r="N85" s="51" t="s">
        <v>860</v>
      </c>
      <c r="O85" s="70">
        <v>1</v>
      </c>
      <c r="P85" s="53">
        <f t="shared" si="68"/>
        <v>6.5359477124183009E-3</v>
      </c>
      <c r="Q85" s="48"/>
      <c r="R85" s="52">
        <v>77</v>
      </c>
      <c r="S85" s="51" t="str">
        <f t="array" ref="S85">INDEX($N$103:$N$188,SMALL(IF($O$103:$O$188=T85,ROW($O$103:$O$188)-102),COUNTIF($T$9:T85,T85)))</f>
        <v>Assistente</v>
      </c>
      <c r="T85" s="70">
        <f t="shared" si="69"/>
        <v>0</v>
      </c>
      <c r="U85" s="53">
        <f t="shared" si="70"/>
        <v>0</v>
      </c>
      <c r="V85" s="48"/>
      <c r="W85" s="168" t="s">
        <v>120</v>
      </c>
      <c r="X85" s="179">
        <v>1800</v>
      </c>
      <c r="Y85" s="168"/>
      <c r="Z85" s="168"/>
      <c r="AA85" s="168"/>
      <c r="AB85" s="48"/>
      <c r="AC85" s="48"/>
      <c r="AD85" s="48"/>
      <c r="AE85" s="48"/>
      <c r="AF85" s="48"/>
      <c r="AG85" s="48"/>
      <c r="AH85" s="48"/>
      <c r="AI85" s="48"/>
      <c r="AJ85" s="48"/>
      <c r="AK85" s="48"/>
      <c r="AL85" s="48"/>
      <c r="AM85" s="48"/>
      <c r="AN85" s="48"/>
      <c r="AO85" s="48"/>
      <c r="AP85" s="48"/>
      <c r="AQ85" s="48"/>
      <c r="AR85" s="48"/>
      <c r="AS85" s="48"/>
      <c r="AT85" s="48"/>
      <c r="AU85" s="48"/>
      <c r="AV85" s="48"/>
      <c r="AW85" s="48"/>
      <c r="AX85" s="48"/>
      <c r="AY85" s="48"/>
      <c r="AZ85" s="48"/>
      <c r="BA85" s="48"/>
      <c r="BB85" s="48"/>
      <c r="BC85" s="48"/>
      <c r="BD85" s="48"/>
      <c r="BE85" s="48"/>
      <c r="BF85" s="48"/>
      <c r="BG85" s="48"/>
      <c r="BH85" s="48"/>
      <c r="BI85" s="48"/>
      <c r="BJ85" s="48"/>
      <c r="BK85" s="48"/>
      <c r="BL85" s="48"/>
      <c r="BM85" s="48"/>
      <c r="BN85" s="48"/>
      <c r="BO85" s="48"/>
      <c r="BP85" s="48"/>
      <c r="BQ85" s="48"/>
      <c r="BR85" s="48"/>
      <c r="BS85" s="48"/>
      <c r="BT85" s="144"/>
      <c r="BU85" s="48"/>
      <c r="BV85" s="48"/>
      <c r="BW85" s="48"/>
      <c r="BX85" s="48"/>
      <c r="BY85" s="48"/>
      <c r="BZ85" s="48"/>
      <c r="CA85" s="48"/>
      <c r="CB85" s="48"/>
      <c r="CC85" s="48"/>
      <c r="CD85" s="48"/>
      <c r="CE85" s="48"/>
      <c r="CF85" s="48"/>
      <c r="CG85" s="48"/>
      <c r="CH85" s="48"/>
      <c r="CI85" s="48"/>
      <c r="CJ85" s="48"/>
      <c r="CK85" s="48"/>
      <c r="CL85" s="48"/>
      <c r="CM85" s="48"/>
      <c r="CN85" s="48"/>
      <c r="CO85" s="48"/>
      <c r="CP85" s="48"/>
      <c r="CQ85" s="48"/>
      <c r="CR85" s="48"/>
      <c r="CS85" s="48"/>
      <c r="CT85" s="48"/>
      <c r="CU85" s="48"/>
      <c r="CV85" s="48"/>
      <c r="CW85" s="48"/>
      <c r="CX85" s="48"/>
      <c r="CY85" s="48"/>
      <c r="CZ85" s="48"/>
      <c r="DA85" s="48"/>
      <c r="DB85" s="48"/>
      <c r="DC85" s="48"/>
      <c r="DD85" s="48"/>
      <c r="DE85" s="48"/>
      <c r="DF85" s="48"/>
      <c r="DG85" s="48"/>
      <c r="DH85" s="48"/>
      <c r="DI85" s="48"/>
      <c r="DJ85" s="48"/>
      <c r="DK85" s="48"/>
      <c r="DL85" s="48"/>
      <c r="DM85" s="48"/>
      <c r="DN85" s="48"/>
      <c r="DO85" s="48"/>
      <c r="DP85" s="48"/>
    </row>
    <row r="86" spans="2:120" x14ac:dyDescent="0.2">
      <c r="B86" s="48"/>
      <c r="C86" s="144"/>
      <c r="D86" s="48"/>
      <c r="E86" s="48"/>
      <c r="F86" s="60">
        <v>2010</v>
      </c>
      <c r="G86" s="52">
        <v>6</v>
      </c>
      <c r="H86" s="53">
        <f t="shared" si="71"/>
        <v>2.2140221402214021E-2</v>
      </c>
      <c r="I86" s="48"/>
      <c r="J86" s="48"/>
      <c r="K86" s="48"/>
      <c r="L86" s="48"/>
      <c r="M86" s="52">
        <v>78</v>
      </c>
      <c r="N86" s="51" t="s">
        <v>1145</v>
      </c>
      <c r="O86" s="70">
        <v>1</v>
      </c>
      <c r="P86" s="53">
        <f t="shared" si="68"/>
        <v>6.5359477124183009E-3</v>
      </c>
      <c r="Q86" s="48"/>
      <c r="R86" s="52">
        <v>78</v>
      </c>
      <c r="S86" s="51" t="str">
        <f t="array" ref="S86">INDEX($N$103:$N$188,SMALL(IF($O$103:$O$188=T86,ROW($O$103:$O$188)-102),COUNTIF($T$9:T86,T86)))</f>
        <v>Turismólogo</v>
      </c>
      <c r="T86" s="70">
        <f t="shared" si="69"/>
        <v>0</v>
      </c>
      <c r="U86" s="53">
        <f t="shared" si="70"/>
        <v>0</v>
      </c>
      <c r="V86" s="48"/>
      <c r="W86" s="168" t="s">
        <v>120</v>
      </c>
      <c r="X86" s="179">
        <v>2600</v>
      </c>
      <c r="Y86" s="168"/>
      <c r="Z86" s="168"/>
      <c r="AA86" s="168"/>
      <c r="AB86" s="48"/>
      <c r="AC86" s="48"/>
      <c r="AD86" s="48"/>
      <c r="AE86" s="48"/>
      <c r="AF86" s="48"/>
      <c r="AG86" s="48"/>
      <c r="AH86" s="48"/>
      <c r="AI86" s="48"/>
      <c r="AJ86" s="48"/>
      <c r="AK86" s="48"/>
      <c r="AL86" s="48"/>
      <c r="AM86" s="48"/>
      <c r="AN86" s="48"/>
      <c r="AO86" s="48"/>
      <c r="AP86" s="48"/>
      <c r="AQ86" s="48"/>
      <c r="AR86" s="48"/>
      <c r="AS86" s="48"/>
      <c r="AT86" s="48"/>
      <c r="AU86" s="48"/>
      <c r="AV86" s="48"/>
      <c r="AW86" s="48"/>
      <c r="AX86" s="48"/>
      <c r="AY86" s="48"/>
      <c r="AZ86" s="48"/>
      <c r="BA86" s="48"/>
      <c r="BB86" s="48"/>
      <c r="BC86" s="48"/>
      <c r="BD86" s="48"/>
      <c r="BE86" s="48"/>
      <c r="BF86" s="48"/>
      <c r="BG86" s="48"/>
      <c r="BH86" s="48"/>
      <c r="BI86" s="48"/>
      <c r="BJ86" s="48"/>
      <c r="BK86" s="48"/>
      <c r="BL86" s="48"/>
      <c r="BM86" s="48"/>
      <c r="BN86" s="48"/>
      <c r="BO86" s="48"/>
      <c r="BP86" s="48"/>
      <c r="BQ86" s="48"/>
      <c r="BR86" s="48"/>
      <c r="BS86" s="48"/>
      <c r="BT86" s="144"/>
      <c r="BU86" s="48"/>
      <c r="BV86" s="48"/>
      <c r="BW86" s="48"/>
      <c r="BX86" s="48"/>
      <c r="BY86" s="48"/>
      <c r="BZ86" s="48"/>
      <c r="CA86" s="48"/>
      <c r="CB86" s="48"/>
      <c r="CC86" s="48"/>
      <c r="CD86" s="48"/>
      <c r="CE86" s="48"/>
      <c r="CF86" s="48"/>
      <c r="CG86" s="48"/>
      <c r="CH86" s="48"/>
      <c r="CI86" s="48"/>
      <c r="CJ86" s="48"/>
      <c r="CK86" s="48"/>
      <c r="CL86" s="48"/>
      <c r="CM86" s="48"/>
      <c r="CN86" s="48"/>
      <c r="CO86" s="48"/>
      <c r="CP86" s="48"/>
      <c r="CQ86" s="48"/>
      <c r="CR86" s="48"/>
      <c r="CS86" s="48"/>
      <c r="CT86" s="48"/>
      <c r="CU86" s="48"/>
      <c r="CV86" s="48"/>
      <c r="CW86" s="48"/>
      <c r="CX86" s="48"/>
      <c r="CY86" s="48"/>
      <c r="CZ86" s="48"/>
      <c r="DA86" s="48"/>
      <c r="DB86" s="48"/>
      <c r="DC86" s="48"/>
      <c r="DD86" s="48"/>
      <c r="DE86" s="48"/>
      <c r="DF86" s="48"/>
      <c r="DG86" s="48"/>
      <c r="DH86" s="48"/>
      <c r="DI86" s="48"/>
      <c r="DJ86" s="48"/>
      <c r="DK86" s="48"/>
      <c r="DL86" s="48"/>
      <c r="DM86" s="48"/>
      <c r="DN86" s="48"/>
      <c r="DO86" s="48"/>
      <c r="DP86" s="48"/>
    </row>
    <row r="87" spans="2:120" x14ac:dyDescent="0.2">
      <c r="B87" s="48"/>
      <c r="C87" s="144"/>
      <c r="D87" s="48"/>
      <c r="E87" s="48"/>
      <c r="F87" s="60">
        <v>2011</v>
      </c>
      <c r="G87" s="52">
        <v>4</v>
      </c>
      <c r="H87" s="53">
        <f t="shared" si="71"/>
        <v>1.4760147601476014E-2</v>
      </c>
      <c r="I87" s="48"/>
      <c r="J87" s="48"/>
      <c r="K87" s="48"/>
      <c r="L87" s="48"/>
      <c r="M87" s="52">
        <v>79</v>
      </c>
      <c r="N87" s="51" t="s">
        <v>1236</v>
      </c>
      <c r="O87" s="70">
        <v>1</v>
      </c>
      <c r="P87" s="53">
        <f t="shared" si="68"/>
        <v>6.5359477124183009E-3</v>
      </c>
      <c r="Q87" s="48"/>
      <c r="R87" s="52">
        <v>79</v>
      </c>
      <c r="S87" s="51" t="str">
        <f t="array" ref="S87">INDEX($N$103:$N$188,SMALL(IF($O$103:$O$188=T87,ROW($O$103:$O$188)-102),COUNTIF($T$9:T87,T87)))</f>
        <v>Desenvolvedor</v>
      </c>
      <c r="T87" s="70">
        <f t="shared" si="69"/>
        <v>0</v>
      </c>
      <c r="U87" s="53">
        <f t="shared" si="70"/>
        <v>0</v>
      </c>
      <c r="V87" s="48"/>
      <c r="W87" s="168" t="s">
        <v>120</v>
      </c>
      <c r="X87" s="179">
        <v>4000</v>
      </c>
      <c r="Y87" s="168"/>
      <c r="Z87" s="168"/>
      <c r="AA87" s="168"/>
      <c r="AB87" s="48"/>
      <c r="AC87" s="48"/>
      <c r="AD87" s="48"/>
      <c r="AE87" s="48"/>
      <c r="AF87" s="48"/>
      <c r="AG87" s="48"/>
      <c r="AH87" s="48"/>
      <c r="AI87" s="48"/>
      <c r="AJ87" s="48"/>
      <c r="AK87" s="48"/>
      <c r="AL87" s="48"/>
      <c r="AM87" s="48"/>
      <c r="AN87" s="48"/>
      <c r="AO87" s="48"/>
      <c r="AP87" s="48"/>
      <c r="AQ87" s="48"/>
      <c r="AR87" s="48"/>
      <c r="AS87" s="48"/>
      <c r="AT87" s="48"/>
      <c r="AU87" s="48"/>
      <c r="AV87" s="48"/>
      <c r="AW87" s="48"/>
      <c r="AX87" s="48"/>
      <c r="AY87" s="48"/>
      <c r="AZ87" s="48"/>
      <c r="BA87" s="48"/>
      <c r="BB87" s="48"/>
      <c r="BC87" s="48"/>
      <c r="BD87" s="48"/>
      <c r="BE87" s="48"/>
      <c r="BF87" s="48"/>
      <c r="BG87" s="48"/>
      <c r="BH87" s="48"/>
      <c r="BI87" s="48"/>
      <c r="BJ87" s="48"/>
      <c r="BK87" s="48"/>
      <c r="BL87" s="48"/>
      <c r="BM87" s="48"/>
      <c r="BN87" s="48"/>
      <c r="BO87" s="48"/>
      <c r="BP87" s="48"/>
      <c r="BQ87" s="144"/>
      <c r="BR87" s="299"/>
      <c r="BS87" s="300"/>
      <c r="BT87" s="144"/>
      <c r="BU87" s="144"/>
      <c r="BV87" s="144"/>
      <c r="BW87" s="144"/>
      <c r="BX87" s="144"/>
      <c r="BY87" s="48"/>
      <c r="BZ87" s="48"/>
      <c r="CA87" s="48"/>
      <c r="CB87" s="48"/>
      <c r="CC87" s="48"/>
      <c r="CD87" s="48"/>
      <c r="CE87" s="48"/>
      <c r="CF87" s="48"/>
      <c r="CG87" s="48"/>
      <c r="CH87" s="48"/>
      <c r="CI87" s="48"/>
      <c r="CJ87" s="48"/>
      <c r="CK87" s="48"/>
      <c r="CL87" s="48"/>
      <c r="CM87" s="48"/>
      <c r="CN87" s="48"/>
      <c r="CO87" s="48"/>
      <c r="CP87" s="48"/>
      <c r="CQ87" s="48"/>
      <c r="CR87" s="48"/>
      <c r="CS87" s="48"/>
      <c r="CT87" s="48"/>
      <c r="CU87" s="48"/>
      <c r="CV87" s="48"/>
      <c r="CW87" s="48"/>
      <c r="CX87" s="48"/>
      <c r="CY87" s="48"/>
      <c r="CZ87" s="48"/>
      <c r="DA87" s="48"/>
      <c r="DB87" s="48"/>
      <c r="DC87" s="48"/>
      <c r="DD87" s="48"/>
      <c r="DE87" s="48"/>
      <c r="DF87" s="48"/>
      <c r="DG87" s="48"/>
      <c r="DH87" s="48"/>
      <c r="DI87" s="48"/>
      <c r="DJ87" s="48"/>
      <c r="DK87" s="48"/>
      <c r="DL87" s="48"/>
      <c r="DM87" s="48"/>
      <c r="DN87" s="48"/>
      <c r="DO87" s="48"/>
      <c r="DP87" s="48"/>
    </row>
    <row r="88" spans="2:120" x14ac:dyDescent="0.2">
      <c r="B88" s="48"/>
      <c r="C88" s="144"/>
      <c r="D88" s="48"/>
      <c r="E88" s="48"/>
      <c r="F88" s="60">
        <v>2012</v>
      </c>
      <c r="G88" s="52">
        <v>3</v>
      </c>
      <c r="H88" s="53">
        <f t="shared" si="71"/>
        <v>1.107011070110701E-2</v>
      </c>
      <c r="I88" s="48"/>
      <c r="J88" s="48"/>
      <c r="K88" s="48"/>
      <c r="L88" s="48"/>
      <c r="M88" s="52">
        <v>80</v>
      </c>
      <c r="N88" s="51" t="s">
        <v>1114</v>
      </c>
      <c r="O88" s="70">
        <v>1</v>
      </c>
      <c r="P88" s="53">
        <f t="shared" si="68"/>
        <v>6.5359477124183009E-3</v>
      </c>
      <c r="Q88" s="48"/>
      <c r="R88" s="52">
        <v>80</v>
      </c>
      <c r="S88" s="51" t="str">
        <f t="array" ref="S88">INDEX($N$103:$N$188,SMALL(IF($O$103:$O$188=T88,ROW($O$103:$O$188)-102),COUNTIF($T$9:T88,T88)))</f>
        <v>Caixa</v>
      </c>
      <c r="T88" s="70">
        <f t="shared" si="69"/>
        <v>0</v>
      </c>
      <c r="U88" s="53">
        <f t="shared" si="70"/>
        <v>0</v>
      </c>
      <c r="V88" s="48"/>
      <c r="W88" s="168" t="s">
        <v>120</v>
      </c>
      <c r="X88" s="179">
        <v>2490</v>
      </c>
      <c r="Y88" s="168"/>
      <c r="Z88" s="168"/>
      <c r="AA88" s="168"/>
      <c r="AB88" s="48"/>
      <c r="AC88" s="48"/>
      <c r="AD88" s="48"/>
      <c r="AE88" s="48"/>
      <c r="AF88" s="48"/>
      <c r="AG88" s="48"/>
      <c r="AH88" s="48"/>
      <c r="AI88" s="48"/>
      <c r="AJ88" s="48"/>
      <c r="AK88" s="48"/>
      <c r="AL88" s="48"/>
      <c r="AM88" s="48"/>
      <c r="AN88" s="48"/>
      <c r="AO88" s="48"/>
      <c r="AP88" s="48"/>
      <c r="AQ88" s="48"/>
      <c r="AR88" s="48"/>
      <c r="AS88" s="48"/>
      <c r="AT88" s="48"/>
      <c r="AU88" s="48"/>
      <c r="AV88" s="48"/>
      <c r="AW88" s="48"/>
      <c r="AX88" s="48"/>
      <c r="AY88" s="48"/>
      <c r="AZ88" s="48"/>
      <c r="BA88" s="48"/>
      <c r="BB88" s="48"/>
      <c r="BC88" s="48"/>
      <c r="BD88" s="48"/>
      <c r="BE88" s="48"/>
      <c r="BF88" s="48"/>
      <c r="BG88" s="48"/>
      <c r="BH88" s="48"/>
      <c r="BI88" s="48"/>
      <c r="BJ88" s="48"/>
      <c r="BK88" s="48"/>
      <c r="BL88" s="48"/>
      <c r="BM88" s="48"/>
      <c r="BN88" s="48"/>
      <c r="BO88" s="48"/>
      <c r="BP88" s="48"/>
      <c r="BQ88" s="144"/>
      <c r="BR88" s="144"/>
      <c r="BS88" s="144"/>
      <c r="BT88" s="144"/>
      <c r="BU88" s="144"/>
      <c r="BV88" s="144"/>
      <c r="BW88" s="144"/>
      <c r="BX88" s="144"/>
      <c r="BY88" s="48"/>
      <c r="BZ88" s="48"/>
      <c r="CA88" s="48"/>
      <c r="CB88" s="48"/>
      <c r="CC88" s="48"/>
      <c r="CD88" s="48"/>
      <c r="CE88" s="48"/>
      <c r="CF88" s="48"/>
      <c r="CG88" s="48"/>
      <c r="CH88" s="48"/>
      <c r="CI88" s="48"/>
      <c r="CJ88" s="48"/>
      <c r="CK88" s="48"/>
      <c r="CL88" s="48"/>
      <c r="CM88" s="48"/>
      <c r="CN88" s="48"/>
      <c r="CO88" s="48"/>
      <c r="CP88" s="48"/>
      <c r="CQ88" s="48"/>
      <c r="CR88" s="48"/>
      <c r="CS88" s="48"/>
      <c r="CT88" s="48"/>
      <c r="CU88" s="48"/>
      <c r="CV88" s="48"/>
      <c r="CW88" s="48"/>
      <c r="CX88" s="48"/>
      <c r="CY88" s="48"/>
      <c r="CZ88" s="48"/>
      <c r="DA88" s="48"/>
      <c r="DB88" s="48"/>
      <c r="DC88" s="48"/>
      <c r="DD88" s="48"/>
      <c r="DE88" s="48"/>
      <c r="DF88" s="48"/>
      <c r="DG88" s="48"/>
      <c r="DH88" s="48"/>
      <c r="DI88" s="48"/>
      <c r="DJ88" s="48"/>
      <c r="DK88" s="48"/>
      <c r="DL88" s="48"/>
      <c r="DM88" s="48"/>
      <c r="DN88" s="48"/>
      <c r="DO88" s="48"/>
      <c r="DP88" s="48"/>
    </row>
    <row r="89" spans="2:120" x14ac:dyDescent="0.2">
      <c r="B89" s="48"/>
      <c r="C89" s="144"/>
      <c r="D89" s="48"/>
      <c r="E89" s="48"/>
      <c r="F89" s="60">
        <v>2013</v>
      </c>
      <c r="G89" s="52">
        <v>18</v>
      </c>
      <c r="H89" s="53">
        <f t="shared" si="71"/>
        <v>6.6420664206642069E-2</v>
      </c>
      <c r="I89" s="48"/>
      <c r="J89" s="48"/>
      <c r="K89" s="48"/>
      <c r="L89" s="48"/>
      <c r="M89" s="52">
        <v>81</v>
      </c>
      <c r="N89" s="51" t="s">
        <v>1237</v>
      </c>
      <c r="O89" s="70">
        <v>1</v>
      </c>
      <c r="P89" s="53">
        <f t="shared" si="68"/>
        <v>6.5359477124183009E-3</v>
      </c>
      <c r="Q89" s="48"/>
      <c r="R89" s="52">
        <v>81</v>
      </c>
      <c r="S89" s="51" t="str">
        <f t="array" ref="S89">INDEX($N$103:$N$188,SMALL(IF($O$103:$O$188=T89,ROW($O$103:$O$188)-102),COUNTIF($T$9:T89,T89)))</f>
        <v>Gerente Administrativo</v>
      </c>
      <c r="T89" s="70">
        <f t="shared" si="69"/>
        <v>0</v>
      </c>
      <c r="U89" s="53">
        <f t="shared" si="70"/>
        <v>0</v>
      </c>
      <c r="V89" s="48"/>
      <c r="W89" s="168" t="s">
        <v>120</v>
      </c>
      <c r="X89" s="179">
        <v>7500</v>
      </c>
      <c r="Y89" s="168"/>
      <c r="Z89" s="168"/>
      <c r="AA89" s="168"/>
      <c r="AB89" s="48"/>
      <c r="AC89" s="48"/>
      <c r="AD89" s="48"/>
      <c r="AE89" s="48"/>
      <c r="AF89" s="48"/>
      <c r="AG89" s="48"/>
      <c r="AH89" s="48"/>
      <c r="AI89" s="48"/>
      <c r="AJ89" s="48"/>
      <c r="AK89" s="48"/>
      <c r="AL89" s="48"/>
      <c r="AM89" s="48"/>
      <c r="AN89" s="48"/>
      <c r="AO89" s="48"/>
      <c r="AP89" s="48"/>
      <c r="AQ89" s="48"/>
      <c r="AR89" s="48"/>
      <c r="AS89" s="48"/>
      <c r="AT89" s="48"/>
      <c r="AU89" s="48"/>
      <c r="AV89" s="48"/>
      <c r="AW89" s="48"/>
      <c r="AX89" s="48"/>
      <c r="AY89" s="48"/>
      <c r="AZ89" s="48"/>
      <c r="BA89" s="48"/>
      <c r="BB89" s="48"/>
      <c r="BC89" s="48"/>
      <c r="BD89" s="48"/>
      <c r="BE89" s="48"/>
      <c r="BF89" s="48"/>
      <c r="BG89" s="48"/>
      <c r="BH89" s="48"/>
      <c r="BI89" s="48"/>
      <c r="BJ89" s="48"/>
      <c r="BK89" s="48"/>
      <c r="BL89" s="48"/>
      <c r="BM89" s="48"/>
      <c r="BN89" s="48"/>
      <c r="BO89" s="48"/>
      <c r="BP89" s="48"/>
      <c r="BQ89" s="48"/>
      <c r="BR89" s="48"/>
      <c r="BS89" s="48"/>
      <c r="BT89" s="144"/>
      <c r="BU89" s="144"/>
      <c r="BV89" s="144"/>
      <c r="BW89" s="144"/>
      <c r="BX89" s="144"/>
      <c r="BY89" s="48"/>
      <c r="BZ89" s="48"/>
      <c r="CA89" s="48"/>
      <c r="CB89" s="48"/>
      <c r="CC89" s="48"/>
      <c r="CD89" s="48"/>
      <c r="CE89" s="48"/>
      <c r="CF89" s="48"/>
      <c r="CG89" s="48"/>
      <c r="CH89" s="48"/>
      <c r="CI89" s="48"/>
      <c r="CJ89" s="48"/>
      <c r="CK89" s="48"/>
      <c r="CL89" s="48"/>
      <c r="CM89" s="48"/>
      <c r="CN89" s="48"/>
      <c r="CO89" s="48"/>
      <c r="CP89" s="48"/>
      <c r="CQ89" s="48"/>
      <c r="CR89" s="48"/>
      <c r="CS89" s="48"/>
      <c r="CT89" s="48"/>
      <c r="CU89" s="48"/>
      <c r="CV89" s="48"/>
      <c r="CW89" s="48"/>
      <c r="CX89" s="48"/>
      <c r="CY89" s="48"/>
      <c r="CZ89" s="48"/>
      <c r="DA89" s="48"/>
      <c r="DB89" s="48"/>
      <c r="DC89" s="48"/>
      <c r="DD89" s="48"/>
      <c r="DE89" s="48"/>
      <c r="DF89" s="48"/>
      <c r="DG89" s="48"/>
      <c r="DH89" s="48"/>
      <c r="DI89" s="48"/>
      <c r="DJ89" s="48"/>
      <c r="DK89" s="48"/>
      <c r="DL89" s="48"/>
      <c r="DM89" s="48"/>
      <c r="DN89" s="48"/>
      <c r="DO89" s="48"/>
      <c r="DP89" s="48"/>
    </row>
    <row r="90" spans="2:120" x14ac:dyDescent="0.2">
      <c r="B90" s="48"/>
      <c r="C90" s="144"/>
      <c r="D90" s="48"/>
      <c r="E90" s="48"/>
      <c r="F90" s="60">
        <v>2014</v>
      </c>
      <c r="G90" s="52">
        <v>20</v>
      </c>
      <c r="H90" s="53">
        <f t="shared" si="71"/>
        <v>7.3800738007380073E-2</v>
      </c>
      <c r="I90" s="48"/>
      <c r="J90" s="48"/>
      <c r="K90" s="48"/>
      <c r="L90" s="48"/>
      <c r="M90" s="52">
        <v>82</v>
      </c>
      <c r="N90" s="51" t="s">
        <v>1238</v>
      </c>
      <c r="O90" s="70">
        <v>1</v>
      </c>
      <c r="P90" s="53">
        <f t="shared" si="68"/>
        <v>6.5359477124183009E-3</v>
      </c>
      <c r="Q90" s="48"/>
      <c r="R90" s="52">
        <v>82</v>
      </c>
      <c r="S90" s="51" t="str">
        <f t="array" ref="S90">INDEX($N$103:$N$188,SMALL(IF($O$103:$O$188=T90,ROW($O$103:$O$188)-102),COUNTIF($T$9:T90,T90)))</f>
        <v>Assistente Comercial</v>
      </c>
      <c r="T90" s="70">
        <f t="shared" si="69"/>
        <v>0</v>
      </c>
      <c r="U90" s="53">
        <f t="shared" si="70"/>
        <v>0</v>
      </c>
      <c r="V90" s="48"/>
      <c r="W90" s="168" t="s">
        <v>120</v>
      </c>
      <c r="X90" s="179">
        <v>2600</v>
      </c>
      <c r="Y90" s="168"/>
      <c r="Z90" s="168"/>
      <c r="AA90" s="168"/>
      <c r="AB90" s="48"/>
      <c r="AC90" s="48"/>
      <c r="AD90" s="48"/>
      <c r="AE90" s="48"/>
      <c r="AF90" s="48"/>
      <c r="AG90" s="48"/>
      <c r="AH90" s="48"/>
      <c r="AI90" s="48"/>
      <c r="AJ90" s="48"/>
      <c r="AK90" s="48"/>
      <c r="AL90" s="48"/>
      <c r="AM90" s="48"/>
      <c r="AN90" s="48"/>
      <c r="AO90" s="48"/>
      <c r="AP90" s="48"/>
      <c r="AQ90" s="48"/>
      <c r="AR90" s="48"/>
      <c r="AS90" s="48"/>
      <c r="AT90" s="48"/>
      <c r="AU90" s="48"/>
      <c r="AV90" s="48"/>
      <c r="AW90" s="48"/>
      <c r="AX90" s="48"/>
      <c r="AY90" s="48"/>
      <c r="AZ90" s="48"/>
      <c r="BA90" s="48"/>
      <c r="BB90" s="48"/>
      <c r="BC90" s="48"/>
      <c r="BD90" s="48"/>
      <c r="BE90" s="48"/>
      <c r="BF90" s="48"/>
      <c r="BG90" s="48"/>
      <c r="BH90" s="48"/>
      <c r="BI90" s="48"/>
      <c r="BJ90" s="48"/>
      <c r="BK90" s="48"/>
      <c r="BL90" s="48"/>
      <c r="BM90" s="48"/>
      <c r="BN90" s="48"/>
      <c r="BO90" s="48"/>
      <c r="BP90" s="48"/>
      <c r="BQ90" s="48"/>
      <c r="BR90" s="48"/>
      <c r="BS90" s="48"/>
      <c r="BT90" s="144"/>
      <c r="BU90" s="144"/>
      <c r="BV90" s="144"/>
      <c r="BW90" s="144"/>
      <c r="BX90" s="144"/>
      <c r="BY90" s="48"/>
      <c r="BZ90" s="48"/>
      <c r="CA90" s="48"/>
      <c r="CB90" s="48"/>
      <c r="CC90" s="48"/>
      <c r="CD90" s="48"/>
      <c r="CE90" s="48"/>
      <c r="CF90" s="48"/>
      <c r="CG90" s="48"/>
      <c r="CH90" s="48"/>
      <c r="CI90" s="48"/>
      <c r="CJ90" s="48"/>
      <c r="CK90" s="48"/>
      <c r="CL90" s="48"/>
      <c r="CM90" s="48"/>
      <c r="CN90" s="48"/>
      <c r="CO90" s="48"/>
      <c r="CP90" s="48"/>
      <c r="CQ90" s="48"/>
      <c r="CR90" s="48"/>
      <c r="CS90" s="48"/>
      <c r="CT90" s="48"/>
      <c r="CU90" s="48"/>
      <c r="CV90" s="48"/>
      <c r="CW90" s="48"/>
      <c r="CX90" s="48"/>
      <c r="CY90" s="48"/>
      <c r="CZ90" s="48"/>
      <c r="DA90" s="48"/>
      <c r="DB90" s="48"/>
      <c r="DC90" s="48"/>
      <c r="DD90" s="48"/>
      <c r="DE90" s="48"/>
      <c r="DF90" s="48"/>
      <c r="DG90" s="48"/>
      <c r="DH90" s="48"/>
      <c r="DI90" s="48"/>
      <c r="DJ90" s="48"/>
      <c r="DK90" s="48"/>
      <c r="DL90" s="48"/>
      <c r="DM90" s="48"/>
      <c r="DN90" s="48"/>
      <c r="DO90" s="48"/>
      <c r="DP90" s="48"/>
    </row>
    <row r="91" spans="2:120" x14ac:dyDescent="0.2">
      <c r="B91" s="48"/>
      <c r="C91" s="144"/>
      <c r="D91" s="48"/>
      <c r="E91" s="48"/>
      <c r="F91" s="60">
        <v>2015</v>
      </c>
      <c r="G91" s="52">
        <v>29</v>
      </c>
      <c r="H91" s="53">
        <f t="shared" si="71"/>
        <v>0.1070110701107011</v>
      </c>
      <c r="I91" s="48"/>
      <c r="J91" s="48"/>
      <c r="K91" s="48"/>
      <c r="L91" s="48"/>
      <c r="M91" s="52">
        <v>83</v>
      </c>
      <c r="N91" s="51" t="s">
        <v>1147</v>
      </c>
      <c r="O91" s="70">
        <v>1</v>
      </c>
      <c r="P91" s="53">
        <f t="shared" si="68"/>
        <v>6.5359477124183009E-3</v>
      </c>
      <c r="Q91" s="48"/>
      <c r="R91" s="52">
        <v>83</v>
      </c>
      <c r="S91" s="51" t="str">
        <f t="array" ref="S91">INDEX($N$103:$N$188,SMALL(IF($O$103:$O$188=T91,ROW($O$103:$O$188)-102),COUNTIF($T$9:T91,T91)))</f>
        <v>Técnico em Operações</v>
      </c>
      <c r="T91" s="70">
        <f t="shared" si="69"/>
        <v>0</v>
      </c>
      <c r="U91" s="53">
        <f t="shared" si="70"/>
        <v>0</v>
      </c>
      <c r="V91" s="48"/>
      <c r="W91" s="168" t="s">
        <v>120</v>
      </c>
      <c r="X91" s="179">
        <v>3800</v>
      </c>
      <c r="Y91" s="168"/>
      <c r="Z91" s="168"/>
      <c r="AA91" s="168"/>
      <c r="AB91" s="48"/>
      <c r="AC91" s="48"/>
      <c r="AD91" s="48"/>
      <c r="AE91" s="48"/>
      <c r="AF91" s="48"/>
      <c r="AG91" s="48"/>
      <c r="AH91" s="48"/>
      <c r="AI91" s="48"/>
      <c r="AJ91" s="48"/>
      <c r="AK91" s="48"/>
      <c r="AL91" s="48"/>
      <c r="AM91" s="48"/>
      <c r="AN91" s="48"/>
      <c r="AO91" s="48"/>
      <c r="AP91" s="48"/>
      <c r="AQ91" s="48"/>
      <c r="AR91" s="48"/>
      <c r="AS91" s="48"/>
      <c r="AT91" s="48"/>
      <c r="AU91" s="48"/>
      <c r="AV91" s="48"/>
      <c r="AW91" s="48"/>
      <c r="AX91" s="48"/>
      <c r="AY91" s="48"/>
      <c r="AZ91" s="48"/>
      <c r="BA91" s="48"/>
      <c r="BB91" s="48"/>
      <c r="BC91" s="48"/>
      <c r="BD91" s="48"/>
      <c r="BE91" s="48"/>
      <c r="BF91" s="48"/>
      <c r="BG91" s="48"/>
      <c r="BH91" s="48"/>
      <c r="BI91" s="48"/>
      <c r="BJ91" s="48"/>
      <c r="BK91" s="48"/>
      <c r="BL91" s="48"/>
      <c r="BM91" s="48"/>
      <c r="BN91" s="48"/>
      <c r="BO91" s="48"/>
      <c r="BP91" s="48"/>
      <c r="BQ91" s="48"/>
      <c r="BR91" s="48"/>
      <c r="BS91" s="48"/>
      <c r="BT91" s="144"/>
      <c r="BU91" s="144"/>
      <c r="BV91" s="144"/>
      <c r="BW91" s="144"/>
      <c r="BX91" s="144"/>
      <c r="BY91" s="48"/>
      <c r="BZ91" s="48"/>
      <c r="CA91" s="48"/>
      <c r="CB91" s="48"/>
      <c r="CC91" s="48"/>
      <c r="CD91" s="48"/>
      <c r="CE91" s="48"/>
      <c r="CF91" s="48"/>
      <c r="CG91" s="48"/>
      <c r="CH91" s="48"/>
      <c r="CI91" s="48"/>
      <c r="CJ91" s="48"/>
      <c r="CK91" s="48"/>
      <c r="CL91" s="48"/>
      <c r="CM91" s="48"/>
      <c r="CN91" s="48"/>
      <c r="CO91" s="48"/>
      <c r="CP91" s="48"/>
      <c r="CQ91" s="48"/>
      <c r="CR91" s="48"/>
      <c r="CS91" s="48"/>
      <c r="CT91" s="48"/>
      <c r="CU91" s="48"/>
      <c r="CV91" s="48"/>
      <c r="CW91" s="48"/>
      <c r="CX91" s="48"/>
      <c r="CY91" s="48"/>
      <c r="CZ91" s="48"/>
      <c r="DA91" s="48"/>
      <c r="DB91" s="48"/>
      <c r="DC91" s="48"/>
      <c r="DD91" s="48"/>
      <c r="DE91" s="48"/>
      <c r="DF91" s="48"/>
      <c r="DG91" s="48"/>
      <c r="DH91" s="48"/>
      <c r="DI91" s="48"/>
      <c r="DJ91" s="48"/>
      <c r="DK91" s="48"/>
      <c r="DL91" s="48"/>
      <c r="DM91" s="48"/>
      <c r="DN91" s="48"/>
      <c r="DO91" s="48"/>
      <c r="DP91" s="48"/>
    </row>
    <row r="92" spans="2:120" x14ac:dyDescent="0.2">
      <c r="B92" s="48"/>
      <c r="C92" s="144"/>
      <c r="D92" s="48"/>
      <c r="E92" s="48"/>
      <c r="F92" s="60">
        <v>2016</v>
      </c>
      <c r="G92" s="52">
        <v>48</v>
      </c>
      <c r="H92" s="53">
        <f t="shared" si="71"/>
        <v>0.17712177121771217</v>
      </c>
      <c r="I92" s="48"/>
      <c r="J92" s="48"/>
      <c r="K92" s="48"/>
      <c r="L92" s="48"/>
      <c r="M92" s="52">
        <v>84</v>
      </c>
      <c r="N92" s="51" t="s">
        <v>1239</v>
      </c>
      <c r="O92" s="70">
        <v>1</v>
      </c>
      <c r="P92" s="53">
        <f t="shared" si="68"/>
        <v>6.5359477124183009E-3</v>
      </c>
      <c r="Q92" s="48"/>
      <c r="R92" s="52">
        <v>84</v>
      </c>
      <c r="S92" s="51" t="str">
        <f t="array" ref="S92">INDEX($N$103:$N$188,SMALL(IF($O$103:$O$188=T92,ROW($O$103:$O$188)-102),COUNTIF($T$9:T92,T92)))</f>
        <v>Oficial Administrativo</v>
      </c>
      <c r="T92" s="70">
        <f t="shared" si="69"/>
        <v>0</v>
      </c>
      <c r="U92" s="53">
        <f t="shared" si="70"/>
        <v>0</v>
      </c>
      <c r="V92" s="48"/>
      <c r="W92" s="168" t="s">
        <v>120</v>
      </c>
      <c r="X92" s="179">
        <v>2500</v>
      </c>
      <c r="Y92" s="168"/>
      <c r="Z92" s="168"/>
      <c r="AA92" s="168"/>
      <c r="AB92" s="48"/>
      <c r="AC92" s="48"/>
      <c r="AD92" s="48"/>
      <c r="AE92" s="48"/>
      <c r="AF92" s="48"/>
      <c r="AG92" s="48"/>
      <c r="AH92" s="48"/>
      <c r="AI92" s="48"/>
      <c r="AJ92" s="48"/>
      <c r="AK92" s="48"/>
      <c r="AL92" s="48"/>
      <c r="AM92" s="48"/>
      <c r="AN92" s="48"/>
      <c r="AO92" s="48"/>
      <c r="AP92" s="48"/>
      <c r="AQ92" s="48"/>
      <c r="AR92" s="48"/>
      <c r="AS92" s="48"/>
      <c r="AT92" s="48"/>
      <c r="AU92" s="48"/>
      <c r="AV92" s="48"/>
      <c r="AW92" s="48"/>
      <c r="AX92" s="48"/>
      <c r="AY92" s="48"/>
      <c r="AZ92" s="48"/>
      <c r="BA92" s="48"/>
      <c r="BB92" s="48"/>
      <c r="BC92" s="48"/>
      <c r="BD92" s="48"/>
      <c r="BE92" s="48"/>
      <c r="BF92" s="48"/>
      <c r="BG92" s="48"/>
      <c r="BH92" s="48"/>
      <c r="BI92" s="48"/>
      <c r="BJ92" s="48"/>
      <c r="BK92" s="48"/>
      <c r="BL92" s="48"/>
      <c r="BM92" s="48"/>
      <c r="BN92" s="48"/>
      <c r="BO92" s="48"/>
      <c r="BP92" s="48"/>
      <c r="BQ92" s="48"/>
      <c r="BR92" s="48"/>
      <c r="BS92" s="48"/>
      <c r="BT92" s="144"/>
      <c r="BU92" s="144"/>
      <c r="BV92" s="144"/>
      <c r="BW92" s="144"/>
      <c r="BX92" s="144"/>
      <c r="BY92" s="48"/>
      <c r="BZ92" s="48"/>
      <c r="CA92" s="48"/>
      <c r="CB92" s="48"/>
      <c r="CC92" s="48"/>
      <c r="CD92" s="48"/>
      <c r="CE92" s="48"/>
      <c r="CF92" s="48"/>
      <c r="CG92" s="48"/>
      <c r="CH92" s="48"/>
      <c r="CI92" s="48"/>
      <c r="CJ92" s="48"/>
      <c r="CK92" s="48"/>
      <c r="CL92" s="48"/>
      <c r="CM92" s="48"/>
      <c r="CN92" s="48"/>
      <c r="CO92" s="48"/>
      <c r="CP92" s="48"/>
      <c r="CQ92" s="48"/>
      <c r="CR92" s="48"/>
      <c r="CS92" s="48"/>
      <c r="CT92" s="48"/>
      <c r="CU92" s="48"/>
      <c r="CV92" s="48"/>
      <c r="CW92" s="48"/>
      <c r="CX92" s="48"/>
      <c r="CY92" s="48"/>
      <c r="CZ92" s="48"/>
      <c r="DA92" s="48"/>
      <c r="DB92" s="48"/>
      <c r="DC92" s="48"/>
      <c r="DD92" s="48"/>
      <c r="DE92" s="48"/>
      <c r="DF92" s="48"/>
      <c r="DG92" s="48"/>
      <c r="DH92" s="48"/>
      <c r="DI92" s="48"/>
      <c r="DJ92" s="48"/>
      <c r="DK92" s="48"/>
      <c r="DL92" s="48"/>
      <c r="DM92" s="48"/>
      <c r="DN92" s="48"/>
      <c r="DO92" s="48"/>
      <c r="DP92" s="48"/>
    </row>
    <row r="93" spans="2:120" x14ac:dyDescent="0.2">
      <c r="B93" s="48"/>
      <c r="C93" s="144"/>
      <c r="D93" s="48"/>
      <c r="E93" s="48"/>
      <c r="F93" s="60">
        <v>2017</v>
      </c>
      <c r="G93" s="52">
        <v>79</v>
      </c>
      <c r="H93" s="53">
        <f t="shared" si="71"/>
        <v>0.29151291512915128</v>
      </c>
      <c r="I93" s="48"/>
      <c r="J93" s="48"/>
      <c r="K93" s="48"/>
      <c r="L93" s="48"/>
      <c r="M93" s="52">
        <v>85</v>
      </c>
      <c r="N93" s="51" t="s">
        <v>925</v>
      </c>
      <c r="O93" s="70">
        <v>1</v>
      </c>
      <c r="P93" s="53">
        <f t="shared" si="68"/>
        <v>6.5359477124183009E-3</v>
      </c>
      <c r="Q93" s="48"/>
      <c r="R93" s="52">
        <v>85</v>
      </c>
      <c r="S93" s="51" t="str">
        <f t="array" ref="S93">INDEX($N$103:$N$188,SMALL(IF($O$103:$O$188=T93,ROW($O$103:$O$188)-102),COUNTIF($T$9:T93,T93)))</f>
        <v>Programador de Software</v>
      </c>
      <c r="T93" s="70">
        <f t="shared" si="69"/>
        <v>0</v>
      </c>
      <c r="U93" s="53">
        <f t="shared" si="70"/>
        <v>0</v>
      </c>
      <c r="V93" s="48"/>
      <c r="W93" s="168" t="s">
        <v>120</v>
      </c>
      <c r="X93" s="179">
        <v>3000</v>
      </c>
      <c r="Y93" s="168"/>
      <c r="Z93" s="168"/>
      <c r="AA93" s="168"/>
      <c r="AB93" s="48"/>
      <c r="AC93" s="48"/>
      <c r="AD93" s="48"/>
      <c r="AE93" s="48"/>
      <c r="AF93" s="48"/>
      <c r="AG93" s="48"/>
      <c r="AH93" s="48"/>
      <c r="AI93" s="48"/>
      <c r="AJ93" s="48"/>
      <c r="AK93" s="48"/>
      <c r="AL93" s="48"/>
      <c r="AM93" s="48"/>
      <c r="AN93" s="48"/>
      <c r="AO93" s="48"/>
      <c r="AP93" s="48"/>
      <c r="AQ93" s="48"/>
      <c r="AR93" s="48"/>
      <c r="AS93" s="48"/>
      <c r="AT93" s="48"/>
      <c r="AU93" s="48"/>
      <c r="AV93" s="48"/>
      <c r="AW93" s="48"/>
      <c r="AX93" s="48"/>
      <c r="AY93" s="48"/>
      <c r="AZ93" s="48"/>
      <c r="BA93" s="48"/>
      <c r="BB93" s="48"/>
      <c r="BC93" s="48"/>
      <c r="BD93" s="48"/>
      <c r="BE93" s="48"/>
      <c r="BF93" s="48"/>
      <c r="BG93" s="48"/>
      <c r="BH93" s="48"/>
      <c r="BI93" s="48"/>
      <c r="BJ93" s="48"/>
      <c r="BK93" s="48"/>
      <c r="BL93" s="48"/>
      <c r="BM93" s="48"/>
      <c r="BN93" s="48"/>
      <c r="BO93" s="48"/>
      <c r="BP93" s="48"/>
      <c r="BQ93" s="48"/>
      <c r="BR93" s="48"/>
      <c r="BS93" s="48"/>
      <c r="BT93" s="144"/>
      <c r="BU93" s="144"/>
      <c r="BV93" s="144"/>
      <c r="BW93" s="144"/>
      <c r="BX93" s="144"/>
      <c r="BY93" s="48"/>
      <c r="BZ93" s="48"/>
      <c r="CA93" s="48"/>
      <c r="CB93" s="48"/>
      <c r="CC93" s="48"/>
      <c r="CD93" s="48"/>
      <c r="CE93" s="48"/>
      <c r="CF93" s="48"/>
      <c r="CG93" s="48"/>
      <c r="CH93" s="48"/>
      <c r="CI93" s="48"/>
      <c r="CJ93" s="48"/>
      <c r="CK93" s="48"/>
      <c r="CL93" s="48"/>
      <c r="CM93" s="48"/>
      <c r="CN93" s="48"/>
      <c r="CO93" s="48"/>
      <c r="CP93" s="48"/>
      <c r="CQ93" s="48"/>
      <c r="CR93" s="48"/>
      <c r="CS93" s="48"/>
      <c r="CT93" s="48"/>
      <c r="CU93" s="48"/>
      <c r="CV93" s="48"/>
      <c r="CW93" s="48"/>
      <c r="CX93" s="48"/>
      <c r="CY93" s="48"/>
      <c r="CZ93" s="48"/>
      <c r="DA93" s="48"/>
      <c r="DB93" s="48"/>
      <c r="DC93" s="48"/>
      <c r="DD93" s="48"/>
      <c r="DE93" s="48"/>
      <c r="DF93" s="48"/>
      <c r="DG93" s="48"/>
      <c r="DH93" s="48"/>
      <c r="DI93" s="48"/>
      <c r="DJ93" s="48"/>
      <c r="DK93" s="48"/>
      <c r="DL93" s="48"/>
      <c r="DM93" s="48"/>
      <c r="DN93" s="48"/>
      <c r="DO93" s="48"/>
      <c r="DP93" s="48"/>
    </row>
    <row r="94" spans="2:120" x14ac:dyDescent="0.2">
      <c r="B94" s="48"/>
      <c r="C94" s="144"/>
      <c r="D94" s="48"/>
      <c r="E94" s="48"/>
      <c r="F94" s="60">
        <v>2018</v>
      </c>
      <c r="G94" s="52">
        <v>51</v>
      </c>
      <c r="H94" s="53">
        <f t="shared" si="71"/>
        <v>0.18819188191881919</v>
      </c>
      <c r="I94" s="48"/>
      <c r="J94" s="48"/>
      <c r="K94" s="48"/>
      <c r="L94" s="48"/>
      <c r="M94" s="52">
        <v>86</v>
      </c>
      <c r="N94" s="51" t="s">
        <v>1240</v>
      </c>
      <c r="O94" s="70">
        <v>1</v>
      </c>
      <c r="P94" s="53">
        <f t="shared" si="68"/>
        <v>6.5359477124183009E-3</v>
      </c>
      <c r="Q94" s="48"/>
      <c r="R94" s="52">
        <v>86</v>
      </c>
      <c r="S94" s="51" t="str">
        <f t="array" ref="S94">INDEX($N$103:$N$188,SMALL(IF($O$103:$O$188=T94,ROW($O$103:$O$188)-102),COUNTIF($T$9:T94,T94)))</f>
        <v>Eletricista Industrial</v>
      </c>
      <c r="T94" s="70">
        <f t="shared" si="69"/>
        <v>0</v>
      </c>
      <c r="U94" s="53">
        <f t="shared" si="70"/>
        <v>0</v>
      </c>
      <c r="V94" s="48"/>
      <c r="W94" s="168" t="s">
        <v>120</v>
      </c>
      <c r="X94" s="179">
        <v>3000</v>
      </c>
      <c r="Y94" s="168"/>
      <c r="Z94" s="168"/>
      <c r="AA94" s="168"/>
      <c r="AB94" s="48"/>
      <c r="AC94" s="48"/>
      <c r="AD94" s="48"/>
      <c r="AE94" s="48"/>
      <c r="AF94" s="48"/>
      <c r="AG94" s="48"/>
      <c r="AH94" s="48"/>
      <c r="AI94" s="48"/>
      <c r="AJ94" s="48"/>
      <c r="AK94" s="48"/>
      <c r="AL94" s="48"/>
      <c r="AM94" s="48"/>
      <c r="AN94" s="48"/>
      <c r="AO94" s="48"/>
      <c r="AP94" s="48"/>
      <c r="AQ94" s="48"/>
      <c r="AR94" s="48"/>
      <c r="AS94" s="48"/>
      <c r="AT94" s="48"/>
      <c r="AU94" s="48"/>
      <c r="AV94" s="48"/>
      <c r="AW94" s="48"/>
      <c r="AX94" s="48"/>
      <c r="AY94" s="48"/>
      <c r="AZ94" s="48"/>
      <c r="BA94" s="48"/>
      <c r="BB94" s="48"/>
      <c r="BC94" s="48"/>
      <c r="BD94" s="48"/>
      <c r="BE94" s="48"/>
      <c r="BF94" s="48"/>
      <c r="BG94" s="48"/>
      <c r="BH94" s="48"/>
      <c r="BI94" s="48"/>
      <c r="BJ94" s="48"/>
      <c r="BK94" s="48"/>
      <c r="BL94" s="48"/>
      <c r="BM94" s="48"/>
      <c r="BN94" s="48"/>
      <c r="BO94" s="48"/>
      <c r="BP94" s="48"/>
      <c r="BQ94" s="48"/>
      <c r="BR94" s="48"/>
      <c r="BS94" s="48"/>
      <c r="BT94" s="144"/>
      <c r="BU94" s="144"/>
      <c r="BV94" s="144"/>
      <c r="BW94" s="144"/>
      <c r="BX94" s="144"/>
      <c r="BY94" s="48"/>
      <c r="BZ94" s="48"/>
      <c r="CA94" s="48"/>
      <c r="CB94" s="48"/>
      <c r="CC94" s="48"/>
      <c r="CD94" s="48"/>
      <c r="CE94" s="48"/>
      <c r="CF94" s="48"/>
      <c r="CG94" s="48"/>
      <c r="CH94" s="48"/>
      <c r="CI94" s="48"/>
      <c r="CJ94" s="48"/>
      <c r="CK94" s="48"/>
      <c r="CL94" s="48"/>
      <c r="CM94" s="48"/>
      <c r="CN94" s="48"/>
      <c r="CO94" s="48"/>
      <c r="CP94" s="48"/>
      <c r="CQ94" s="48"/>
      <c r="CR94" s="48"/>
      <c r="CS94" s="48"/>
      <c r="CT94" s="48"/>
      <c r="CU94" s="48"/>
      <c r="CV94" s="48"/>
      <c r="CW94" s="48"/>
      <c r="CX94" s="48"/>
      <c r="CY94" s="48"/>
      <c r="CZ94" s="48"/>
      <c r="DA94" s="48"/>
      <c r="DB94" s="48"/>
      <c r="DC94" s="48"/>
      <c r="DD94" s="48"/>
      <c r="DE94" s="48"/>
      <c r="DF94" s="48"/>
      <c r="DG94" s="48"/>
      <c r="DH94" s="48"/>
      <c r="DI94" s="48"/>
      <c r="DJ94" s="48"/>
      <c r="DK94" s="48"/>
      <c r="DL94" s="48"/>
      <c r="DM94" s="48"/>
      <c r="DN94" s="48"/>
      <c r="DO94" s="48"/>
      <c r="DP94" s="48"/>
    </row>
    <row r="95" spans="2:120" x14ac:dyDescent="0.2">
      <c r="B95" s="48"/>
      <c r="C95" s="144"/>
      <c r="D95" s="48"/>
      <c r="E95" s="48"/>
      <c r="F95" s="188" t="s">
        <v>621</v>
      </c>
      <c r="G95" s="189">
        <v>271</v>
      </c>
      <c r="H95" s="190">
        <f>SUM(H81:H94)</f>
        <v>1</v>
      </c>
      <c r="I95" s="48"/>
      <c r="J95" s="48"/>
      <c r="K95" s="48"/>
      <c r="L95" s="48"/>
      <c r="M95" s="94" t="s">
        <v>933</v>
      </c>
      <c r="N95" s="143" t="s">
        <v>621</v>
      </c>
      <c r="O95" s="94">
        <f>SUM(O9:O94)</f>
        <v>153</v>
      </c>
      <c r="P95" s="95">
        <f>SUM(P9:P94)</f>
        <v>0.99999999999999822</v>
      </c>
      <c r="Q95" s="48"/>
      <c r="R95" s="192" t="s">
        <v>933</v>
      </c>
      <c r="S95" s="148" t="s">
        <v>621</v>
      </c>
      <c r="T95" s="192">
        <f>SUM(T9:T94)</f>
        <v>23</v>
      </c>
      <c r="U95" s="193">
        <f>SUM(U9:U94)</f>
        <v>0.99999999999999978</v>
      </c>
      <c r="V95" s="48"/>
      <c r="W95" s="168" t="s">
        <v>120</v>
      </c>
      <c r="X95" s="179">
        <v>3000</v>
      </c>
      <c r="Y95" s="168"/>
      <c r="Z95" s="168"/>
      <c r="AA95" s="168"/>
      <c r="AB95" s="48"/>
      <c r="AC95" s="48"/>
      <c r="AD95" s="48"/>
      <c r="AE95" s="48"/>
      <c r="AF95" s="48"/>
      <c r="AG95" s="48"/>
      <c r="AH95" s="48"/>
      <c r="AI95" s="48"/>
      <c r="AJ95" s="48"/>
      <c r="AK95" s="48"/>
      <c r="AL95" s="48"/>
      <c r="AM95" s="48"/>
      <c r="AN95" s="48"/>
      <c r="AO95" s="48"/>
      <c r="AP95" s="48"/>
      <c r="AQ95" s="48"/>
      <c r="AR95" s="48"/>
      <c r="AS95" s="48"/>
      <c r="AT95" s="48"/>
      <c r="AU95" s="48"/>
      <c r="AV95" s="48"/>
      <c r="AW95" s="48"/>
      <c r="AX95" s="48"/>
      <c r="AY95" s="48"/>
      <c r="AZ95" s="48"/>
      <c r="BA95" s="48"/>
      <c r="BB95" s="48"/>
      <c r="BC95" s="48"/>
      <c r="BD95" s="48"/>
      <c r="BE95" s="48"/>
      <c r="BF95" s="48"/>
      <c r="BG95" s="48"/>
      <c r="BH95" s="48"/>
      <c r="BI95" s="48"/>
      <c r="BJ95" s="48"/>
      <c r="BK95" s="48"/>
      <c r="BL95" s="48"/>
      <c r="BM95" s="48"/>
      <c r="BN95" s="48"/>
      <c r="BO95" s="48"/>
      <c r="BP95" s="48"/>
      <c r="BQ95" s="48"/>
      <c r="BR95" s="48"/>
      <c r="BS95" s="48"/>
      <c r="BT95" s="144"/>
      <c r="BU95" s="144"/>
      <c r="BV95" s="144"/>
      <c r="BW95" s="144"/>
      <c r="BX95" s="144"/>
      <c r="BY95" s="48"/>
      <c r="BZ95" s="48"/>
      <c r="CA95" s="48"/>
      <c r="CB95" s="48"/>
      <c r="CC95" s="48"/>
      <c r="CD95" s="48"/>
      <c r="CE95" s="48"/>
      <c r="CF95" s="48"/>
      <c r="CG95" s="48"/>
      <c r="CH95" s="48"/>
      <c r="CI95" s="48"/>
      <c r="CJ95" s="48"/>
      <c r="CK95" s="48"/>
      <c r="CL95" s="48"/>
      <c r="CM95" s="48"/>
      <c r="CN95" s="48"/>
      <c r="CO95" s="48"/>
      <c r="CP95" s="48"/>
      <c r="CQ95" s="48"/>
      <c r="CR95" s="48"/>
      <c r="CS95" s="48"/>
      <c r="CT95" s="48"/>
      <c r="CU95" s="48"/>
      <c r="CV95" s="48"/>
      <c r="CW95" s="48"/>
      <c r="CX95" s="48"/>
      <c r="CY95" s="48"/>
      <c r="CZ95" s="48"/>
      <c r="DA95" s="48"/>
      <c r="DB95" s="48"/>
      <c r="DC95" s="48"/>
      <c r="DD95" s="48"/>
      <c r="DE95" s="48"/>
      <c r="DF95" s="48"/>
      <c r="DG95" s="48"/>
      <c r="DH95" s="48"/>
      <c r="DI95" s="48"/>
      <c r="DJ95" s="48"/>
      <c r="DK95" s="48"/>
      <c r="DL95" s="48"/>
      <c r="DM95" s="48"/>
      <c r="DN95" s="48"/>
      <c r="DO95" s="48"/>
      <c r="DP95" s="48"/>
    </row>
    <row r="96" spans="2:120" x14ac:dyDescent="0.2">
      <c r="B96" s="48"/>
      <c r="C96" s="144"/>
      <c r="D96" s="48"/>
      <c r="E96" s="48"/>
      <c r="F96" s="48"/>
      <c r="G96" s="48"/>
      <c r="H96" s="48"/>
      <c r="I96" s="48"/>
      <c r="J96" s="48"/>
      <c r="K96" s="48"/>
      <c r="L96" s="48"/>
      <c r="M96" s="48"/>
      <c r="N96" s="48"/>
      <c r="O96" s="48"/>
      <c r="P96" s="48"/>
      <c r="Q96" s="48"/>
      <c r="R96" s="48"/>
      <c r="S96" s="48"/>
      <c r="T96" s="48"/>
      <c r="U96" s="48"/>
      <c r="V96" s="48"/>
      <c r="W96" s="168" t="s">
        <v>123</v>
      </c>
      <c r="X96" s="179">
        <v>1700</v>
      </c>
      <c r="Y96" s="168"/>
      <c r="Z96" s="168"/>
      <c r="AA96" s="168"/>
      <c r="AB96" s="48"/>
      <c r="AC96" s="48"/>
      <c r="AD96" s="48"/>
      <c r="AE96" s="48"/>
      <c r="AF96" s="48"/>
      <c r="AG96" s="48"/>
      <c r="AH96" s="48"/>
      <c r="AI96" s="48"/>
      <c r="AJ96" s="48"/>
      <c r="AK96" s="48"/>
      <c r="AL96" s="48"/>
      <c r="AM96" s="48"/>
      <c r="AN96" s="48"/>
      <c r="AO96" s="48"/>
      <c r="AP96" s="48"/>
      <c r="AQ96" s="48"/>
      <c r="AR96" s="48"/>
      <c r="AS96" s="48"/>
      <c r="AT96" s="48"/>
      <c r="AU96" s="48"/>
      <c r="AV96" s="48"/>
      <c r="AW96" s="48"/>
      <c r="AX96" s="48"/>
      <c r="AY96" s="48"/>
      <c r="AZ96" s="48"/>
      <c r="BA96" s="48"/>
      <c r="BB96" s="48"/>
      <c r="BC96" s="48"/>
      <c r="BD96" s="48"/>
      <c r="BE96" s="48"/>
      <c r="BF96" s="48"/>
      <c r="BG96" s="48"/>
      <c r="BH96" s="48"/>
      <c r="BI96" s="48"/>
      <c r="BJ96" s="48"/>
      <c r="BK96" s="48"/>
      <c r="BL96" s="48"/>
      <c r="BM96" s="48"/>
      <c r="BN96" s="48"/>
      <c r="BO96" s="48"/>
      <c r="BP96" s="48"/>
      <c r="BQ96" s="48"/>
      <c r="BR96" s="48"/>
      <c r="BS96" s="48"/>
      <c r="BT96" s="144"/>
      <c r="BU96" s="144"/>
      <c r="BV96" s="144"/>
      <c r="BW96" s="144"/>
      <c r="BX96" s="144"/>
      <c r="BY96" s="48"/>
      <c r="BZ96" s="48"/>
      <c r="CA96" s="48"/>
      <c r="CB96" s="48"/>
      <c r="CC96" s="48"/>
      <c r="CD96" s="48"/>
      <c r="CE96" s="48"/>
      <c r="CF96" s="48"/>
      <c r="CG96" s="48"/>
      <c r="CH96" s="48"/>
      <c r="CI96" s="48"/>
      <c r="CJ96" s="48"/>
      <c r="CK96" s="48"/>
      <c r="CL96" s="48"/>
      <c r="CM96" s="48"/>
      <c r="CN96" s="48"/>
      <c r="CO96" s="48"/>
      <c r="CP96" s="48"/>
      <c r="CQ96" s="48"/>
      <c r="CR96" s="48"/>
      <c r="CS96" s="48"/>
      <c r="CT96" s="48"/>
      <c r="CU96" s="48"/>
      <c r="CV96" s="48"/>
      <c r="CW96" s="48"/>
      <c r="CX96" s="48"/>
      <c r="CY96" s="48"/>
      <c r="CZ96" s="48"/>
      <c r="DA96" s="48"/>
      <c r="DB96" s="48"/>
      <c r="DC96" s="48"/>
      <c r="DD96" s="48"/>
      <c r="DE96" s="48"/>
      <c r="DF96" s="48"/>
      <c r="DG96" s="48"/>
      <c r="DH96" s="48"/>
      <c r="DI96" s="48"/>
      <c r="DJ96" s="48"/>
      <c r="DK96" s="48"/>
      <c r="DL96" s="48"/>
      <c r="DM96" s="48"/>
      <c r="DN96" s="48"/>
      <c r="DO96" s="48"/>
      <c r="DP96" s="48"/>
    </row>
    <row r="97" spans="2:120" x14ac:dyDescent="0.2">
      <c r="B97" s="48"/>
      <c r="C97" s="144"/>
      <c r="D97" s="48"/>
      <c r="E97" s="48"/>
      <c r="F97" s="48"/>
      <c r="G97" s="48"/>
      <c r="H97" s="48"/>
      <c r="I97" s="48"/>
      <c r="J97" s="48"/>
      <c r="K97" s="48"/>
      <c r="L97" s="48"/>
      <c r="M97" s="48"/>
      <c r="N97" s="48"/>
      <c r="O97" s="48"/>
      <c r="P97" s="48"/>
      <c r="Q97" s="48"/>
      <c r="R97" s="48"/>
      <c r="S97" s="48"/>
      <c r="T97" s="48"/>
      <c r="U97" s="48"/>
      <c r="V97" s="48"/>
      <c r="W97" s="168" t="s">
        <v>122</v>
      </c>
      <c r="X97" s="179">
        <v>2000</v>
      </c>
      <c r="Y97" s="168"/>
      <c r="Z97" s="168"/>
      <c r="AA97" s="168"/>
      <c r="AB97" s="48"/>
      <c r="AC97" s="48"/>
      <c r="AD97" s="48"/>
      <c r="AE97" s="48"/>
      <c r="AF97" s="48"/>
      <c r="AG97" s="48"/>
      <c r="AH97" s="48"/>
      <c r="AI97" s="48"/>
      <c r="AJ97" s="48"/>
      <c r="AK97" s="48"/>
      <c r="AL97" s="48"/>
      <c r="AM97" s="48"/>
      <c r="AN97" s="48"/>
      <c r="AO97" s="48"/>
      <c r="AP97" s="48"/>
      <c r="AQ97" s="48"/>
      <c r="AR97" s="48"/>
      <c r="AS97" s="48"/>
      <c r="AT97" s="48"/>
      <c r="AU97" s="48"/>
      <c r="AV97" s="48"/>
      <c r="AW97" s="48"/>
      <c r="AX97" s="48"/>
      <c r="AY97" s="48"/>
      <c r="AZ97" s="48"/>
      <c r="BA97" s="48"/>
      <c r="BB97" s="48"/>
      <c r="BC97" s="48"/>
      <c r="BD97" s="48"/>
      <c r="BE97" s="48"/>
      <c r="BF97" s="48"/>
      <c r="BG97" s="48"/>
      <c r="BH97" s="48"/>
      <c r="BI97" s="48"/>
      <c r="BJ97" s="48"/>
      <c r="BK97" s="48"/>
      <c r="BL97" s="48"/>
      <c r="BM97" s="48"/>
      <c r="BN97" s="48"/>
      <c r="BO97" s="48"/>
      <c r="BP97" s="48"/>
      <c r="BQ97" s="48"/>
      <c r="BR97" s="48"/>
      <c r="BS97" s="48"/>
      <c r="BT97" s="144"/>
      <c r="BU97" s="144"/>
      <c r="BV97" s="144"/>
      <c r="BW97" s="144"/>
      <c r="BX97" s="144"/>
      <c r="BY97" s="48"/>
      <c r="BZ97" s="48"/>
      <c r="CA97" s="48"/>
      <c r="CB97" s="48"/>
      <c r="CC97" s="48"/>
      <c r="CD97" s="48"/>
      <c r="CE97" s="48"/>
      <c r="CF97" s="48"/>
      <c r="CG97" s="48"/>
      <c r="CH97" s="48"/>
      <c r="CI97" s="48"/>
      <c r="CJ97" s="48"/>
      <c r="CK97" s="48"/>
      <c r="CL97" s="48"/>
      <c r="CM97" s="48"/>
      <c r="CN97" s="48"/>
      <c r="CO97" s="48"/>
      <c r="CP97" s="48"/>
      <c r="CQ97" s="48"/>
      <c r="CR97" s="48"/>
      <c r="CS97" s="48"/>
      <c r="CT97" s="48"/>
      <c r="CU97" s="48"/>
      <c r="CV97" s="48"/>
      <c r="CW97" s="48"/>
      <c r="CX97" s="48"/>
      <c r="CY97" s="48"/>
      <c r="CZ97" s="48"/>
      <c r="DA97" s="48"/>
      <c r="DB97" s="48"/>
      <c r="DC97" s="48"/>
      <c r="DD97" s="48"/>
      <c r="DE97" s="48"/>
      <c r="DF97" s="48"/>
      <c r="DG97" s="48"/>
      <c r="DH97" s="48"/>
      <c r="DI97" s="48"/>
      <c r="DJ97" s="48"/>
      <c r="DK97" s="48"/>
      <c r="DL97" s="48"/>
      <c r="DM97" s="48"/>
      <c r="DN97" s="48"/>
      <c r="DO97" s="48"/>
      <c r="DP97" s="48"/>
    </row>
    <row r="98" spans="2:120" ht="25.5" x14ac:dyDescent="0.2">
      <c r="B98" s="48"/>
      <c r="C98" s="144"/>
      <c r="D98" s="48"/>
      <c r="E98" s="48"/>
      <c r="F98" s="48"/>
      <c r="G98" s="48"/>
      <c r="H98" s="48"/>
      <c r="I98" s="48"/>
      <c r="J98" s="48"/>
      <c r="K98" s="48"/>
      <c r="L98" s="48"/>
      <c r="M98" s="234"/>
      <c r="N98" s="235" t="s">
        <v>1243</v>
      </c>
      <c r="O98" s="234"/>
      <c r="P98" s="234"/>
      <c r="Q98" s="48"/>
      <c r="R98" s="48"/>
      <c r="S98" s="48"/>
      <c r="T98" s="48"/>
      <c r="U98" s="48"/>
      <c r="V98" s="48"/>
      <c r="W98" s="168" t="s">
        <v>122</v>
      </c>
      <c r="X98" s="179">
        <v>3850</v>
      </c>
      <c r="Y98" s="168"/>
      <c r="Z98" s="168"/>
      <c r="AA98" s="168"/>
      <c r="AB98" s="48"/>
      <c r="AC98" s="48"/>
      <c r="AD98" s="48"/>
      <c r="AE98" s="48"/>
      <c r="AF98" s="48"/>
      <c r="AG98" s="48"/>
      <c r="AH98" s="48"/>
      <c r="AI98" s="48"/>
      <c r="AJ98" s="48"/>
      <c r="AK98" s="48"/>
      <c r="AL98" s="48"/>
      <c r="AM98" s="48"/>
      <c r="AN98" s="48"/>
      <c r="AO98" s="48"/>
      <c r="AP98" s="48"/>
      <c r="AQ98" s="48"/>
      <c r="AR98" s="48"/>
      <c r="AS98" s="48"/>
      <c r="AT98" s="48"/>
      <c r="AU98" s="48"/>
      <c r="AV98" s="48"/>
      <c r="AW98" s="48"/>
      <c r="AX98" s="48"/>
      <c r="AY98" s="48"/>
      <c r="AZ98" s="48"/>
      <c r="BA98" s="48"/>
      <c r="BB98" s="48"/>
      <c r="BC98" s="48"/>
      <c r="BD98" s="48"/>
      <c r="BE98" s="48"/>
      <c r="BF98" s="48"/>
      <c r="BG98" s="48"/>
      <c r="BH98" s="48"/>
      <c r="BI98" s="48"/>
      <c r="BJ98" s="48"/>
      <c r="BK98" s="48"/>
      <c r="BL98" s="48"/>
      <c r="BM98" s="48"/>
      <c r="BN98" s="48"/>
      <c r="BO98" s="48"/>
      <c r="BP98" s="48"/>
      <c r="BQ98" s="48"/>
      <c r="BR98" s="48"/>
      <c r="BS98" s="48"/>
      <c r="BT98" s="144"/>
      <c r="BU98" s="144"/>
      <c r="BV98" s="144"/>
      <c r="BW98" s="144"/>
      <c r="BX98" s="144"/>
      <c r="BY98" s="48"/>
      <c r="BZ98" s="48"/>
      <c r="CA98" s="48"/>
      <c r="CB98" s="48"/>
      <c r="CC98" s="48"/>
      <c r="CD98" s="48"/>
      <c r="CE98" s="48"/>
      <c r="CF98" s="48"/>
      <c r="CG98" s="48"/>
      <c r="CH98" s="48"/>
      <c r="CI98" s="48"/>
      <c r="CJ98" s="48"/>
      <c r="CK98" s="48"/>
      <c r="CL98" s="48"/>
      <c r="CM98" s="48"/>
      <c r="CN98" s="48"/>
      <c r="CO98" s="48"/>
      <c r="CP98" s="48"/>
      <c r="CQ98" s="48"/>
      <c r="CR98" s="48"/>
      <c r="CS98" s="48"/>
      <c r="CT98" s="48"/>
      <c r="CU98" s="48"/>
      <c r="CV98" s="48"/>
      <c r="CW98" s="48"/>
      <c r="CX98" s="48"/>
      <c r="CY98" s="48"/>
      <c r="CZ98" s="48"/>
      <c r="DA98" s="48"/>
      <c r="DB98" s="48"/>
      <c r="DC98" s="48"/>
      <c r="DD98" s="48"/>
      <c r="DE98" s="48"/>
      <c r="DF98" s="48"/>
      <c r="DG98" s="48"/>
      <c r="DH98" s="48"/>
      <c r="DI98" s="48"/>
      <c r="DJ98" s="48"/>
      <c r="DK98" s="48"/>
      <c r="DL98" s="48"/>
      <c r="DM98" s="48"/>
      <c r="DN98" s="48"/>
      <c r="DO98" s="48"/>
      <c r="DP98" s="48"/>
    </row>
    <row r="99" spans="2:120" x14ac:dyDescent="0.2">
      <c r="B99" s="48"/>
      <c r="C99" s="144"/>
      <c r="D99" s="48"/>
      <c r="E99" s="48"/>
      <c r="F99" s="48"/>
      <c r="G99" s="48"/>
      <c r="H99" s="48"/>
      <c r="I99" s="48"/>
      <c r="J99" s="48"/>
      <c r="K99" s="48"/>
      <c r="L99" s="48"/>
      <c r="M99" s="234"/>
      <c r="N99" s="234"/>
      <c r="O99" s="234"/>
      <c r="P99" s="234"/>
      <c r="Q99" s="48"/>
      <c r="R99" s="48"/>
      <c r="S99" s="48"/>
      <c r="T99" s="48"/>
      <c r="U99" s="48"/>
      <c r="V99" s="48"/>
      <c r="W99" s="168" t="s">
        <v>122</v>
      </c>
      <c r="X99" s="179">
        <v>3300</v>
      </c>
      <c r="Y99" s="168"/>
      <c r="Z99" s="168"/>
      <c r="AA99" s="168"/>
      <c r="AB99" s="48"/>
      <c r="AC99" s="48"/>
      <c r="AD99" s="48"/>
      <c r="AE99" s="48"/>
      <c r="AF99" s="48"/>
      <c r="AG99" s="48"/>
      <c r="AH99" s="48"/>
      <c r="AI99" s="48"/>
      <c r="AJ99" s="48"/>
      <c r="AK99" s="48"/>
      <c r="AL99" s="48"/>
      <c r="AM99" s="48"/>
      <c r="AN99" s="48"/>
      <c r="AO99" s="48"/>
      <c r="AP99" s="48"/>
      <c r="AQ99" s="48"/>
      <c r="AR99" s="48"/>
      <c r="AS99" s="48"/>
      <c r="AT99" s="48"/>
      <c r="AU99" s="48"/>
      <c r="AV99" s="48"/>
      <c r="AW99" s="48"/>
      <c r="AX99" s="48"/>
      <c r="AY99" s="48"/>
      <c r="AZ99" s="48"/>
      <c r="BA99" s="48"/>
      <c r="BB99" s="48"/>
      <c r="BC99" s="48"/>
      <c r="BD99" s="48"/>
      <c r="BE99" s="48"/>
      <c r="BF99" s="48"/>
      <c r="BG99" s="48"/>
      <c r="BH99" s="48"/>
      <c r="BI99" s="48"/>
      <c r="BJ99" s="48"/>
      <c r="BK99" s="48"/>
      <c r="BL99" s="48"/>
      <c r="BM99" s="48"/>
      <c r="BN99" s="48"/>
      <c r="BO99" s="48"/>
      <c r="BP99" s="48"/>
      <c r="BQ99" s="48"/>
      <c r="BR99" s="48"/>
      <c r="BS99" s="48"/>
      <c r="BT99" s="144"/>
      <c r="BU99" s="144"/>
      <c r="BV99" s="144"/>
      <c r="BW99" s="144"/>
      <c r="BX99" s="144"/>
      <c r="BY99" s="48"/>
      <c r="BZ99" s="48"/>
      <c r="CA99" s="48"/>
      <c r="CB99" s="48"/>
      <c r="CC99" s="48"/>
      <c r="CD99" s="48"/>
      <c r="CE99" s="48"/>
      <c r="CF99" s="48"/>
      <c r="CG99" s="48"/>
      <c r="CH99" s="48"/>
      <c r="CI99" s="48"/>
      <c r="CJ99" s="48"/>
      <c r="CK99" s="48"/>
      <c r="CL99" s="48"/>
      <c r="CM99" s="48"/>
      <c r="CN99" s="48"/>
      <c r="CO99" s="48"/>
      <c r="CP99" s="48"/>
      <c r="CQ99" s="48"/>
      <c r="CR99" s="48"/>
      <c r="CS99" s="48"/>
      <c r="CT99" s="48"/>
      <c r="CU99" s="48"/>
      <c r="CV99" s="48"/>
      <c r="CW99" s="48"/>
      <c r="CX99" s="48"/>
      <c r="CY99" s="48"/>
      <c r="CZ99" s="48"/>
      <c r="DA99" s="48"/>
      <c r="DB99" s="48"/>
      <c r="DC99" s="48"/>
      <c r="DD99" s="48"/>
      <c r="DE99" s="48"/>
      <c r="DF99" s="48"/>
      <c r="DG99" s="48"/>
      <c r="DH99" s="48"/>
      <c r="DI99" s="48"/>
      <c r="DJ99" s="48"/>
      <c r="DK99" s="48"/>
      <c r="DL99" s="48"/>
      <c r="DM99" s="48"/>
      <c r="DN99" s="48"/>
      <c r="DO99" s="48"/>
      <c r="DP99" s="48"/>
    </row>
    <row r="100" spans="2:120" x14ac:dyDescent="0.2">
      <c r="B100" s="48"/>
      <c r="C100" s="144"/>
      <c r="D100" s="48"/>
      <c r="E100" s="48"/>
      <c r="F100" s="48"/>
      <c r="G100" s="48"/>
      <c r="H100" s="48"/>
      <c r="I100" s="48"/>
      <c r="J100" s="48"/>
      <c r="K100" s="48"/>
      <c r="L100" s="48"/>
      <c r="M100" s="234"/>
      <c r="N100" s="234"/>
      <c r="O100" s="234"/>
      <c r="P100" s="234"/>
      <c r="Q100" s="48"/>
      <c r="R100" s="48"/>
      <c r="S100" s="48"/>
      <c r="T100" s="48"/>
      <c r="U100" s="48"/>
      <c r="V100" s="48"/>
      <c r="W100" s="168" t="s">
        <v>122</v>
      </c>
      <c r="X100" s="179">
        <v>3500</v>
      </c>
      <c r="Y100" s="168"/>
      <c r="Z100" s="168"/>
      <c r="AA100" s="168"/>
      <c r="AB100" s="48"/>
      <c r="AC100" s="48"/>
      <c r="AD100" s="48"/>
      <c r="AE100" s="48"/>
      <c r="AF100" s="48"/>
      <c r="AG100" s="48"/>
      <c r="AH100" s="48"/>
      <c r="AI100" s="48"/>
      <c r="AJ100" s="48"/>
      <c r="AK100" s="48"/>
      <c r="AL100" s="48"/>
      <c r="AM100" s="48"/>
      <c r="AN100" s="48"/>
      <c r="AO100" s="48"/>
      <c r="AP100" s="48"/>
      <c r="AQ100" s="48"/>
      <c r="AR100" s="48"/>
      <c r="AS100" s="48"/>
      <c r="AT100" s="48"/>
      <c r="AU100" s="48"/>
      <c r="AV100" s="48"/>
      <c r="AW100" s="48"/>
      <c r="AX100" s="48"/>
      <c r="AY100" s="48"/>
      <c r="AZ100" s="48"/>
      <c r="BA100" s="48"/>
      <c r="BB100" s="48"/>
      <c r="BC100" s="48"/>
      <c r="BD100" s="48"/>
      <c r="BE100" s="48"/>
      <c r="BF100" s="48"/>
      <c r="BG100" s="48"/>
      <c r="BH100" s="48"/>
      <c r="BI100" s="48"/>
      <c r="BJ100" s="48"/>
      <c r="BK100" s="48"/>
      <c r="BL100" s="48"/>
      <c r="BM100" s="48"/>
      <c r="BN100" s="48"/>
      <c r="BO100" s="48"/>
      <c r="BP100" s="48"/>
      <c r="BQ100" s="48"/>
      <c r="BR100" s="48"/>
      <c r="BS100" s="48"/>
      <c r="BT100" s="144"/>
      <c r="BU100" s="144"/>
      <c r="BV100" s="144"/>
      <c r="BW100" s="144"/>
      <c r="BX100" s="144"/>
      <c r="BY100" s="48"/>
      <c r="BZ100" s="48"/>
      <c r="CA100" s="48"/>
      <c r="CB100" s="48"/>
      <c r="CC100" s="48"/>
      <c r="CD100" s="48"/>
      <c r="CE100" s="48"/>
      <c r="CF100" s="48"/>
      <c r="CG100" s="48"/>
      <c r="CH100" s="48"/>
      <c r="CI100" s="48"/>
      <c r="CJ100" s="48"/>
      <c r="CK100" s="48"/>
      <c r="CL100" s="48"/>
      <c r="CM100" s="48"/>
      <c r="CN100" s="48"/>
      <c r="CO100" s="48"/>
      <c r="CP100" s="48"/>
      <c r="CQ100" s="48"/>
      <c r="CR100" s="48"/>
      <c r="CS100" s="48"/>
      <c r="CT100" s="48"/>
      <c r="CU100" s="48"/>
      <c r="CV100" s="48"/>
      <c r="CW100" s="48"/>
      <c r="CX100" s="48"/>
      <c r="CY100" s="48"/>
      <c r="CZ100" s="48"/>
      <c r="DA100" s="48"/>
      <c r="DB100" s="48"/>
      <c r="DC100" s="48"/>
      <c r="DD100" s="48"/>
      <c r="DE100" s="48"/>
      <c r="DF100" s="48"/>
      <c r="DG100" s="48"/>
      <c r="DH100" s="48"/>
      <c r="DI100" s="48"/>
      <c r="DJ100" s="48"/>
      <c r="DK100" s="48"/>
      <c r="DL100" s="48"/>
      <c r="DM100" s="48"/>
      <c r="DN100" s="48"/>
      <c r="DO100" s="48"/>
      <c r="DP100" s="48"/>
    </row>
    <row r="101" spans="2:120" x14ac:dyDescent="0.2">
      <c r="B101" s="48"/>
      <c r="C101" s="144"/>
      <c r="D101" s="48"/>
      <c r="E101" s="48"/>
      <c r="F101" s="48"/>
      <c r="G101" s="48"/>
      <c r="H101" s="48"/>
      <c r="I101" s="48"/>
      <c r="J101" s="48"/>
      <c r="K101" s="48"/>
      <c r="L101" s="48"/>
      <c r="M101" s="234"/>
      <c r="N101" s="236" t="str">
        <f>$S$7</f>
        <v>Bacharelado em Engenharia Civil</v>
      </c>
      <c r="O101" s="234"/>
      <c r="P101" s="234"/>
      <c r="Q101" s="48"/>
      <c r="R101" s="48"/>
      <c r="S101" s="48"/>
      <c r="T101" s="48"/>
      <c r="U101" s="48"/>
      <c r="V101" s="48"/>
      <c r="W101" s="168" t="s">
        <v>122</v>
      </c>
      <c r="X101" s="179">
        <v>954</v>
      </c>
      <c r="Y101" s="168"/>
      <c r="Z101" s="168"/>
      <c r="AA101" s="168"/>
      <c r="AB101" s="48"/>
      <c r="AC101" s="48"/>
      <c r="AD101" s="48"/>
      <c r="AE101" s="48"/>
      <c r="AF101" s="48"/>
      <c r="AG101" s="48"/>
      <c r="AH101" s="48"/>
      <c r="AI101" s="48"/>
      <c r="AJ101" s="48"/>
      <c r="AK101" s="48"/>
      <c r="AL101" s="48"/>
      <c r="AM101" s="48"/>
      <c r="AN101" s="48"/>
      <c r="AO101" s="48"/>
      <c r="AP101" s="48"/>
      <c r="AQ101" s="48"/>
      <c r="AR101" s="48"/>
      <c r="AS101" s="48"/>
      <c r="AT101" s="48"/>
      <c r="AU101" s="48"/>
      <c r="AV101" s="48"/>
      <c r="AW101" s="48"/>
      <c r="AX101" s="48"/>
      <c r="AY101" s="48"/>
      <c r="AZ101" s="48"/>
      <c r="BA101" s="48"/>
      <c r="BB101" s="48"/>
      <c r="BC101" s="48"/>
      <c r="BD101" s="48"/>
      <c r="BE101" s="48"/>
      <c r="BF101" s="48"/>
      <c r="BG101" s="48"/>
      <c r="BH101" s="48"/>
      <c r="BI101" s="48"/>
      <c r="BJ101" s="48"/>
      <c r="BK101" s="48"/>
      <c r="BL101" s="48"/>
      <c r="BM101" s="48"/>
      <c r="BN101" s="48"/>
      <c r="BO101" s="48"/>
      <c r="BP101" s="48"/>
      <c r="BQ101" s="48"/>
      <c r="BR101" s="48"/>
      <c r="BS101" s="48"/>
      <c r="BT101" s="144"/>
      <c r="BU101" s="144"/>
      <c r="BV101" s="144"/>
      <c r="BW101" s="144"/>
      <c r="BX101" s="144"/>
      <c r="BY101" s="48"/>
      <c r="BZ101" s="48"/>
      <c r="CA101" s="48"/>
      <c r="CB101" s="48"/>
      <c r="CC101" s="48"/>
      <c r="CD101" s="48"/>
      <c r="CE101" s="48"/>
      <c r="CF101" s="48"/>
      <c r="CG101" s="48"/>
      <c r="CH101" s="48"/>
      <c r="CI101" s="48"/>
      <c r="CJ101" s="48"/>
      <c r="CK101" s="48"/>
      <c r="CL101" s="48"/>
      <c r="CM101" s="48"/>
      <c r="CN101" s="48"/>
      <c r="CO101" s="48"/>
      <c r="CP101" s="48"/>
      <c r="CQ101" s="48"/>
      <c r="CR101" s="48"/>
      <c r="CS101" s="48"/>
      <c r="CT101" s="48"/>
      <c r="CU101" s="48"/>
      <c r="CV101" s="48"/>
      <c r="CW101" s="48"/>
      <c r="CX101" s="48"/>
      <c r="CY101" s="48"/>
      <c r="CZ101" s="48"/>
      <c r="DA101" s="48"/>
      <c r="DB101" s="48"/>
      <c r="DC101" s="48"/>
      <c r="DD101" s="48"/>
      <c r="DE101" s="48"/>
      <c r="DF101" s="48"/>
      <c r="DG101" s="48"/>
      <c r="DH101" s="48"/>
      <c r="DI101" s="48"/>
      <c r="DJ101" s="48"/>
      <c r="DK101" s="48"/>
      <c r="DL101" s="48"/>
      <c r="DM101" s="48"/>
      <c r="DN101" s="48"/>
      <c r="DO101" s="48"/>
      <c r="DP101" s="48"/>
    </row>
    <row r="102" spans="2:120" x14ac:dyDescent="0.2">
      <c r="B102" s="48"/>
      <c r="C102" s="144"/>
      <c r="D102" s="48"/>
      <c r="E102" s="48"/>
      <c r="F102" s="48"/>
      <c r="G102" s="48"/>
      <c r="H102" s="48"/>
      <c r="I102" s="48"/>
      <c r="J102" s="48"/>
      <c r="K102" s="48"/>
      <c r="L102" s="48"/>
      <c r="M102" s="237" t="s">
        <v>931</v>
      </c>
      <c r="N102" s="237" t="s">
        <v>1242</v>
      </c>
      <c r="O102" s="237" t="s">
        <v>131</v>
      </c>
      <c r="P102" s="237" t="s">
        <v>132</v>
      </c>
      <c r="Q102" s="48"/>
      <c r="R102" s="48"/>
      <c r="S102" s="48"/>
      <c r="T102" s="48"/>
      <c r="U102" s="48"/>
      <c r="V102" s="48"/>
      <c r="W102" s="168" t="s">
        <v>122</v>
      </c>
      <c r="X102" s="179">
        <v>3916</v>
      </c>
      <c r="Y102" s="168"/>
      <c r="Z102" s="168"/>
      <c r="AA102" s="168"/>
      <c r="AB102" s="48"/>
      <c r="AC102" s="48"/>
      <c r="AD102" s="48"/>
      <c r="AE102" s="48"/>
      <c r="AF102" s="48"/>
      <c r="AG102" s="48"/>
      <c r="AH102" s="48"/>
      <c r="AI102" s="48"/>
      <c r="AJ102" s="48"/>
      <c r="AK102" s="48"/>
      <c r="AL102" s="48"/>
      <c r="AM102" s="48"/>
      <c r="AN102" s="48"/>
      <c r="AO102" s="48"/>
      <c r="AP102" s="48"/>
      <c r="AQ102" s="48"/>
      <c r="AR102" s="48"/>
      <c r="AS102" s="48"/>
      <c r="AT102" s="48"/>
      <c r="AU102" s="48"/>
      <c r="AV102" s="48"/>
      <c r="AW102" s="48"/>
      <c r="AX102" s="48"/>
      <c r="AY102" s="48"/>
      <c r="AZ102" s="48"/>
      <c r="BA102" s="48"/>
      <c r="BB102" s="48"/>
      <c r="BC102" s="48"/>
      <c r="BD102" s="48"/>
      <c r="BE102" s="48"/>
      <c r="BF102" s="48"/>
      <c r="BG102" s="48"/>
      <c r="BH102" s="48"/>
      <c r="BI102" s="48"/>
      <c r="BJ102" s="48"/>
      <c r="BK102" s="48"/>
      <c r="BL102" s="48"/>
      <c r="BM102" s="48"/>
      <c r="BN102" s="48"/>
      <c r="BO102" s="48"/>
      <c r="BP102" s="48"/>
      <c r="BQ102" s="48"/>
      <c r="BR102" s="48"/>
      <c r="BS102" s="48"/>
      <c r="BT102" s="144"/>
      <c r="BU102" s="144"/>
      <c r="BV102" s="144"/>
      <c r="BW102" s="144"/>
      <c r="BX102" s="144"/>
      <c r="BY102" s="48"/>
      <c r="BZ102" s="48"/>
      <c r="CA102" s="48"/>
      <c r="CB102" s="48"/>
      <c r="CC102" s="48"/>
      <c r="CD102" s="48"/>
      <c r="CE102" s="48"/>
      <c r="CF102" s="48"/>
      <c r="CG102" s="48"/>
      <c r="CH102" s="48"/>
      <c r="CI102" s="48"/>
      <c r="CJ102" s="48"/>
      <c r="CK102" s="48"/>
      <c r="CL102" s="48"/>
      <c r="CM102" s="48"/>
      <c r="CN102" s="48"/>
      <c r="CO102" s="48"/>
      <c r="CP102" s="48"/>
      <c r="CQ102" s="48"/>
      <c r="CR102" s="48"/>
      <c r="CS102" s="48"/>
      <c r="CT102" s="48"/>
      <c r="CU102" s="48"/>
      <c r="CV102" s="48"/>
      <c r="CW102" s="48"/>
      <c r="CX102" s="48"/>
      <c r="CY102" s="48"/>
      <c r="CZ102" s="48"/>
      <c r="DA102" s="48"/>
      <c r="DB102" s="48"/>
      <c r="DC102" s="48"/>
      <c r="DD102" s="48"/>
      <c r="DE102" s="48"/>
      <c r="DF102" s="48"/>
      <c r="DG102" s="48"/>
      <c r="DH102" s="48"/>
      <c r="DI102" s="48"/>
      <c r="DJ102" s="48"/>
      <c r="DK102" s="48"/>
      <c r="DL102" s="48"/>
      <c r="DM102" s="48"/>
      <c r="DN102" s="48"/>
      <c r="DO102" s="48"/>
      <c r="DP102" s="48"/>
    </row>
    <row r="103" spans="2:120" x14ac:dyDescent="0.2">
      <c r="B103" s="48"/>
      <c r="C103" s="144"/>
      <c r="D103" s="48"/>
      <c r="E103" s="48"/>
      <c r="F103" s="48"/>
      <c r="G103" s="48"/>
      <c r="H103" s="48"/>
      <c r="I103" s="48"/>
      <c r="J103" s="48"/>
      <c r="K103" s="48"/>
      <c r="L103" s="48"/>
      <c r="M103" s="238">
        <v>1</v>
      </c>
      <c r="N103" s="234" t="s">
        <v>388</v>
      </c>
      <c r="O103" s="239">
        <f>COUNTIFS(Tabulacao!$CY:$CY,EmpAtual!$N$101,Tabulacao!$DA:$DA,EmpAtual!N103)</f>
        <v>1</v>
      </c>
      <c r="P103" s="240">
        <f>IFERROR(O103/$O$189,"-")</f>
        <v>4.3478260869565216E-2</v>
      </c>
      <c r="Q103" s="48"/>
      <c r="R103" s="48"/>
      <c r="S103" s="48"/>
      <c r="T103" s="48"/>
      <c r="U103" s="48"/>
      <c r="V103" s="48"/>
      <c r="W103" s="168" t="s">
        <v>122</v>
      </c>
      <c r="X103" s="179">
        <v>3400</v>
      </c>
      <c r="Y103" s="168"/>
      <c r="Z103" s="168"/>
      <c r="AA103" s="168"/>
      <c r="AB103" s="48"/>
      <c r="AC103" s="48"/>
      <c r="AD103" s="48"/>
      <c r="AE103" s="48"/>
      <c r="AF103" s="48"/>
      <c r="AG103" s="48"/>
      <c r="AH103" s="48"/>
      <c r="AI103" s="48"/>
      <c r="AJ103" s="48"/>
      <c r="AK103" s="48"/>
      <c r="AL103" s="48"/>
      <c r="AM103" s="48"/>
      <c r="AN103" s="48"/>
      <c r="AO103" s="48"/>
      <c r="AP103" s="48"/>
      <c r="AQ103" s="48"/>
      <c r="AR103" s="48"/>
      <c r="AS103" s="48"/>
      <c r="AT103" s="48"/>
      <c r="AU103" s="48"/>
      <c r="AV103" s="48"/>
      <c r="AW103" s="48"/>
      <c r="AX103" s="48"/>
      <c r="AY103" s="48"/>
      <c r="AZ103" s="48"/>
      <c r="BA103" s="48"/>
      <c r="BB103" s="48"/>
      <c r="BC103" s="48"/>
      <c r="BD103" s="48"/>
      <c r="BE103" s="48"/>
      <c r="BF103" s="48"/>
      <c r="BG103" s="48"/>
      <c r="BH103" s="48"/>
      <c r="BI103" s="48"/>
      <c r="BJ103" s="48"/>
      <c r="BK103" s="48"/>
      <c r="BL103" s="48"/>
      <c r="BM103" s="48"/>
      <c r="BN103" s="48"/>
      <c r="BO103" s="48"/>
      <c r="BP103" s="48"/>
      <c r="BQ103" s="48"/>
      <c r="BR103" s="48"/>
      <c r="BS103" s="48"/>
      <c r="BT103" s="144"/>
      <c r="BU103" s="144"/>
      <c r="BV103" s="144"/>
      <c r="BW103" s="144"/>
      <c r="BX103" s="144"/>
      <c r="BY103" s="48"/>
      <c r="BZ103" s="48"/>
      <c r="CA103" s="48"/>
      <c r="CB103" s="48"/>
      <c r="CC103" s="48"/>
      <c r="CD103" s="48"/>
      <c r="CE103" s="48"/>
      <c r="CF103" s="48"/>
      <c r="CG103" s="48"/>
      <c r="CH103" s="48"/>
      <c r="CI103" s="48"/>
      <c r="CJ103" s="48"/>
      <c r="CK103" s="48"/>
      <c r="CL103" s="48"/>
      <c r="CM103" s="48"/>
      <c r="CN103" s="48"/>
      <c r="CO103" s="48"/>
      <c r="CP103" s="48"/>
      <c r="CQ103" s="48"/>
      <c r="CR103" s="48"/>
      <c r="CS103" s="48"/>
      <c r="CT103" s="48"/>
      <c r="CU103" s="48"/>
      <c r="CV103" s="48"/>
      <c r="CW103" s="48"/>
      <c r="CX103" s="48"/>
      <c r="CY103" s="48"/>
      <c r="CZ103" s="48"/>
      <c r="DA103" s="48"/>
      <c r="DB103" s="48"/>
      <c r="DC103" s="48"/>
      <c r="DD103" s="48"/>
      <c r="DE103" s="48"/>
      <c r="DF103" s="48"/>
      <c r="DG103" s="48"/>
      <c r="DH103" s="48"/>
      <c r="DI103" s="48"/>
      <c r="DJ103" s="48"/>
      <c r="DK103" s="48"/>
      <c r="DL103" s="48"/>
      <c r="DM103" s="48"/>
      <c r="DN103" s="48"/>
      <c r="DO103" s="48"/>
      <c r="DP103" s="48"/>
    </row>
    <row r="104" spans="2:120" x14ac:dyDescent="0.2">
      <c r="B104" s="48"/>
      <c r="C104" s="144"/>
      <c r="D104" s="48"/>
      <c r="E104" s="48"/>
      <c r="F104" s="48"/>
      <c r="G104" s="48"/>
      <c r="H104" s="48"/>
      <c r="I104" s="48"/>
      <c r="J104" s="48"/>
      <c r="K104" s="48"/>
      <c r="L104" s="48"/>
      <c r="M104" s="238">
        <v>2</v>
      </c>
      <c r="N104" s="234" t="s">
        <v>424</v>
      </c>
      <c r="O104" s="239">
        <f>COUNTIFS(Tabulacao!$CY:$CY,EmpAtual!$N$101,Tabulacao!$DA:$DA,EmpAtual!N104)</f>
        <v>14</v>
      </c>
      <c r="P104" s="240">
        <f t="shared" ref="P104:P167" si="72">IFERROR(O104/$O$189,"-")</f>
        <v>0.60869565217391308</v>
      </c>
      <c r="Q104" s="48"/>
      <c r="R104" s="48"/>
      <c r="S104" s="48"/>
      <c r="T104" s="48"/>
      <c r="U104" s="48"/>
      <c r="V104" s="48"/>
      <c r="W104" s="168" t="s">
        <v>122</v>
      </c>
      <c r="X104" s="179">
        <v>900</v>
      </c>
      <c r="Y104" s="168"/>
      <c r="Z104" s="168"/>
      <c r="AA104" s="168"/>
      <c r="AB104" s="48"/>
      <c r="AC104" s="48"/>
      <c r="AD104" s="48"/>
      <c r="AE104" s="48"/>
      <c r="AF104" s="48"/>
      <c r="AG104" s="48"/>
      <c r="AH104" s="48"/>
      <c r="AI104" s="48"/>
      <c r="AJ104" s="48"/>
      <c r="AK104" s="48"/>
      <c r="AL104" s="48"/>
      <c r="AM104" s="48"/>
      <c r="AN104" s="48"/>
      <c r="AO104" s="48"/>
      <c r="AP104" s="48"/>
      <c r="AQ104" s="48"/>
      <c r="AR104" s="48"/>
      <c r="AS104" s="48"/>
      <c r="AT104" s="48"/>
      <c r="AU104" s="48"/>
      <c r="AV104" s="48"/>
      <c r="AW104" s="48"/>
      <c r="AX104" s="48"/>
      <c r="AY104" s="48"/>
      <c r="AZ104" s="48"/>
      <c r="BA104" s="48"/>
      <c r="BB104" s="48"/>
      <c r="BC104" s="48"/>
      <c r="BD104" s="48"/>
      <c r="BE104" s="48"/>
      <c r="BF104" s="48"/>
      <c r="BG104" s="48"/>
      <c r="BH104" s="48"/>
      <c r="BI104" s="48"/>
      <c r="BJ104" s="48"/>
      <c r="BK104" s="48"/>
      <c r="BL104" s="48"/>
      <c r="BM104" s="48"/>
      <c r="BN104" s="48"/>
      <c r="BO104" s="48"/>
      <c r="BP104" s="48"/>
      <c r="BQ104" s="48"/>
      <c r="BR104" s="48"/>
      <c r="BS104" s="48"/>
      <c r="BT104" s="144"/>
      <c r="BU104" s="144"/>
      <c r="BV104" s="144"/>
      <c r="BW104" s="144"/>
      <c r="BX104" s="144"/>
      <c r="BY104" s="48"/>
      <c r="BZ104" s="48"/>
      <c r="CA104" s="48"/>
      <c r="CB104" s="48"/>
      <c r="CC104" s="48"/>
      <c r="CD104" s="48"/>
      <c r="CE104" s="48"/>
      <c r="CF104" s="48"/>
      <c r="CG104" s="48"/>
      <c r="CH104" s="48"/>
      <c r="CI104" s="48"/>
      <c r="CJ104" s="48"/>
      <c r="CK104" s="48"/>
      <c r="CL104" s="48"/>
      <c r="CM104" s="48"/>
      <c r="CN104" s="48"/>
      <c r="CO104" s="48"/>
      <c r="CP104" s="48"/>
      <c r="CQ104" s="48"/>
      <c r="CR104" s="48"/>
      <c r="CS104" s="48"/>
      <c r="CT104" s="48"/>
      <c r="CU104" s="48"/>
      <c r="CV104" s="48"/>
      <c r="CW104" s="48"/>
      <c r="CX104" s="48"/>
      <c r="CY104" s="48"/>
      <c r="CZ104" s="48"/>
      <c r="DA104" s="48"/>
      <c r="DB104" s="48"/>
      <c r="DC104" s="48"/>
      <c r="DD104" s="48"/>
      <c r="DE104" s="48"/>
      <c r="DF104" s="48"/>
      <c r="DG104" s="48"/>
      <c r="DH104" s="48"/>
      <c r="DI104" s="48"/>
      <c r="DJ104" s="48"/>
      <c r="DK104" s="48"/>
      <c r="DL104" s="48"/>
      <c r="DM104" s="48"/>
      <c r="DN104" s="48"/>
      <c r="DO104" s="48"/>
      <c r="DP104" s="48"/>
    </row>
    <row r="105" spans="2:120" x14ac:dyDescent="0.2">
      <c r="B105" s="48"/>
      <c r="C105" s="144"/>
      <c r="D105" s="48"/>
      <c r="E105" s="48"/>
      <c r="F105" s="48"/>
      <c r="G105" s="48"/>
      <c r="H105" s="48"/>
      <c r="I105" s="48"/>
      <c r="J105" s="48"/>
      <c r="K105" s="48"/>
      <c r="L105" s="48"/>
      <c r="M105" s="238">
        <v>3</v>
      </c>
      <c r="N105" s="234" t="s">
        <v>298</v>
      </c>
      <c r="O105" s="239">
        <f>COUNTIFS(Tabulacao!$CY:$CY,EmpAtual!$N$101,Tabulacao!$DA:$DA,EmpAtual!N105)</f>
        <v>0</v>
      </c>
      <c r="P105" s="240">
        <f t="shared" si="72"/>
        <v>0</v>
      </c>
      <c r="Q105" s="48"/>
      <c r="R105" s="48"/>
      <c r="S105" s="48"/>
      <c r="T105" s="48"/>
      <c r="U105" s="48"/>
      <c r="V105" s="48"/>
      <c r="W105" s="168" t="s">
        <v>122</v>
      </c>
      <c r="X105" s="179">
        <v>819</v>
      </c>
      <c r="Y105" s="168"/>
      <c r="Z105" s="168"/>
      <c r="AA105" s="168"/>
      <c r="AB105" s="48"/>
      <c r="AC105" s="48"/>
      <c r="AD105" s="48"/>
      <c r="AE105" s="48"/>
      <c r="AF105" s="48"/>
      <c r="AG105" s="48"/>
      <c r="AH105" s="48"/>
      <c r="AI105" s="48"/>
      <c r="AJ105" s="48"/>
      <c r="AK105" s="48"/>
      <c r="AL105" s="48"/>
      <c r="AM105" s="48"/>
      <c r="AN105" s="48"/>
      <c r="AO105" s="48"/>
      <c r="AP105" s="48"/>
      <c r="AQ105" s="48"/>
      <c r="AR105" s="48"/>
      <c r="AS105" s="48"/>
      <c r="AT105" s="48"/>
      <c r="AU105" s="48"/>
      <c r="AV105" s="48"/>
      <c r="AW105" s="48"/>
      <c r="AX105" s="48"/>
      <c r="AY105" s="48"/>
      <c r="AZ105" s="48"/>
      <c r="BA105" s="48"/>
      <c r="BB105" s="48"/>
      <c r="BC105" s="48"/>
      <c r="BD105" s="48"/>
      <c r="BE105" s="48"/>
      <c r="BF105" s="48"/>
      <c r="BG105" s="48"/>
      <c r="BH105" s="48"/>
      <c r="BI105" s="48"/>
      <c r="BJ105" s="48"/>
      <c r="BK105" s="48"/>
      <c r="BL105" s="48"/>
      <c r="BM105" s="48"/>
      <c r="BN105" s="48"/>
      <c r="BO105" s="48"/>
      <c r="BP105" s="48"/>
      <c r="BQ105" s="48"/>
      <c r="BR105" s="48"/>
      <c r="BS105" s="48"/>
      <c r="BT105" s="144"/>
      <c r="BU105" s="144"/>
      <c r="BV105" s="144"/>
      <c r="BW105" s="144"/>
      <c r="BX105" s="144"/>
      <c r="BY105" s="48"/>
      <c r="BZ105" s="48"/>
      <c r="CA105" s="48"/>
      <c r="CB105" s="48"/>
      <c r="CC105" s="48"/>
      <c r="CD105" s="48"/>
      <c r="CE105" s="48"/>
      <c r="CF105" s="48"/>
      <c r="CG105" s="48"/>
      <c r="CH105" s="48"/>
      <c r="CI105" s="48"/>
      <c r="CJ105" s="48"/>
      <c r="CK105" s="48"/>
      <c r="CL105" s="48"/>
      <c r="CM105" s="48"/>
      <c r="CN105" s="48"/>
      <c r="CO105" s="48"/>
      <c r="CP105" s="48"/>
      <c r="CQ105" s="48"/>
      <c r="CR105" s="48"/>
      <c r="CS105" s="48"/>
      <c r="CT105" s="48"/>
      <c r="CU105" s="48"/>
      <c r="CV105" s="48"/>
      <c r="CW105" s="48"/>
      <c r="CX105" s="48"/>
      <c r="CY105" s="48"/>
      <c r="CZ105" s="48"/>
      <c r="DA105" s="48"/>
      <c r="DB105" s="48"/>
      <c r="DC105" s="48"/>
      <c r="DD105" s="48"/>
      <c r="DE105" s="48"/>
      <c r="DF105" s="48"/>
      <c r="DG105" s="48"/>
      <c r="DH105" s="48"/>
      <c r="DI105" s="48"/>
      <c r="DJ105" s="48"/>
      <c r="DK105" s="48"/>
      <c r="DL105" s="48"/>
      <c r="DM105" s="48"/>
      <c r="DN105" s="48"/>
      <c r="DO105" s="48"/>
      <c r="DP105" s="48"/>
    </row>
    <row r="106" spans="2:120" x14ac:dyDescent="0.2">
      <c r="B106" s="48"/>
      <c r="C106" s="144"/>
      <c r="D106" s="48"/>
      <c r="E106" s="48"/>
      <c r="F106" s="48"/>
      <c r="G106" s="48"/>
      <c r="H106" s="48"/>
      <c r="I106" s="48"/>
      <c r="J106" s="48"/>
      <c r="K106" s="48"/>
      <c r="L106" s="48"/>
      <c r="M106" s="238">
        <v>4</v>
      </c>
      <c r="N106" s="234" t="s">
        <v>530</v>
      </c>
      <c r="O106" s="239">
        <f>COUNTIFS(Tabulacao!$CY:$CY,EmpAtual!$N$101,Tabulacao!$DA:$DA,EmpAtual!N106)</f>
        <v>0</v>
      </c>
      <c r="P106" s="240">
        <f t="shared" si="72"/>
        <v>0</v>
      </c>
      <c r="Q106" s="48"/>
      <c r="R106" s="48"/>
      <c r="S106" s="48"/>
      <c r="T106" s="48"/>
      <c r="U106" s="48"/>
      <c r="V106" s="48"/>
      <c r="W106" s="168" t="s">
        <v>122</v>
      </c>
      <c r="X106" s="179">
        <v>1600</v>
      </c>
      <c r="Y106" s="168"/>
      <c r="Z106" s="168"/>
      <c r="AA106" s="168"/>
      <c r="AB106" s="48"/>
      <c r="AC106" s="48"/>
      <c r="AD106" s="48"/>
      <c r="AE106" s="48"/>
      <c r="AF106" s="48"/>
      <c r="AG106" s="48"/>
      <c r="AH106" s="48"/>
      <c r="AI106" s="48"/>
      <c r="AJ106" s="48"/>
      <c r="AK106" s="48"/>
      <c r="AL106" s="48"/>
      <c r="AM106" s="48"/>
      <c r="AN106" s="48"/>
      <c r="AO106" s="48"/>
      <c r="AP106" s="48"/>
      <c r="AQ106" s="48"/>
      <c r="AR106" s="48"/>
      <c r="AS106" s="48"/>
      <c r="AT106" s="48"/>
      <c r="AU106" s="48"/>
      <c r="AV106" s="48"/>
      <c r="AW106" s="48"/>
      <c r="AX106" s="48"/>
      <c r="AY106" s="48"/>
      <c r="AZ106" s="48"/>
      <c r="BA106" s="48"/>
      <c r="BB106" s="48"/>
      <c r="BC106" s="48"/>
      <c r="BD106" s="48"/>
      <c r="BE106" s="48"/>
      <c r="BF106" s="48"/>
      <c r="BG106" s="48"/>
      <c r="BH106" s="48"/>
      <c r="BI106" s="48"/>
      <c r="BJ106" s="48"/>
      <c r="BK106" s="48"/>
      <c r="BL106" s="48"/>
      <c r="BM106" s="48"/>
      <c r="BN106" s="48"/>
      <c r="BO106" s="48"/>
      <c r="BP106" s="48"/>
      <c r="BQ106" s="48"/>
      <c r="BR106" s="48"/>
      <c r="BS106" s="48"/>
      <c r="BT106" s="144"/>
      <c r="BU106" s="144"/>
      <c r="BV106" s="144"/>
      <c r="BW106" s="144"/>
      <c r="BX106" s="144"/>
      <c r="BY106" s="48"/>
      <c r="BZ106" s="48"/>
      <c r="CA106" s="48"/>
      <c r="CB106" s="48"/>
      <c r="CC106" s="48"/>
      <c r="CD106" s="48"/>
      <c r="CE106" s="48"/>
      <c r="CF106" s="48"/>
      <c r="CG106" s="48"/>
      <c r="CH106" s="48"/>
      <c r="CI106" s="48"/>
      <c r="CJ106" s="48"/>
      <c r="CK106" s="48"/>
      <c r="CL106" s="48"/>
      <c r="CM106" s="48"/>
      <c r="CN106" s="48"/>
      <c r="CO106" s="48"/>
      <c r="CP106" s="48"/>
      <c r="CQ106" s="48"/>
      <c r="CR106" s="48"/>
      <c r="CS106" s="48"/>
      <c r="CT106" s="48"/>
      <c r="CU106" s="48"/>
      <c r="CV106" s="48"/>
      <c r="CW106" s="48"/>
      <c r="CX106" s="48"/>
      <c r="CY106" s="48"/>
      <c r="CZ106" s="48"/>
      <c r="DA106" s="48"/>
      <c r="DB106" s="48"/>
      <c r="DC106" s="48"/>
      <c r="DD106" s="48"/>
      <c r="DE106" s="48"/>
      <c r="DF106" s="48"/>
      <c r="DG106" s="48"/>
      <c r="DH106" s="48"/>
      <c r="DI106" s="48"/>
      <c r="DJ106" s="48"/>
      <c r="DK106" s="48"/>
      <c r="DL106" s="48"/>
      <c r="DM106" s="48"/>
      <c r="DN106" s="48"/>
      <c r="DO106" s="48"/>
      <c r="DP106" s="48"/>
    </row>
    <row r="107" spans="2:120" x14ac:dyDescent="0.2">
      <c r="B107" s="48"/>
      <c r="C107" s="144"/>
      <c r="D107" s="48"/>
      <c r="E107" s="48"/>
      <c r="F107" s="48"/>
      <c r="G107" s="48"/>
      <c r="H107" s="48"/>
      <c r="I107" s="48"/>
      <c r="J107" s="48"/>
      <c r="K107" s="48"/>
      <c r="L107" s="48"/>
      <c r="M107" s="238">
        <v>5</v>
      </c>
      <c r="N107" s="234" t="s">
        <v>541</v>
      </c>
      <c r="O107" s="239">
        <f>COUNTIFS(Tabulacao!$CY:$CY,EmpAtual!$N$101,Tabulacao!$DA:$DA,EmpAtual!N107)</f>
        <v>0</v>
      </c>
      <c r="P107" s="240">
        <f t="shared" si="72"/>
        <v>0</v>
      </c>
      <c r="Q107" s="48"/>
      <c r="R107" s="48"/>
      <c r="S107" s="48"/>
      <c r="T107" s="48"/>
      <c r="U107" s="48"/>
      <c r="V107" s="48"/>
      <c r="W107" s="168" t="s">
        <v>122</v>
      </c>
      <c r="X107" s="179">
        <v>2300</v>
      </c>
      <c r="Y107" s="168"/>
      <c r="Z107" s="168"/>
      <c r="AA107" s="168"/>
      <c r="AB107" s="48"/>
      <c r="AC107" s="48"/>
      <c r="AD107" s="48"/>
      <c r="AE107" s="48"/>
      <c r="AF107" s="48"/>
      <c r="AG107" s="48"/>
      <c r="AH107" s="48"/>
      <c r="AI107" s="48"/>
      <c r="AJ107" s="48"/>
      <c r="AK107" s="48"/>
      <c r="AL107" s="48"/>
      <c r="AM107" s="48"/>
      <c r="AN107" s="48"/>
      <c r="AO107" s="48"/>
      <c r="AP107" s="48"/>
      <c r="AQ107" s="48"/>
      <c r="AR107" s="48"/>
      <c r="AS107" s="48"/>
      <c r="AT107" s="48"/>
      <c r="AU107" s="48"/>
      <c r="AV107" s="48"/>
      <c r="AW107" s="48"/>
      <c r="AX107" s="48"/>
      <c r="AY107" s="48"/>
      <c r="AZ107" s="48"/>
      <c r="BA107" s="48"/>
      <c r="BB107" s="48"/>
      <c r="BC107" s="48"/>
      <c r="BD107" s="48"/>
      <c r="BE107" s="48"/>
      <c r="BF107" s="48"/>
      <c r="BG107" s="48"/>
      <c r="BH107" s="48"/>
      <c r="BI107" s="48"/>
      <c r="BJ107" s="48"/>
      <c r="BK107" s="48"/>
      <c r="BL107" s="48"/>
      <c r="BM107" s="48"/>
      <c r="BN107" s="48"/>
      <c r="BO107" s="48"/>
      <c r="BP107" s="48"/>
      <c r="BQ107" s="48"/>
      <c r="BR107" s="48"/>
      <c r="BS107" s="48"/>
      <c r="BT107" s="144"/>
      <c r="BU107" s="144"/>
      <c r="BV107" s="144"/>
      <c r="BW107" s="144"/>
      <c r="BX107" s="144"/>
      <c r="BY107" s="48"/>
      <c r="BZ107" s="48"/>
      <c r="CA107" s="48"/>
      <c r="CB107" s="48"/>
      <c r="CC107" s="48"/>
      <c r="CD107" s="48"/>
      <c r="CE107" s="48"/>
      <c r="CF107" s="48"/>
      <c r="CG107" s="48"/>
      <c r="CH107" s="48"/>
      <c r="CI107" s="48"/>
      <c r="CJ107" s="48"/>
      <c r="CK107" s="48"/>
      <c r="CL107" s="48"/>
      <c r="CM107" s="48"/>
      <c r="CN107" s="48"/>
      <c r="CO107" s="48"/>
      <c r="CP107" s="48"/>
      <c r="CQ107" s="48"/>
      <c r="CR107" s="48"/>
      <c r="CS107" s="48"/>
      <c r="CT107" s="48"/>
      <c r="CU107" s="48"/>
      <c r="CV107" s="48"/>
      <c r="CW107" s="48"/>
      <c r="CX107" s="48"/>
      <c r="CY107" s="48"/>
      <c r="CZ107" s="48"/>
      <c r="DA107" s="48"/>
      <c r="DB107" s="48"/>
      <c r="DC107" s="48"/>
      <c r="DD107" s="48"/>
      <c r="DE107" s="48"/>
      <c r="DF107" s="48"/>
      <c r="DG107" s="48"/>
      <c r="DH107" s="48"/>
      <c r="DI107" s="48"/>
      <c r="DJ107" s="48"/>
      <c r="DK107" s="48"/>
      <c r="DL107" s="48"/>
      <c r="DM107" s="48"/>
      <c r="DN107" s="48"/>
      <c r="DO107" s="48"/>
      <c r="DP107" s="48"/>
    </row>
    <row r="108" spans="2:120" x14ac:dyDescent="0.2">
      <c r="B108" s="48"/>
      <c r="C108" s="144"/>
      <c r="D108" s="48"/>
      <c r="E108" s="48"/>
      <c r="F108" s="48"/>
      <c r="G108" s="48"/>
      <c r="H108" s="48"/>
      <c r="I108" s="48"/>
      <c r="J108" s="48"/>
      <c r="K108" s="48"/>
      <c r="L108" s="48"/>
      <c r="M108" s="238">
        <v>6</v>
      </c>
      <c r="N108" s="234" t="s">
        <v>326</v>
      </c>
      <c r="O108" s="239">
        <f>COUNTIFS(Tabulacao!$CY:$CY,EmpAtual!$N$101,Tabulacao!$DA:$DA,EmpAtual!N108)</f>
        <v>0</v>
      </c>
      <c r="P108" s="240">
        <f t="shared" si="72"/>
        <v>0</v>
      </c>
      <c r="Q108" s="48"/>
      <c r="R108" s="48"/>
      <c r="S108" s="48"/>
      <c r="T108" s="48"/>
      <c r="U108" s="48"/>
      <c r="V108" s="48"/>
      <c r="W108" s="168" t="s">
        <v>122</v>
      </c>
      <c r="X108" s="179">
        <v>1600</v>
      </c>
      <c r="Y108" s="168"/>
      <c r="Z108" s="168"/>
      <c r="AA108" s="168"/>
      <c r="AB108" s="48"/>
      <c r="AC108" s="48"/>
      <c r="AD108" s="48"/>
      <c r="AE108" s="48"/>
      <c r="AF108" s="48"/>
      <c r="AG108" s="48"/>
      <c r="AH108" s="48"/>
      <c r="AI108" s="48"/>
      <c r="AJ108" s="48"/>
      <c r="AK108" s="48"/>
      <c r="AL108" s="48"/>
      <c r="AM108" s="48"/>
      <c r="AN108" s="48"/>
      <c r="AO108" s="48"/>
      <c r="AP108" s="48"/>
      <c r="AQ108" s="48"/>
      <c r="AR108" s="48"/>
      <c r="AS108" s="48"/>
      <c r="AT108" s="48"/>
      <c r="AU108" s="48"/>
      <c r="AV108" s="48"/>
      <c r="AW108" s="48"/>
      <c r="AX108" s="48"/>
      <c r="AY108" s="48"/>
      <c r="AZ108" s="48"/>
      <c r="BA108" s="48"/>
      <c r="BB108" s="48"/>
      <c r="BC108" s="48"/>
      <c r="BD108" s="48"/>
      <c r="BE108" s="48"/>
      <c r="BF108" s="48"/>
      <c r="BG108" s="48"/>
      <c r="BH108" s="48"/>
      <c r="BI108" s="48"/>
      <c r="BJ108" s="48"/>
      <c r="BK108" s="48"/>
      <c r="BL108" s="48"/>
      <c r="BM108" s="48"/>
      <c r="BN108" s="48"/>
      <c r="BO108" s="48"/>
      <c r="BP108" s="48"/>
      <c r="BQ108" s="48"/>
      <c r="BR108" s="48"/>
      <c r="BS108" s="48"/>
      <c r="BT108" s="144"/>
      <c r="BU108" s="144"/>
      <c r="BV108" s="144"/>
      <c r="BW108" s="144"/>
      <c r="BX108" s="144"/>
      <c r="BY108" s="48"/>
      <c r="BZ108" s="48"/>
      <c r="CA108" s="48"/>
      <c r="CB108" s="48"/>
      <c r="CC108" s="48"/>
      <c r="CD108" s="48"/>
      <c r="CE108" s="48"/>
      <c r="CF108" s="48"/>
      <c r="CG108" s="48"/>
      <c r="CH108" s="48"/>
      <c r="CI108" s="48"/>
      <c r="CJ108" s="48"/>
      <c r="CK108" s="48"/>
      <c r="CL108" s="48"/>
      <c r="CM108" s="48"/>
      <c r="CN108" s="48"/>
      <c r="CO108" s="48"/>
      <c r="CP108" s="48"/>
      <c r="CQ108" s="48"/>
      <c r="CR108" s="48"/>
      <c r="CS108" s="48"/>
      <c r="CT108" s="48"/>
      <c r="CU108" s="48"/>
      <c r="CV108" s="48"/>
      <c r="CW108" s="48"/>
      <c r="CX108" s="48"/>
      <c r="CY108" s="48"/>
      <c r="CZ108" s="48"/>
      <c r="DA108" s="48"/>
      <c r="DB108" s="48"/>
      <c r="DC108" s="48"/>
      <c r="DD108" s="48"/>
      <c r="DE108" s="48"/>
      <c r="DF108" s="48"/>
      <c r="DG108" s="48"/>
      <c r="DH108" s="48"/>
      <c r="DI108" s="48"/>
      <c r="DJ108" s="48"/>
      <c r="DK108" s="48"/>
      <c r="DL108" s="48"/>
      <c r="DM108" s="48"/>
      <c r="DN108" s="48"/>
      <c r="DO108" s="48"/>
      <c r="DP108" s="48"/>
    </row>
    <row r="109" spans="2:120" x14ac:dyDescent="0.2">
      <c r="B109" s="48"/>
      <c r="C109" s="144"/>
      <c r="D109" s="48"/>
      <c r="E109" s="48"/>
      <c r="F109" s="48"/>
      <c r="G109" s="48"/>
      <c r="H109" s="48"/>
      <c r="I109" s="48"/>
      <c r="J109" s="48"/>
      <c r="K109" s="48"/>
      <c r="L109" s="48"/>
      <c r="M109" s="238">
        <v>7</v>
      </c>
      <c r="N109" s="234" t="s">
        <v>391</v>
      </c>
      <c r="O109" s="239">
        <f>COUNTIFS(Tabulacao!$CY:$CY,EmpAtual!$N$101,Tabulacao!$DA:$DA,EmpAtual!N109)</f>
        <v>0</v>
      </c>
      <c r="P109" s="240">
        <f t="shared" si="72"/>
        <v>0</v>
      </c>
      <c r="Q109" s="48"/>
      <c r="R109" s="48"/>
      <c r="S109" s="48"/>
      <c r="T109" s="48"/>
      <c r="U109" s="48"/>
      <c r="V109" s="48"/>
      <c r="W109" s="168" t="s">
        <v>122</v>
      </c>
      <c r="X109" s="179">
        <v>1200</v>
      </c>
      <c r="Y109" s="168"/>
      <c r="Z109" s="168"/>
      <c r="AA109" s="168"/>
      <c r="AB109" s="48"/>
      <c r="AC109" s="48"/>
      <c r="AD109" s="48"/>
      <c r="AE109" s="48"/>
      <c r="AF109" s="48"/>
      <c r="AG109" s="48"/>
      <c r="AH109" s="48"/>
      <c r="AI109" s="48"/>
      <c r="AJ109" s="48"/>
      <c r="AK109" s="48"/>
      <c r="AL109" s="48"/>
      <c r="AM109" s="48"/>
      <c r="AN109" s="48"/>
      <c r="AO109" s="48"/>
      <c r="AP109" s="48"/>
      <c r="AQ109" s="48"/>
      <c r="AR109" s="48"/>
      <c r="AS109" s="48"/>
      <c r="AT109" s="48"/>
      <c r="AU109" s="48"/>
      <c r="AV109" s="48"/>
      <c r="AW109" s="48"/>
      <c r="AX109" s="48"/>
      <c r="AY109" s="48"/>
      <c r="AZ109" s="48"/>
      <c r="BA109" s="48"/>
      <c r="BB109" s="48"/>
      <c r="BC109" s="48"/>
      <c r="BD109" s="48"/>
      <c r="BE109" s="48"/>
      <c r="BF109" s="48"/>
      <c r="BG109" s="48"/>
      <c r="BH109" s="48"/>
      <c r="BI109" s="48"/>
      <c r="BJ109" s="48"/>
      <c r="BK109" s="48"/>
      <c r="BL109" s="48"/>
      <c r="BM109" s="48"/>
      <c r="BN109" s="48"/>
      <c r="BO109" s="48"/>
      <c r="BP109" s="48"/>
      <c r="BQ109" s="48"/>
      <c r="BR109" s="48"/>
      <c r="BS109" s="48"/>
      <c r="BT109" s="144"/>
      <c r="BU109" s="144"/>
      <c r="BV109" s="144"/>
      <c r="BW109" s="144"/>
      <c r="BX109" s="144"/>
      <c r="BY109" s="48"/>
      <c r="BZ109" s="48"/>
      <c r="CA109" s="48"/>
      <c r="CB109" s="48"/>
      <c r="CC109" s="48"/>
      <c r="CD109" s="48"/>
      <c r="CE109" s="48"/>
      <c r="CF109" s="48"/>
      <c r="CG109" s="48"/>
      <c r="CH109" s="48"/>
      <c r="CI109" s="48"/>
      <c r="CJ109" s="48"/>
      <c r="CK109" s="48"/>
      <c r="CL109" s="48"/>
      <c r="CM109" s="48"/>
      <c r="CN109" s="48"/>
      <c r="CO109" s="48"/>
      <c r="CP109" s="48"/>
      <c r="CQ109" s="48"/>
      <c r="CR109" s="48"/>
      <c r="CS109" s="48"/>
      <c r="CT109" s="48"/>
      <c r="CU109" s="48"/>
      <c r="CV109" s="48"/>
      <c r="CW109" s="48"/>
      <c r="CX109" s="48"/>
      <c r="CY109" s="48"/>
      <c r="CZ109" s="48"/>
      <c r="DA109" s="48"/>
      <c r="DB109" s="48"/>
      <c r="DC109" s="48"/>
      <c r="DD109" s="48"/>
      <c r="DE109" s="48"/>
      <c r="DF109" s="48"/>
      <c r="DG109" s="48"/>
      <c r="DH109" s="48"/>
      <c r="DI109" s="48"/>
      <c r="DJ109" s="48"/>
      <c r="DK109" s="48"/>
      <c r="DL109" s="48"/>
      <c r="DM109" s="48"/>
      <c r="DN109" s="48"/>
      <c r="DO109" s="48"/>
      <c r="DP109" s="48"/>
    </row>
    <row r="110" spans="2:120" x14ac:dyDescent="0.2">
      <c r="B110" s="48"/>
      <c r="C110" s="144"/>
      <c r="D110" s="48"/>
      <c r="E110" s="48"/>
      <c r="F110" s="48"/>
      <c r="G110" s="48"/>
      <c r="H110" s="48"/>
      <c r="I110" s="48"/>
      <c r="J110" s="48"/>
      <c r="K110" s="48"/>
      <c r="L110" s="48"/>
      <c r="M110" s="238">
        <v>8</v>
      </c>
      <c r="N110" s="234" t="s">
        <v>409</v>
      </c>
      <c r="O110" s="239">
        <f>COUNTIFS(Tabulacao!$CY:$CY,EmpAtual!$N$101,Tabulacao!$DA:$DA,EmpAtual!N110)</f>
        <v>0</v>
      </c>
      <c r="P110" s="240">
        <f t="shared" si="72"/>
        <v>0</v>
      </c>
      <c r="Q110" s="48"/>
      <c r="R110" s="48"/>
      <c r="S110" s="48"/>
      <c r="T110" s="48"/>
      <c r="U110" s="48"/>
      <c r="V110" s="48"/>
      <c r="W110" s="168" t="s">
        <v>122</v>
      </c>
      <c r="X110" s="179">
        <v>3000</v>
      </c>
      <c r="Y110" s="168"/>
      <c r="Z110" s="168"/>
      <c r="AA110" s="168"/>
      <c r="AB110" s="48"/>
      <c r="AC110" s="48"/>
      <c r="AD110" s="48"/>
      <c r="AE110" s="48"/>
      <c r="AF110" s="48"/>
      <c r="AG110" s="48"/>
      <c r="AH110" s="48"/>
      <c r="AI110" s="48"/>
      <c r="AJ110" s="48"/>
      <c r="AK110" s="48"/>
      <c r="AL110" s="48"/>
      <c r="AM110" s="48"/>
      <c r="AN110" s="48"/>
      <c r="AO110" s="48"/>
      <c r="AP110" s="48"/>
      <c r="AQ110" s="48"/>
      <c r="AR110" s="48"/>
      <c r="AS110" s="48"/>
      <c r="AT110" s="48"/>
      <c r="AU110" s="48"/>
      <c r="AV110" s="48"/>
      <c r="AW110" s="48"/>
      <c r="AX110" s="48"/>
      <c r="AY110" s="48"/>
      <c r="AZ110" s="48"/>
      <c r="BA110" s="48"/>
      <c r="BB110" s="48"/>
      <c r="BC110" s="48"/>
      <c r="BD110" s="48"/>
      <c r="BE110" s="48"/>
      <c r="BF110" s="48"/>
      <c r="BG110" s="48"/>
      <c r="BH110" s="48"/>
      <c r="BI110" s="48"/>
      <c r="BJ110" s="48"/>
      <c r="BK110" s="48"/>
      <c r="BL110" s="48"/>
      <c r="BM110" s="48"/>
      <c r="BN110" s="48"/>
      <c r="BO110" s="48"/>
      <c r="BP110" s="48"/>
      <c r="BQ110" s="48"/>
      <c r="BR110" s="48"/>
      <c r="BS110" s="48"/>
      <c r="BT110" s="144"/>
      <c r="BU110" s="144"/>
      <c r="BV110" s="144"/>
      <c r="BW110" s="144"/>
      <c r="BX110" s="144"/>
      <c r="BY110" s="48"/>
      <c r="BZ110" s="48"/>
      <c r="CA110" s="48"/>
      <c r="CB110" s="48"/>
      <c r="CC110" s="48"/>
      <c r="CD110" s="48"/>
      <c r="CE110" s="48"/>
      <c r="CF110" s="48"/>
      <c r="CG110" s="48"/>
      <c r="CH110" s="48"/>
      <c r="CI110" s="48"/>
      <c r="CJ110" s="48"/>
      <c r="CK110" s="48"/>
      <c r="CL110" s="48"/>
      <c r="CM110" s="48"/>
      <c r="CN110" s="48"/>
      <c r="CO110" s="48"/>
      <c r="CP110" s="48"/>
      <c r="CQ110" s="48"/>
      <c r="CR110" s="48"/>
      <c r="CS110" s="48"/>
      <c r="CT110" s="48"/>
      <c r="CU110" s="48"/>
      <c r="CV110" s="48"/>
      <c r="CW110" s="48"/>
      <c r="CX110" s="48"/>
      <c r="CY110" s="48"/>
      <c r="CZ110" s="48"/>
      <c r="DA110" s="48"/>
      <c r="DB110" s="48"/>
      <c r="DC110" s="48"/>
      <c r="DD110" s="48"/>
      <c r="DE110" s="48"/>
      <c r="DF110" s="48"/>
      <c r="DG110" s="48"/>
      <c r="DH110" s="48"/>
      <c r="DI110" s="48"/>
      <c r="DJ110" s="48"/>
      <c r="DK110" s="48"/>
      <c r="DL110" s="48"/>
      <c r="DM110" s="48"/>
      <c r="DN110" s="48"/>
      <c r="DO110" s="48"/>
      <c r="DP110" s="48"/>
    </row>
    <row r="111" spans="2:120" x14ac:dyDescent="0.2">
      <c r="B111" s="48"/>
      <c r="C111" s="144"/>
      <c r="D111" s="48"/>
      <c r="E111" s="48"/>
      <c r="F111" s="48"/>
      <c r="G111" s="48"/>
      <c r="H111" s="48"/>
      <c r="I111" s="48"/>
      <c r="J111" s="48"/>
      <c r="K111" s="48"/>
      <c r="L111" s="48"/>
      <c r="M111" s="238">
        <v>9</v>
      </c>
      <c r="N111" s="234" t="s">
        <v>506</v>
      </c>
      <c r="O111" s="239">
        <f>COUNTIFS(Tabulacao!$CY:$CY,EmpAtual!$N$101,Tabulacao!$DA:$DA,EmpAtual!N111)</f>
        <v>0</v>
      </c>
      <c r="P111" s="240">
        <f t="shared" si="72"/>
        <v>0</v>
      </c>
      <c r="Q111" s="48"/>
      <c r="R111" s="48"/>
      <c r="S111" s="48"/>
      <c r="T111" s="48"/>
      <c r="U111" s="48"/>
      <c r="V111" s="48"/>
      <c r="W111" s="168" t="s">
        <v>122</v>
      </c>
      <c r="X111" s="179">
        <v>1200</v>
      </c>
      <c r="Y111" s="168"/>
      <c r="Z111" s="168"/>
      <c r="AA111" s="168"/>
      <c r="AB111" s="48"/>
      <c r="AC111" s="48"/>
      <c r="AD111" s="48"/>
      <c r="AE111" s="48"/>
      <c r="AF111" s="48"/>
      <c r="AG111" s="48"/>
      <c r="AH111" s="48"/>
      <c r="AI111" s="48"/>
      <c r="AJ111" s="48"/>
      <c r="AK111" s="48"/>
      <c r="AL111" s="48"/>
      <c r="AM111" s="48"/>
      <c r="AN111" s="48"/>
      <c r="AO111" s="48"/>
      <c r="AP111" s="48"/>
      <c r="AQ111" s="48"/>
      <c r="AR111" s="48"/>
      <c r="AS111" s="48"/>
      <c r="AT111" s="48"/>
      <c r="AU111" s="48"/>
      <c r="AV111" s="48"/>
      <c r="AW111" s="48"/>
      <c r="AX111" s="48"/>
      <c r="AY111" s="48"/>
      <c r="AZ111" s="48"/>
      <c r="BA111" s="48"/>
      <c r="BB111" s="48"/>
      <c r="BC111" s="48"/>
      <c r="BD111" s="48"/>
      <c r="BE111" s="48"/>
      <c r="BF111" s="48"/>
      <c r="BG111" s="48"/>
      <c r="BH111" s="48"/>
      <c r="BI111" s="48"/>
      <c r="BJ111" s="48"/>
      <c r="BK111" s="48"/>
      <c r="BL111" s="48"/>
      <c r="BM111" s="48"/>
      <c r="BN111" s="48"/>
      <c r="BO111" s="48"/>
      <c r="BP111" s="48"/>
      <c r="BQ111" s="48"/>
      <c r="BR111" s="48"/>
      <c r="BS111" s="48"/>
      <c r="BT111" s="144"/>
      <c r="BU111" s="144"/>
      <c r="BV111" s="144"/>
      <c r="BW111" s="144"/>
      <c r="BX111" s="144"/>
      <c r="BY111" s="48"/>
      <c r="BZ111" s="48"/>
      <c r="CA111" s="48"/>
      <c r="CB111" s="48"/>
      <c r="CC111" s="48"/>
      <c r="CD111" s="48"/>
      <c r="CE111" s="48"/>
      <c r="CF111" s="48"/>
      <c r="CG111" s="48"/>
      <c r="CH111" s="48"/>
      <c r="CI111" s="48"/>
      <c r="CJ111" s="48"/>
      <c r="CK111" s="48"/>
      <c r="CL111" s="48"/>
      <c r="CM111" s="48"/>
      <c r="CN111" s="48"/>
      <c r="CO111" s="48"/>
      <c r="CP111" s="48"/>
      <c r="CQ111" s="48"/>
      <c r="CR111" s="48"/>
      <c r="CS111" s="48"/>
      <c r="CT111" s="48"/>
      <c r="CU111" s="48"/>
      <c r="CV111" s="48"/>
      <c r="CW111" s="48"/>
      <c r="CX111" s="48"/>
      <c r="CY111" s="48"/>
      <c r="CZ111" s="48"/>
      <c r="DA111" s="48"/>
      <c r="DB111" s="48"/>
      <c r="DC111" s="48"/>
      <c r="DD111" s="48"/>
      <c r="DE111" s="48"/>
      <c r="DF111" s="48"/>
      <c r="DG111" s="48"/>
      <c r="DH111" s="48"/>
      <c r="DI111" s="48"/>
      <c r="DJ111" s="48"/>
      <c r="DK111" s="48"/>
      <c r="DL111" s="48"/>
      <c r="DM111" s="48"/>
      <c r="DN111" s="48"/>
      <c r="DO111" s="48"/>
      <c r="DP111" s="48"/>
    </row>
    <row r="112" spans="2:120" x14ac:dyDescent="0.2">
      <c r="B112" s="48"/>
      <c r="C112" s="144"/>
      <c r="D112" s="48"/>
      <c r="E112" s="48"/>
      <c r="F112" s="48"/>
      <c r="G112" s="48"/>
      <c r="H112" s="48"/>
      <c r="I112" s="48"/>
      <c r="J112" s="48"/>
      <c r="K112" s="48"/>
      <c r="L112" s="48"/>
      <c r="M112" s="238">
        <v>10</v>
      </c>
      <c r="N112" s="234" t="s">
        <v>289</v>
      </c>
      <c r="O112" s="239">
        <f>COUNTIFS(Tabulacao!$CY:$CY,EmpAtual!$N$101,Tabulacao!$DA:$DA,EmpAtual!N112)</f>
        <v>0</v>
      </c>
      <c r="P112" s="240">
        <f t="shared" si="72"/>
        <v>0</v>
      </c>
      <c r="Q112" s="48"/>
      <c r="R112" s="48"/>
      <c r="S112" s="48"/>
      <c r="T112" s="48"/>
      <c r="U112" s="48"/>
      <c r="V112" s="48"/>
      <c r="W112" s="168" t="s">
        <v>122</v>
      </c>
      <c r="X112" s="179">
        <v>1500</v>
      </c>
      <c r="Y112" s="168"/>
      <c r="Z112" s="168"/>
      <c r="AA112" s="168"/>
      <c r="AB112" s="48"/>
      <c r="AC112" s="48"/>
      <c r="AD112" s="48"/>
      <c r="AE112" s="48"/>
      <c r="AF112" s="48"/>
      <c r="AG112" s="48"/>
      <c r="AH112" s="48"/>
      <c r="AI112" s="48"/>
      <c r="AJ112" s="48"/>
      <c r="AK112" s="48"/>
      <c r="AL112" s="48"/>
      <c r="AM112" s="48"/>
      <c r="AN112" s="48"/>
      <c r="AO112" s="48"/>
      <c r="AP112" s="48"/>
      <c r="AQ112" s="48"/>
      <c r="AR112" s="48"/>
      <c r="AS112" s="48"/>
      <c r="AT112" s="48"/>
      <c r="AU112" s="48"/>
      <c r="AV112" s="48"/>
      <c r="AW112" s="48"/>
      <c r="AX112" s="48"/>
      <c r="AY112" s="48"/>
      <c r="AZ112" s="48"/>
      <c r="BA112" s="48"/>
      <c r="BB112" s="48"/>
      <c r="BC112" s="48"/>
      <c r="BD112" s="48"/>
      <c r="BE112" s="48"/>
      <c r="BF112" s="48"/>
      <c r="BG112" s="48"/>
      <c r="BH112" s="48"/>
      <c r="BI112" s="48"/>
      <c r="BJ112" s="48"/>
      <c r="BK112" s="48"/>
      <c r="BL112" s="48"/>
      <c r="BM112" s="48"/>
      <c r="BN112" s="48"/>
      <c r="BO112" s="48"/>
      <c r="BP112" s="48"/>
      <c r="BQ112" s="48"/>
      <c r="BR112" s="48"/>
      <c r="BS112" s="48"/>
      <c r="BT112" s="144"/>
      <c r="BU112" s="144"/>
      <c r="BV112" s="144"/>
      <c r="BW112" s="144"/>
      <c r="BX112" s="144"/>
      <c r="BY112" s="48"/>
      <c r="BZ112" s="48"/>
      <c r="CA112" s="48"/>
      <c r="CB112" s="48"/>
      <c r="CC112" s="48"/>
      <c r="CD112" s="48"/>
      <c r="CE112" s="48"/>
      <c r="CF112" s="48"/>
      <c r="CG112" s="48"/>
      <c r="CH112" s="48"/>
      <c r="CI112" s="48"/>
      <c r="CJ112" s="48"/>
      <c r="CK112" s="48"/>
      <c r="CL112" s="48"/>
      <c r="CM112" s="48"/>
      <c r="CN112" s="48"/>
      <c r="CO112" s="48"/>
      <c r="CP112" s="48"/>
      <c r="CQ112" s="48"/>
      <c r="CR112" s="48"/>
      <c r="CS112" s="48"/>
      <c r="CT112" s="48"/>
      <c r="CU112" s="48"/>
      <c r="CV112" s="48"/>
      <c r="CW112" s="48"/>
      <c r="CX112" s="48"/>
      <c r="CY112" s="48"/>
      <c r="CZ112" s="48"/>
      <c r="DA112" s="48"/>
      <c r="DB112" s="48"/>
      <c r="DC112" s="48"/>
      <c r="DD112" s="48"/>
      <c r="DE112" s="48"/>
      <c r="DF112" s="48"/>
      <c r="DG112" s="48"/>
      <c r="DH112" s="48"/>
      <c r="DI112" s="48"/>
      <c r="DJ112" s="48"/>
      <c r="DK112" s="48"/>
      <c r="DL112" s="48"/>
      <c r="DM112" s="48"/>
      <c r="DN112" s="48"/>
      <c r="DO112" s="48"/>
      <c r="DP112" s="48"/>
    </row>
    <row r="113" spans="2:120" x14ac:dyDescent="0.2">
      <c r="B113" s="48"/>
      <c r="C113" s="144"/>
      <c r="D113" s="48"/>
      <c r="E113" s="48"/>
      <c r="F113" s="48"/>
      <c r="G113" s="48"/>
      <c r="H113" s="48"/>
      <c r="I113" s="48"/>
      <c r="J113" s="48"/>
      <c r="K113" s="48"/>
      <c r="L113" s="48"/>
      <c r="M113" s="238">
        <v>11</v>
      </c>
      <c r="N113" s="234" t="s">
        <v>340</v>
      </c>
      <c r="O113" s="239">
        <f>COUNTIFS(Tabulacao!$CY:$CY,EmpAtual!$N$101,Tabulacao!$DA:$DA,EmpAtual!N113)</f>
        <v>0</v>
      </c>
      <c r="P113" s="240">
        <f t="shared" si="72"/>
        <v>0</v>
      </c>
      <c r="Q113" s="48"/>
      <c r="R113" s="48"/>
      <c r="S113" s="48"/>
      <c r="T113" s="48"/>
      <c r="U113" s="48"/>
      <c r="V113" s="48"/>
      <c r="W113" s="168" t="s">
        <v>122</v>
      </c>
      <c r="X113" s="179">
        <v>1500</v>
      </c>
      <c r="Y113" s="168"/>
      <c r="Z113" s="168"/>
      <c r="AA113" s="168"/>
      <c r="AB113" s="48"/>
      <c r="AC113" s="48"/>
      <c r="AD113" s="48"/>
      <c r="AE113" s="48"/>
      <c r="AF113" s="48"/>
      <c r="AG113" s="48"/>
      <c r="AH113" s="48"/>
      <c r="AI113" s="48"/>
      <c r="AJ113" s="48"/>
      <c r="AK113" s="48"/>
      <c r="AL113" s="48"/>
      <c r="AM113" s="48"/>
      <c r="AN113" s="48"/>
      <c r="AO113" s="48"/>
      <c r="AP113" s="48"/>
      <c r="AQ113" s="48"/>
      <c r="AR113" s="48"/>
      <c r="AS113" s="48"/>
      <c r="AT113" s="48"/>
      <c r="AU113" s="48"/>
      <c r="AV113" s="48"/>
      <c r="AW113" s="48"/>
      <c r="AX113" s="48"/>
      <c r="AY113" s="48"/>
      <c r="AZ113" s="48"/>
      <c r="BA113" s="48"/>
      <c r="BB113" s="48"/>
      <c r="BC113" s="48"/>
      <c r="BD113" s="48"/>
      <c r="BE113" s="48"/>
      <c r="BF113" s="48"/>
      <c r="BG113" s="48"/>
      <c r="BH113" s="48"/>
      <c r="BI113" s="48"/>
      <c r="BJ113" s="48"/>
      <c r="BK113" s="48"/>
      <c r="BL113" s="48"/>
      <c r="BM113" s="48"/>
      <c r="BN113" s="48"/>
      <c r="BO113" s="48"/>
      <c r="BP113" s="48"/>
      <c r="BQ113" s="48"/>
      <c r="BR113" s="48"/>
      <c r="BS113" s="48"/>
      <c r="BT113" s="144"/>
      <c r="BU113" s="144"/>
      <c r="BV113" s="144"/>
      <c r="BW113" s="144"/>
      <c r="BX113" s="144"/>
      <c r="BY113" s="48"/>
      <c r="BZ113" s="48"/>
      <c r="CA113" s="48"/>
      <c r="CB113" s="48"/>
      <c r="CC113" s="48"/>
      <c r="CD113" s="48"/>
      <c r="CE113" s="48"/>
      <c r="CF113" s="48"/>
      <c r="CG113" s="48"/>
      <c r="CH113" s="48"/>
      <c r="CI113" s="48"/>
      <c r="CJ113" s="48"/>
      <c r="CK113" s="48"/>
      <c r="CL113" s="48"/>
      <c r="CM113" s="48"/>
      <c r="CN113" s="48"/>
      <c r="CO113" s="48"/>
      <c r="CP113" s="48"/>
      <c r="CQ113" s="48"/>
      <c r="CR113" s="48"/>
      <c r="CS113" s="48"/>
      <c r="CT113" s="48"/>
      <c r="CU113" s="48"/>
      <c r="CV113" s="48"/>
      <c r="CW113" s="48"/>
      <c r="CX113" s="48"/>
      <c r="CY113" s="48"/>
      <c r="CZ113" s="48"/>
      <c r="DA113" s="48"/>
      <c r="DB113" s="48"/>
      <c r="DC113" s="48"/>
      <c r="DD113" s="48"/>
      <c r="DE113" s="48"/>
      <c r="DF113" s="48"/>
      <c r="DG113" s="48"/>
      <c r="DH113" s="48"/>
      <c r="DI113" s="48"/>
      <c r="DJ113" s="48"/>
      <c r="DK113" s="48"/>
      <c r="DL113" s="48"/>
      <c r="DM113" s="48"/>
      <c r="DN113" s="48"/>
      <c r="DO113" s="48"/>
      <c r="DP113" s="48"/>
    </row>
    <row r="114" spans="2:120" x14ac:dyDescent="0.2">
      <c r="B114" s="48"/>
      <c r="C114" s="144"/>
      <c r="D114" s="48"/>
      <c r="E114" s="48"/>
      <c r="F114" s="48"/>
      <c r="G114" s="48"/>
      <c r="H114" s="48"/>
      <c r="I114" s="48"/>
      <c r="J114" s="48"/>
      <c r="K114" s="48"/>
      <c r="L114" s="48"/>
      <c r="M114" s="238">
        <v>12</v>
      </c>
      <c r="N114" s="234" t="s">
        <v>418</v>
      </c>
      <c r="O114" s="239">
        <f>COUNTIFS(Tabulacao!$CY:$CY,EmpAtual!$N$101,Tabulacao!$DA:$DA,EmpAtual!N114)</f>
        <v>0</v>
      </c>
      <c r="P114" s="240">
        <f t="shared" si="72"/>
        <v>0</v>
      </c>
      <c r="Q114" s="48"/>
      <c r="R114" s="48"/>
      <c r="S114" s="48"/>
      <c r="T114" s="48"/>
      <c r="U114" s="48"/>
      <c r="V114" s="48"/>
      <c r="W114" s="168" t="s">
        <v>121</v>
      </c>
      <c r="X114" s="179">
        <v>3216</v>
      </c>
      <c r="Y114" s="168"/>
      <c r="Z114" s="168"/>
      <c r="AA114" s="168"/>
      <c r="AB114" s="48"/>
      <c r="AC114" s="48"/>
      <c r="AD114" s="48"/>
      <c r="AE114" s="48"/>
      <c r="AF114" s="48"/>
      <c r="AG114" s="48"/>
      <c r="AH114" s="48"/>
      <c r="AI114" s="48"/>
      <c r="AJ114" s="48"/>
      <c r="AK114" s="48"/>
      <c r="AL114" s="48"/>
      <c r="AM114" s="48"/>
      <c r="AN114" s="48"/>
      <c r="AO114" s="48"/>
      <c r="AP114" s="48"/>
      <c r="AQ114" s="48"/>
      <c r="AR114" s="48"/>
      <c r="AS114" s="48"/>
      <c r="AT114" s="48"/>
      <c r="AU114" s="48"/>
      <c r="AV114" s="48"/>
      <c r="AW114" s="48"/>
      <c r="AX114" s="48"/>
      <c r="AY114" s="48"/>
      <c r="AZ114" s="48"/>
      <c r="BA114" s="48"/>
      <c r="BB114" s="48"/>
      <c r="BC114" s="48"/>
      <c r="BD114" s="48"/>
      <c r="BE114" s="48"/>
      <c r="BF114" s="48"/>
      <c r="BG114" s="48"/>
      <c r="BH114" s="48"/>
      <c r="BI114" s="48"/>
      <c r="BJ114" s="48"/>
      <c r="BK114" s="48"/>
      <c r="BL114" s="48"/>
      <c r="BM114" s="48"/>
      <c r="BN114" s="48"/>
      <c r="BO114" s="48"/>
      <c r="BP114" s="48"/>
      <c r="BQ114" s="48"/>
      <c r="BR114" s="48"/>
      <c r="BS114" s="48"/>
      <c r="BT114" s="144"/>
      <c r="BU114" s="144"/>
      <c r="BV114" s="144"/>
      <c r="BW114" s="144"/>
      <c r="BX114" s="144"/>
      <c r="BY114" s="48"/>
      <c r="BZ114" s="48"/>
      <c r="CA114" s="48"/>
      <c r="CB114" s="48"/>
      <c r="CC114" s="48"/>
      <c r="CD114" s="48"/>
      <c r="CE114" s="48"/>
      <c r="CF114" s="48"/>
      <c r="CG114" s="48"/>
      <c r="CH114" s="48"/>
      <c r="CI114" s="48"/>
      <c r="CJ114" s="48"/>
      <c r="CK114" s="48"/>
      <c r="CL114" s="48"/>
      <c r="CM114" s="48"/>
      <c r="CN114" s="48"/>
      <c r="CO114" s="48"/>
      <c r="CP114" s="48"/>
      <c r="CQ114" s="48"/>
      <c r="CR114" s="48"/>
      <c r="CS114" s="48"/>
      <c r="CT114" s="48"/>
      <c r="CU114" s="48"/>
      <c r="CV114" s="48"/>
      <c r="CW114" s="48"/>
      <c r="CX114" s="48"/>
      <c r="CY114" s="48"/>
      <c r="CZ114" s="48"/>
      <c r="DA114" s="48"/>
      <c r="DB114" s="48"/>
      <c r="DC114" s="48"/>
      <c r="DD114" s="48"/>
      <c r="DE114" s="48"/>
      <c r="DF114" s="48"/>
      <c r="DG114" s="48"/>
      <c r="DH114" s="48"/>
      <c r="DI114" s="48"/>
      <c r="DJ114" s="48"/>
      <c r="DK114" s="48"/>
      <c r="DL114" s="48"/>
      <c r="DM114" s="48"/>
      <c r="DN114" s="48"/>
      <c r="DO114" s="48"/>
      <c r="DP114" s="48"/>
    </row>
    <row r="115" spans="2:120" x14ac:dyDescent="0.2">
      <c r="B115" s="48"/>
      <c r="C115" s="144"/>
      <c r="D115" s="48"/>
      <c r="E115" s="48"/>
      <c r="F115" s="48"/>
      <c r="G115" s="48"/>
      <c r="H115" s="48"/>
      <c r="I115" s="48"/>
      <c r="J115" s="48"/>
      <c r="K115" s="48"/>
      <c r="L115" s="48"/>
      <c r="M115" s="238">
        <v>13</v>
      </c>
      <c r="N115" s="234" t="s">
        <v>1122</v>
      </c>
      <c r="O115" s="239">
        <f>COUNTIFS(Tabulacao!$CY:$CY,EmpAtual!$N$101,Tabulacao!$DA:$DA,EmpAtual!N115)</f>
        <v>0</v>
      </c>
      <c r="P115" s="240">
        <f t="shared" si="72"/>
        <v>0</v>
      </c>
      <c r="Q115" s="48"/>
      <c r="R115" s="48"/>
      <c r="S115" s="48"/>
      <c r="T115" s="48"/>
      <c r="U115" s="48"/>
      <c r="V115" s="48"/>
      <c r="W115" s="168" t="s">
        <v>121</v>
      </c>
      <c r="X115" s="179">
        <v>1500</v>
      </c>
      <c r="Y115" s="168"/>
      <c r="Z115" s="168"/>
      <c r="AA115" s="168"/>
      <c r="AB115" s="48"/>
      <c r="AC115" s="48"/>
      <c r="AD115" s="48"/>
      <c r="AE115" s="48"/>
      <c r="AF115" s="48"/>
      <c r="AG115" s="48"/>
      <c r="AH115" s="48"/>
      <c r="AI115" s="48"/>
      <c r="AJ115" s="48"/>
      <c r="AK115" s="48"/>
      <c r="AL115" s="48"/>
      <c r="AM115" s="48"/>
      <c r="AN115" s="48"/>
      <c r="AO115" s="48"/>
      <c r="AP115" s="48"/>
      <c r="AQ115" s="48"/>
      <c r="AR115" s="48"/>
      <c r="AS115" s="48"/>
      <c r="AT115" s="48"/>
      <c r="AU115" s="48"/>
      <c r="AV115" s="48"/>
      <c r="AW115" s="48"/>
      <c r="AX115" s="48"/>
      <c r="AY115" s="48"/>
      <c r="AZ115" s="48"/>
      <c r="BA115" s="48"/>
      <c r="BB115" s="48"/>
      <c r="BC115" s="48"/>
      <c r="BD115" s="48"/>
      <c r="BE115" s="48"/>
      <c r="BF115" s="48"/>
      <c r="BG115" s="48"/>
      <c r="BH115" s="48"/>
      <c r="BI115" s="48"/>
      <c r="BJ115" s="48"/>
      <c r="BK115" s="48"/>
      <c r="BL115" s="48"/>
      <c r="BM115" s="48"/>
      <c r="BN115" s="48"/>
      <c r="BO115" s="48"/>
      <c r="BP115" s="48"/>
      <c r="BQ115" s="48"/>
      <c r="BR115" s="48"/>
      <c r="BS115" s="48"/>
      <c r="BT115" s="144"/>
      <c r="BU115" s="144"/>
      <c r="BV115" s="144"/>
      <c r="BW115" s="144"/>
      <c r="BX115" s="144"/>
      <c r="BY115" s="48"/>
      <c r="BZ115" s="48"/>
      <c r="CA115" s="48"/>
      <c r="CB115" s="48"/>
      <c r="CC115" s="48"/>
      <c r="CD115" s="48"/>
      <c r="CE115" s="48"/>
      <c r="CF115" s="48"/>
      <c r="CG115" s="48"/>
      <c r="CH115" s="48"/>
      <c r="CI115" s="48"/>
      <c r="CJ115" s="48"/>
      <c r="CK115" s="48"/>
      <c r="CL115" s="48"/>
      <c r="CM115" s="48"/>
      <c r="CN115" s="48"/>
      <c r="CO115" s="48"/>
      <c r="CP115" s="48"/>
      <c r="CQ115" s="48"/>
      <c r="CR115" s="48"/>
      <c r="CS115" s="48"/>
      <c r="CT115" s="48"/>
      <c r="CU115" s="48"/>
      <c r="CV115" s="48"/>
      <c r="CW115" s="48"/>
      <c r="CX115" s="48"/>
      <c r="CY115" s="48"/>
      <c r="CZ115" s="48"/>
      <c r="DA115" s="48"/>
      <c r="DB115" s="48"/>
      <c r="DC115" s="48"/>
      <c r="DD115" s="48"/>
      <c r="DE115" s="48"/>
      <c r="DF115" s="48"/>
      <c r="DG115" s="48"/>
      <c r="DH115" s="48"/>
      <c r="DI115" s="48"/>
      <c r="DJ115" s="48"/>
      <c r="DK115" s="48"/>
      <c r="DL115" s="48"/>
      <c r="DM115" s="48"/>
      <c r="DN115" s="48"/>
      <c r="DO115" s="48"/>
      <c r="DP115" s="48"/>
    </row>
    <row r="116" spans="2:120" x14ac:dyDescent="0.2">
      <c r="B116" s="48"/>
      <c r="C116" s="144"/>
      <c r="D116" s="48"/>
      <c r="E116" s="48"/>
      <c r="F116" s="48"/>
      <c r="G116" s="48"/>
      <c r="H116" s="48"/>
      <c r="I116" s="48"/>
      <c r="J116" s="48"/>
      <c r="K116" s="48"/>
      <c r="L116" s="48"/>
      <c r="M116" s="238">
        <v>14</v>
      </c>
      <c r="N116" s="234" t="s">
        <v>542</v>
      </c>
      <c r="O116" s="239">
        <f>COUNTIFS(Tabulacao!$CY:$CY,EmpAtual!$N$101,Tabulacao!$DA:$DA,EmpAtual!N116)</f>
        <v>0</v>
      </c>
      <c r="P116" s="240">
        <f t="shared" si="72"/>
        <v>0</v>
      </c>
      <c r="Q116" s="48"/>
      <c r="R116" s="48"/>
      <c r="S116" s="48"/>
      <c r="T116" s="48"/>
      <c r="U116" s="48"/>
      <c r="V116" s="48"/>
      <c r="W116" s="168" t="s">
        <v>121</v>
      </c>
      <c r="X116" s="179">
        <v>600</v>
      </c>
      <c r="Y116" s="168"/>
      <c r="Z116" s="168"/>
      <c r="AA116" s="168"/>
      <c r="AB116" s="48"/>
      <c r="AC116" s="48"/>
      <c r="AD116" s="48"/>
      <c r="AE116" s="48"/>
      <c r="AF116" s="48"/>
      <c r="AG116" s="48"/>
      <c r="AH116" s="48"/>
      <c r="AI116" s="48"/>
      <c r="AJ116" s="48"/>
      <c r="AK116" s="48"/>
      <c r="AL116" s="48"/>
      <c r="AM116" s="48"/>
      <c r="AN116" s="48"/>
      <c r="AO116" s="48"/>
      <c r="AP116" s="48"/>
      <c r="AQ116" s="48"/>
      <c r="AR116" s="48"/>
      <c r="AS116" s="48"/>
      <c r="AT116" s="48"/>
      <c r="AU116" s="48"/>
      <c r="AV116" s="48"/>
      <c r="AW116" s="48"/>
      <c r="AX116" s="48"/>
      <c r="AY116" s="48"/>
      <c r="AZ116" s="48"/>
      <c r="BA116" s="48"/>
      <c r="BB116" s="48"/>
      <c r="BC116" s="48"/>
      <c r="BD116" s="48"/>
      <c r="BE116" s="48"/>
      <c r="BF116" s="48"/>
      <c r="BG116" s="48"/>
      <c r="BH116" s="48"/>
      <c r="BI116" s="48"/>
      <c r="BJ116" s="48"/>
      <c r="BK116" s="48"/>
      <c r="BL116" s="48"/>
      <c r="BM116" s="48"/>
      <c r="BN116" s="48"/>
      <c r="BO116" s="48"/>
      <c r="BP116" s="48"/>
      <c r="BQ116" s="48"/>
      <c r="BR116" s="48"/>
      <c r="BS116" s="48"/>
      <c r="BT116" s="144"/>
      <c r="BU116" s="144"/>
      <c r="BV116" s="144"/>
      <c r="BW116" s="144"/>
      <c r="BX116" s="144"/>
      <c r="BY116" s="48"/>
      <c r="BZ116" s="48"/>
      <c r="CA116" s="48"/>
      <c r="CB116" s="48"/>
      <c r="CC116" s="48"/>
      <c r="CD116" s="48"/>
      <c r="CE116" s="48"/>
      <c r="CF116" s="48"/>
      <c r="CG116" s="48"/>
      <c r="CH116" s="48"/>
      <c r="CI116" s="48"/>
      <c r="CJ116" s="48"/>
      <c r="CK116" s="48"/>
      <c r="CL116" s="48"/>
      <c r="CM116" s="48"/>
      <c r="CN116" s="48"/>
      <c r="CO116" s="48"/>
      <c r="CP116" s="48"/>
      <c r="CQ116" s="48"/>
      <c r="CR116" s="48"/>
      <c r="CS116" s="48"/>
      <c r="CT116" s="48"/>
      <c r="CU116" s="48"/>
      <c r="CV116" s="48"/>
      <c r="CW116" s="48"/>
      <c r="CX116" s="48"/>
      <c r="CY116" s="48"/>
      <c r="CZ116" s="48"/>
      <c r="DA116" s="48"/>
      <c r="DB116" s="48"/>
      <c r="DC116" s="48"/>
      <c r="DD116" s="48"/>
      <c r="DE116" s="48"/>
      <c r="DF116" s="48"/>
      <c r="DG116" s="48"/>
      <c r="DH116" s="48"/>
      <c r="DI116" s="48"/>
      <c r="DJ116" s="48"/>
      <c r="DK116" s="48"/>
      <c r="DL116" s="48"/>
      <c r="DM116" s="48"/>
      <c r="DN116" s="48"/>
      <c r="DO116" s="48"/>
      <c r="DP116" s="48"/>
    </row>
    <row r="117" spans="2:120" x14ac:dyDescent="0.2">
      <c r="B117" s="48"/>
      <c r="C117" s="144"/>
      <c r="D117" s="48"/>
      <c r="E117" s="48"/>
      <c r="F117" s="48"/>
      <c r="G117" s="48"/>
      <c r="H117" s="48"/>
      <c r="I117" s="48"/>
      <c r="J117" s="48"/>
      <c r="K117" s="48"/>
      <c r="L117" s="48"/>
      <c r="M117" s="238">
        <v>15</v>
      </c>
      <c r="N117" s="234" t="s">
        <v>526</v>
      </c>
      <c r="O117" s="239">
        <f>COUNTIFS(Tabulacao!$CY:$CY,EmpAtual!$N$101,Tabulacao!$DA:$DA,EmpAtual!N117)</f>
        <v>0</v>
      </c>
      <c r="P117" s="240">
        <f t="shared" si="72"/>
        <v>0</v>
      </c>
      <c r="Q117" s="48"/>
      <c r="R117" s="48"/>
      <c r="S117" s="48"/>
      <c r="T117" s="48"/>
      <c r="U117" s="48"/>
      <c r="V117" s="48"/>
      <c r="W117" s="168" t="s">
        <v>121</v>
      </c>
      <c r="X117" s="179">
        <v>1000</v>
      </c>
      <c r="Y117" s="168"/>
      <c r="Z117" s="168"/>
      <c r="AA117" s="168"/>
      <c r="AB117" s="48"/>
      <c r="AC117" s="48"/>
      <c r="AD117" s="48"/>
      <c r="AE117" s="48"/>
      <c r="AF117" s="48"/>
      <c r="AG117" s="48"/>
      <c r="AH117" s="48"/>
      <c r="AI117" s="48"/>
      <c r="AJ117" s="48"/>
      <c r="AK117" s="48"/>
      <c r="AL117" s="48"/>
      <c r="AM117" s="48"/>
      <c r="AN117" s="48"/>
      <c r="AO117" s="48"/>
      <c r="AP117" s="48"/>
      <c r="AQ117" s="48"/>
      <c r="AR117" s="48"/>
      <c r="AS117" s="48"/>
      <c r="AT117" s="48"/>
      <c r="AU117" s="48"/>
      <c r="AV117" s="48"/>
      <c r="AW117" s="48"/>
      <c r="AX117" s="48"/>
      <c r="AY117" s="48"/>
      <c r="AZ117" s="48"/>
      <c r="BA117" s="48"/>
      <c r="BB117" s="48"/>
      <c r="BC117" s="48"/>
      <c r="BD117" s="48"/>
      <c r="BE117" s="48"/>
      <c r="BF117" s="48"/>
      <c r="BG117" s="48"/>
      <c r="BH117" s="48"/>
      <c r="BI117" s="48"/>
      <c r="BJ117" s="48"/>
      <c r="BK117" s="48"/>
      <c r="BL117" s="48"/>
      <c r="BM117" s="48"/>
      <c r="BN117" s="48"/>
      <c r="BO117" s="48"/>
      <c r="BP117" s="48"/>
      <c r="BQ117" s="48"/>
      <c r="BR117" s="48"/>
      <c r="BS117" s="48"/>
      <c r="BT117" s="144"/>
      <c r="BU117" s="144"/>
      <c r="BV117" s="144"/>
      <c r="BW117" s="144"/>
      <c r="BX117" s="144"/>
      <c r="BY117" s="48"/>
      <c r="BZ117" s="48"/>
      <c r="CA117" s="48"/>
      <c r="CB117" s="48"/>
      <c r="CC117" s="48"/>
      <c r="CD117" s="48"/>
      <c r="CE117" s="48"/>
      <c r="CF117" s="48"/>
      <c r="CG117" s="48"/>
      <c r="CH117" s="48"/>
      <c r="CI117" s="48"/>
      <c r="CJ117" s="48"/>
      <c r="CK117" s="48"/>
      <c r="CL117" s="48"/>
      <c r="CM117" s="48"/>
      <c r="CN117" s="48"/>
      <c r="CO117" s="48"/>
      <c r="CP117" s="48"/>
      <c r="CQ117" s="48"/>
      <c r="CR117" s="48"/>
      <c r="CS117" s="48"/>
      <c r="CT117" s="48"/>
      <c r="CU117" s="48"/>
      <c r="CV117" s="48"/>
      <c r="CW117" s="48"/>
      <c r="CX117" s="48"/>
      <c r="CY117" s="48"/>
      <c r="CZ117" s="48"/>
      <c r="DA117" s="48"/>
      <c r="DB117" s="48"/>
      <c r="DC117" s="48"/>
      <c r="DD117" s="48"/>
      <c r="DE117" s="48"/>
      <c r="DF117" s="48"/>
      <c r="DG117" s="48"/>
      <c r="DH117" s="48"/>
      <c r="DI117" s="48"/>
      <c r="DJ117" s="48"/>
      <c r="DK117" s="48"/>
      <c r="DL117" s="48"/>
      <c r="DM117" s="48"/>
      <c r="DN117" s="48"/>
      <c r="DO117" s="48"/>
      <c r="DP117" s="48"/>
    </row>
    <row r="118" spans="2:120" x14ac:dyDescent="0.2">
      <c r="B118" s="48"/>
      <c r="C118" s="144"/>
      <c r="D118" s="48"/>
      <c r="E118" s="48"/>
      <c r="F118" s="48"/>
      <c r="G118" s="48"/>
      <c r="H118" s="48"/>
      <c r="I118" s="48"/>
      <c r="J118" s="48"/>
      <c r="K118" s="48"/>
      <c r="L118" s="48"/>
      <c r="M118" s="238">
        <v>16</v>
      </c>
      <c r="N118" s="234" t="s">
        <v>382</v>
      </c>
      <c r="O118" s="239">
        <f>COUNTIFS(Tabulacao!$CY:$CY,EmpAtual!$N$101,Tabulacao!$DA:$DA,EmpAtual!N118)</f>
        <v>0</v>
      </c>
      <c r="P118" s="240">
        <f t="shared" si="72"/>
        <v>0</v>
      </c>
      <c r="Q118" s="48"/>
      <c r="R118" s="48"/>
      <c r="S118" s="48"/>
      <c r="T118" s="48"/>
      <c r="U118" s="48"/>
      <c r="V118" s="48"/>
      <c r="W118" s="168" t="s">
        <v>121</v>
      </c>
      <c r="X118" s="179">
        <v>3400</v>
      </c>
      <c r="Y118" s="168"/>
      <c r="Z118" s="168"/>
      <c r="AA118" s="168"/>
      <c r="AB118" s="48"/>
      <c r="AC118" s="48"/>
      <c r="AD118" s="48"/>
      <c r="AE118" s="48"/>
      <c r="AF118" s="48"/>
      <c r="AG118" s="48"/>
      <c r="AH118" s="48"/>
      <c r="AI118" s="48"/>
      <c r="AJ118" s="48"/>
      <c r="AK118" s="48"/>
      <c r="AL118" s="48"/>
      <c r="AM118" s="48"/>
      <c r="AN118" s="48"/>
      <c r="AO118" s="48"/>
      <c r="AP118" s="48"/>
      <c r="AQ118" s="48"/>
      <c r="AR118" s="48"/>
      <c r="AS118" s="48"/>
      <c r="AT118" s="48"/>
      <c r="AU118" s="48"/>
      <c r="AV118" s="48"/>
      <c r="AW118" s="48"/>
      <c r="AX118" s="48"/>
      <c r="AY118" s="48"/>
      <c r="AZ118" s="48"/>
      <c r="BA118" s="48"/>
      <c r="BB118" s="48"/>
      <c r="BC118" s="48"/>
      <c r="BD118" s="48"/>
      <c r="BE118" s="48"/>
      <c r="BF118" s="48"/>
      <c r="BG118" s="48"/>
      <c r="BH118" s="48"/>
      <c r="BI118" s="48"/>
      <c r="BJ118" s="48"/>
      <c r="BK118" s="48"/>
      <c r="BL118" s="48"/>
      <c r="BM118" s="48"/>
      <c r="BN118" s="48"/>
      <c r="BO118" s="48"/>
      <c r="BP118" s="48"/>
      <c r="BQ118" s="48"/>
      <c r="BR118" s="48"/>
      <c r="BS118" s="48"/>
      <c r="BT118" s="144"/>
      <c r="BU118" s="144"/>
      <c r="BV118" s="144"/>
      <c r="BW118" s="144"/>
      <c r="BX118" s="144"/>
      <c r="BY118" s="48"/>
      <c r="BZ118" s="48"/>
      <c r="CA118" s="48"/>
      <c r="CB118" s="48"/>
      <c r="CC118" s="48"/>
      <c r="CD118" s="48"/>
      <c r="CE118" s="48"/>
      <c r="CF118" s="48"/>
      <c r="CG118" s="48"/>
      <c r="CH118" s="48"/>
      <c r="CI118" s="48"/>
      <c r="CJ118" s="48"/>
      <c r="CK118" s="48"/>
      <c r="CL118" s="48"/>
      <c r="CM118" s="48"/>
      <c r="CN118" s="48"/>
      <c r="CO118" s="48"/>
      <c r="CP118" s="48"/>
      <c r="CQ118" s="48"/>
      <c r="CR118" s="48"/>
      <c r="CS118" s="48"/>
      <c r="CT118" s="48"/>
      <c r="CU118" s="48"/>
      <c r="CV118" s="48"/>
      <c r="CW118" s="48"/>
      <c r="CX118" s="48"/>
      <c r="CY118" s="48"/>
      <c r="CZ118" s="48"/>
      <c r="DA118" s="48"/>
      <c r="DB118" s="48"/>
      <c r="DC118" s="48"/>
      <c r="DD118" s="48"/>
      <c r="DE118" s="48"/>
      <c r="DF118" s="48"/>
      <c r="DG118" s="48"/>
      <c r="DH118" s="48"/>
      <c r="DI118" s="48"/>
      <c r="DJ118" s="48"/>
      <c r="DK118" s="48"/>
      <c r="DL118" s="48"/>
      <c r="DM118" s="48"/>
      <c r="DN118" s="48"/>
      <c r="DO118" s="48"/>
      <c r="DP118" s="48"/>
    </row>
    <row r="119" spans="2:120" x14ac:dyDescent="0.2">
      <c r="B119" s="48"/>
      <c r="C119" s="144"/>
      <c r="D119" s="48"/>
      <c r="E119" s="48"/>
      <c r="F119" s="48"/>
      <c r="G119" s="48"/>
      <c r="H119" s="48"/>
      <c r="I119" s="48"/>
      <c r="J119" s="48"/>
      <c r="K119" s="48"/>
      <c r="L119" s="48"/>
      <c r="M119" s="238">
        <v>17</v>
      </c>
      <c r="N119" s="234" t="s">
        <v>903</v>
      </c>
      <c r="O119" s="239">
        <f>COUNTIFS(Tabulacao!$CY:$CY,EmpAtual!$N$101,Tabulacao!$DA:$DA,EmpAtual!N119)</f>
        <v>0</v>
      </c>
      <c r="P119" s="240">
        <f t="shared" si="72"/>
        <v>0</v>
      </c>
      <c r="Q119" s="48"/>
      <c r="R119" s="48"/>
      <c r="S119" s="48"/>
      <c r="T119" s="48"/>
      <c r="U119" s="48"/>
      <c r="V119" s="48"/>
      <c r="W119" s="168" t="s">
        <v>121</v>
      </c>
      <c r="X119" s="179">
        <v>4500</v>
      </c>
      <c r="Y119" s="168"/>
      <c r="Z119" s="168"/>
      <c r="AA119" s="168"/>
      <c r="AB119" s="48"/>
      <c r="AC119" s="48"/>
      <c r="AD119" s="48"/>
      <c r="AE119" s="48"/>
      <c r="AF119" s="48"/>
      <c r="AG119" s="48"/>
      <c r="AH119" s="48"/>
      <c r="AI119" s="48"/>
      <c r="AJ119" s="48"/>
      <c r="AK119" s="48"/>
      <c r="AL119" s="48"/>
      <c r="AM119" s="48"/>
      <c r="AN119" s="48"/>
      <c r="AO119" s="48"/>
      <c r="AP119" s="48"/>
      <c r="AQ119" s="48"/>
      <c r="AR119" s="48"/>
      <c r="AS119" s="48"/>
      <c r="AT119" s="48"/>
      <c r="AU119" s="48"/>
      <c r="AV119" s="48"/>
      <c r="AW119" s="48"/>
      <c r="AX119" s="48"/>
      <c r="AY119" s="48"/>
      <c r="AZ119" s="48"/>
      <c r="BA119" s="48"/>
      <c r="BB119" s="48"/>
      <c r="BC119" s="48"/>
      <c r="BD119" s="48"/>
      <c r="BE119" s="48"/>
      <c r="BF119" s="48"/>
      <c r="BG119" s="48"/>
      <c r="BH119" s="48"/>
      <c r="BI119" s="48"/>
      <c r="BJ119" s="48"/>
      <c r="BK119" s="48"/>
      <c r="BL119" s="48"/>
      <c r="BM119" s="48"/>
      <c r="BN119" s="48"/>
      <c r="BO119" s="48"/>
      <c r="BP119" s="48"/>
      <c r="BQ119" s="48"/>
      <c r="BR119" s="48"/>
      <c r="BS119" s="48"/>
      <c r="BT119" s="144"/>
      <c r="BU119" s="144"/>
      <c r="BV119" s="144"/>
      <c r="BW119" s="144"/>
      <c r="BX119" s="144"/>
      <c r="BY119" s="48"/>
      <c r="BZ119" s="48"/>
      <c r="CA119" s="48"/>
      <c r="CB119" s="48"/>
      <c r="CC119" s="48"/>
      <c r="CD119" s="48"/>
      <c r="CE119" s="48"/>
      <c r="CF119" s="48"/>
      <c r="CG119" s="48"/>
      <c r="CH119" s="48"/>
      <c r="CI119" s="48"/>
      <c r="CJ119" s="48"/>
      <c r="CK119" s="48"/>
      <c r="CL119" s="48"/>
      <c r="CM119" s="48"/>
      <c r="CN119" s="48"/>
      <c r="CO119" s="48"/>
      <c r="CP119" s="48"/>
      <c r="CQ119" s="48"/>
      <c r="CR119" s="48"/>
      <c r="CS119" s="48"/>
      <c r="CT119" s="48"/>
      <c r="CU119" s="48"/>
      <c r="CV119" s="48"/>
      <c r="CW119" s="48"/>
      <c r="CX119" s="48"/>
      <c r="CY119" s="48"/>
      <c r="CZ119" s="48"/>
      <c r="DA119" s="48"/>
      <c r="DB119" s="48"/>
      <c r="DC119" s="48"/>
      <c r="DD119" s="48"/>
      <c r="DE119" s="48"/>
      <c r="DF119" s="48"/>
      <c r="DG119" s="48"/>
      <c r="DH119" s="48"/>
      <c r="DI119" s="48"/>
      <c r="DJ119" s="48"/>
      <c r="DK119" s="48"/>
      <c r="DL119" s="48"/>
      <c r="DM119" s="48"/>
      <c r="DN119" s="48"/>
      <c r="DO119" s="48"/>
      <c r="DP119" s="48"/>
    </row>
    <row r="120" spans="2:120" x14ac:dyDescent="0.2">
      <c r="B120" s="48"/>
      <c r="C120" s="144"/>
      <c r="D120" s="48"/>
      <c r="E120" s="48"/>
      <c r="F120" s="48"/>
      <c r="G120" s="48"/>
      <c r="H120" s="48"/>
      <c r="I120" s="48"/>
      <c r="J120" s="48"/>
      <c r="K120" s="48"/>
      <c r="L120" s="48"/>
      <c r="M120" s="238">
        <v>18</v>
      </c>
      <c r="N120" s="234" t="s">
        <v>1235</v>
      </c>
      <c r="O120" s="239">
        <f>COUNTIFS(Tabulacao!$CY:$CY,EmpAtual!$N$101,Tabulacao!$DA:$DA,EmpAtual!N120)</f>
        <v>0</v>
      </c>
      <c r="P120" s="240">
        <f t="shared" si="72"/>
        <v>0</v>
      </c>
      <c r="Q120" s="48"/>
      <c r="R120" s="48"/>
      <c r="S120" s="48"/>
      <c r="T120" s="48"/>
      <c r="U120" s="48"/>
      <c r="V120" s="48"/>
      <c r="W120" s="168" t="s">
        <v>121</v>
      </c>
      <c r="X120" s="179">
        <v>950</v>
      </c>
      <c r="Y120" s="168"/>
      <c r="Z120" s="168"/>
      <c r="AA120" s="168"/>
      <c r="AB120" s="48"/>
      <c r="AC120" s="48"/>
      <c r="AD120" s="48"/>
      <c r="AE120" s="48"/>
      <c r="AF120" s="48"/>
      <c r="AG120" s="48"/>
      <c r="AH120" s="48"/>
      <c r="AI120" s="48"/>
      <c r="AJ120" s="48"/>
      <c r="AK120" s="48"/>
      <c r="AL120" s="48"/>
      <c r="AM120" s="48"/>
      <c r="AN120" s="48"/>
      <c r="AO120" s="48"/>
      <c r="AP120" s="48"/>
      <c r="AQ120" s="48"/>
      <c r="AR120" s="48"/>
      <c r="AS120" s="48"/>
      <c r="AT120" s="48"/>
      <c r="AU120" s="48"/>
      <c r="AV120" s="48"/>
      <c r="AW120" s="48"/>
      <c r="AX120" s="48"/>
      <c r="AY120" s="48"/>
      <c r="AZ120" s="48"/>
      <c r="BA120" s="48"/>
      <c r="BB120" s="48"/>
      <c r="BC120" s="48"/>
      <c r="BD120" s="48"/>
      <c r="BE120" s="48"/>
      <c r="BF120" s="48"/>
      <c r="BG120" s="48"/>
      <c r="BH120" s="48"/>
      <c r="BI120" s="48"/>
      <c r="BJ120" s="48"/>
      <c r="BK120" s="48"/>
      <c r="BL120" s="48"/>
      <c r="BM120" s="48"/>
      <c r="BN120" s="48"/>
      <c r="BO120" s="48"/>
      <c r="BP120" s="48"/>
      <c r="BQ120" s="48"/>
      <c r="BR120" s="48"/>
      <c r="BS120" s="48"/>
      <c r="BT120" s="144"/>
      <c r="BU120" s="144"/>
      <c r="BV120" s="144"/>
      <c r="BW120" s="144"/>
      <c r="BX120" s="144"/>
      <c r="BY120" s="48"/>
      <c r="BZ120" s="48"/>
      <c r="CA120" s="48"/>
      <c r="CB120" s="48"/>
      <c r="CC120" s="48"/>
      <c r="CD120" s="48"/>
      <c r="CE120" s="48"/>
      <c r="CF120" s="48"/>
      <c r="CG120" s="48"/>
      <c r="CH120" s="48"/>
      <c r="CI120" s="48"/>
      <c r="CJ120" s="48"/>
      <c r="CK120" s="48"/>
      <c r="CL120" s="48"/>
      <c r="CM120" s="48"/>
      <c r="CN120" s="48"/>
      <c r="CO120" s="48"/>
      <c r="CP120" s="48"/>
      <c r="CQ120" s="48"/>
      <c r="CR120" s="48"/>
      <c r="CS120" s="48"/>
      <c r="CT120" s="48"/>
      <c r="CU120" s="48"/>
      <c r="CV120" s="48"/>
      <c r="CW120" s="48"/>
      <c r="CX120" s="48"/>
      <c r="CY120" s="48"/>
      <c r="CZ120" s="48"/>
      <c r="DA120" s="48"/>
      <c r="DB120" s="48"/>
      <c r="DC120" s="48"/>
      <c r="DD120" s="48"/>
      <c r="DE120" s="48"/>
      <c r="DF120" s="48"/>
      <c r="DG120" s="48"/>
      <c r="DH120" s="48"/>
      <c r="DI120" s="48"/>
      <c r="DJ120" s="48"/>
      <c r="DK120" s="48"/>
      <c r="DL120" s="48"/>
      <c r="DM120" s="48"/>
      <c r="DN120" s="48"/>
      <c r="DO120" s="48"/>
      <c r="DP120" s="48"/>
    </row>
    <row r="121" spans="2:120" x14ac:dyDescent="0.2">
      <c r="B121" s="48"/>
      <c r="C121" s="144"/>
      <c r="D121" s="48"/>
      <c r="E121" s="48"/>
      <c r="F121" s="48"/>
      <c r="G121" s="48"/>
      <c r="H121" s="48"/>
      <c r="I121" s="48"/>
      <c r="J121" s="48"/>
      <c r="K121" s="48"/>
      <c r="L121" s="48"/>
      <c r="M121" s="238">
        <v>19</v>
      </c>
      <c r="N121" s="234" t="s">
        <v>851</v>
      </c>
      <c r="O121" s="239">
        <f>COUNTIFS(Tabulacao!$CY:$CY,EmpAtual!$N$101,Tabulacao!$DA:$DA,EmpAtual!N121)</f>
        <v>0</v>
      </c>
      <c r="P121" s="240">
        <f t="shared" si="72"/>
        <v>0</v>
      </c>
      <c r="Q121" s="48"/>
      <c r="R121" s="48"/>
      <c r="S121" s="48"/>
      <c r="T121" s="48"/>
      <c r="U121" s="48"/>
      <c r="V121" s="48"/>
      <c r="W121" s="168" t="s">
        <v>121</v>
      </c>
      <c r="X121" s="179">
        <v>3000</v>
      </c>
      <c r="Y121" s="168"/>
      <c r="Z121" s="168"/>
      <c r="AA121" s="168"/>
      <c r="AB121" s="48"/>
      <c r="AC121" s="48"/>
      <c r="AD121" s="48"/>
      <c r="AE121" s="48"/>
      <c r="AF121" s="48"/>
      <c r="AG121" s="48"/>
      <c r="AH121" s="48"/>
      <c r="AI121" s="48"/>
      <c r="AJ121" s="48"/>
      <c r="AK121" s="48"/>
      <c r="AL121" s="48"/>
      <c r="AM121" s="48"/>
      <c r="AN121" s="48"/>
      <c r="AO121" s="48"/>
      <c r="AP121" s="48"/>
      <c r="AQ121" s="48"/>
      <c r="AR121" s="48"/>
      <c r="AS121" s="48"/>
      <c r="AT121" s="48"/>
      <c r="AU121" s="48"/>
      <c r="AV121" s="48"/>
      <c r="AW121" s="48"/>
      <c r="AX121" s="48"/>
      <c r="AY121" s="48"/>
      <c r="AZ121" s="48"/>
      <c r="BA121" s="48"/>
      <c r="BB121" s="48"/>
      <c r="BC121" s="48"/>
      <c r="BD121" s="48"/>
      <c r="BE121" s="48"/>
      <c r="BF121" s="48"/>
      <c r="BG121" s="48"/>
      <c r="BH121" s="48"/>
      <c r="BI121" s="48"/>
      <c r="BJ121" s="48"/>
      <c r="BK121" s="48"/>
      <c r="BL121" s="48"/>
      <c r="BM121" s="48"/>
      <c r="BN121" s="48"/>
      <c r="BO121" s="48"/>
      <c r="BP121" s="48"/>
      <c r="BQ121" s="48"/>
      <c r="BR121" s="48"/>
      <c r="BS121" s="48"/>
      <c r="BT121" s="144"/>
      <c r="BU121" s="144"/>
      <c r="BV121" s="144"/>
      <c r="BW121" s="144"/>
      <c r="BX121" s="144"/>
      <c r="BY121" s="48"/>
      <c r="BZ121" s="48"/>
      <c r="CA121" s="48"/>
      <c r="CB121" s="48"/>
      <c r="CC121" s="48"/>
      <c r="CD121" s="48"/>
      <c r="CE121" s="48"/>
      <c r="CF121" s="48"/>
      <c r="CG121" s="48"/>
      <c r="CH121" s="48"/>
      <c r="CI121" s="48"/>
      <c r="CJ121" s="48"/>
      <c r="CK121" s="48"/>
      <c r="CL121" s="48"/>
      <c r="CM121" s="48"/>
      <c r="CN121" s="48"/>
      <c r="CO121" s="48"/>
      <c r="CP121" s="48"/>
      <c r="CQ121" s="48"/>
      <c r="CR121" s="48"/>
      <c r="CS121" s="48"/>
      <c r="CT121" s="48"/>
      <c r="CU121" s="48"/>
      <c r="CV121" s="48"/>
      <c r="CW121" s="48"/>
      <c r="CX121" s="48"/>
      <c r="CY121" s="48"/>
      <c r="CZ121" s="48"/>
      <c r="DA121" s="48"/>
      <c r="DB121" s="48"/>
      <c r="DC121" s="48"/>
      <c r="DD121" s="48"/>
      <c r="DE121" s="48"/>
      <c r="DF121" s="48"/>
      <c r="DG121" s="48"/>
      <c r="DH121" s="48"/>
      <c r="DI121" s="48"/>
      <c r="DJ121" s="48"/>
      <c r="DK121" s="48"/>
      <c r="DL121" s="48"/>
      <c r="DM121" s="48"/>
      <c r="DN121" s="48"/>
      <c r="DO121" s="48"/>
      <c r="DP121" s="48"/>
    </row>
    <row r="122" spans="2:120" x14ac:dyDescent="0.2">
      <c r="B122" s="48"/>
      <c r="C122" s="144"/>
      <c r="D122" s="48"/>
      <c r="E122" s="48"/>
      <c r="F122" s="48"/>
      <c r="G122" s="48"/>
      <c r="H122" s="48"/>
      <c r="I122" s="48"/>
      <c r="J122" s="48"/>
      <c r="K122" s="48"/>
      <c r="L122" s="48"/>
      <c r="M122" s="238">
        <v>20</v>
      </c>
      <c r="N122" s="234" t="s">
        <v>1109</v>
      </c>
      <c r="O122" s="239">
        <f>COUNTIFS(Tabulacao!$CY:$CY,EmpAtual!$N$101,Tabulacao!$DA:$DA,EmpAtual!N122)</f>
        <v>0</v>
      </c>
      <c r="P122" s="240">
        <f t="shared" si="72"/>
        <v>0</v>
      </c>
      <c r="Q122" s="48"/>
      <c r="R122" s="48"/>
      <c r="S122" s="48"/>
      <c r="T122" s="48"/>
      <c r="U122" s="48"/>
      <c r="V122" s="48"/>
      <c r="W122" s="168" t="s">
        <v>121</v>
      </c>
      <c r="X122" s="179">
        <v>954</v>
      </c>
      <c r="Y122" s="168"/>
      <c r="Z122" s="168"/>
      <c r="AA122" s="168"/>
      <c r="AB122" s="48"/>
      <c r="AC122" s="48"/>
      <c r="AD122" s="48"/>
      <c r="AE122" s="48"/>
      <c r="AF122" s="48"/>
      <c r="AG122" s="48"/>
      <c r="AH122" s="48"/>
      <c r="AI122" s="48"/>
      <c r="AJ122" s="48"/>
      <c r="AK122" s="48"/>
      <c r="AL122" s="48"/>
      <c r="AM122" s="48"/>
      <c r="AN122" s="48"/>
      <c r="AO122" s="48"/>
      <c r="AP122" s="48"/>
      <c r="AQ122" s="48"/>
      <c r="AR122" s="48"/>
      <c r="AS122" s="48"/>
      <c r="AT122" s="48"/>
      <c r="AU122" s="48"/>
      <c r="AV122" s="48"/>
      <c r="AW122" s="48"/>
      <c r="AX122" s="48"/>
      <c r="AY122" s="48"/>
      <c r="AZ122" s="48"/>
      <c r="BA122" s="48"/>
      <c r="BB122" s="48"/>
      <c r="BC122" s="48"/>
      <c r="BD122" s="48"/>
      <c r="BE122" s="48"/>
      <c r="BF122" s="48"/>
      <c r="BG122" s="48"/>
      <c r="BH122" s="48"/>
      <c r="BI122" s="48"/>
      <c r="BJ122" s="48"/>
      <c r="BK122" s="48"/>
      <c r="BL122" s="48"/>
      <c r="BM122" s="48"/>
      <c r="BN122" s="48"/>
      <c r="BO122" s="48"/>
      <c r="BP122" s="48"/>
      <c r="BQ122" s="48"/>
      <c r="BR122" s="48"/>
      <c r="BS122" s="48"/>
      <c r="BT122" s="144"/>
      <c r="BU122" s="144"/>
      <c r="BV122" s="144"/>
      <c r="BW122" s="144"/>
      <c r="BX122" s="144"/>
      <c r="BY122" s="48"/>
      <c r="BZ122" s="48"/>
      <c r="CA122" s="48"/>
      <c r="CB122" s="48"/>
      <c r="CC122" s="48"/>
      <c r="CD122" s="48"/>
      <c r="CE122" s="48"/>
      <c r="CF122" s="48"/>
      <c r="CG122" s="48"/>
      <c r="CH122" s="48"/>
      <c r="CI122" s="48"/>
      <c r="CJ122" s="48"/>
      <c r="CK122" s="48"/>
      <c r="CL122" s="48"/>
      <c r="CM122" s="48"/>
      <c r="CN122" s="48"/>
      <c r="CO122" s="48"/>
      <c r="CP122" s="48"/>
      <c r="CQ122" s="48"/>
      <c r="CR122" s="48"/>
      <c r="CS122" s="48"/>
      <c r="CT122" s="48"/>
      <c r="CU122" s="48"/>
      <c r="CV122" s="48"/>
      <c r="CW122" s="48"/>
      <c r="CX122" s="48"/>
      <c r="CY122" s="48"/>
      <c r="CZ122" s="48"/>
      <c r="DA122" s="48"/>
      <c r="DB122" s="48"/>
      <c r="DC122" s="48"/>
      <c r="DD122" s="48"/>
      <c r="DE122" s="48"/>
      <c r="DF122" s="48"/>
      <c r="DG122" s="48"/>
      <c r="DH122" s="48"/>
      <c r="DI122" s="48"/>
      <c r="DJ122" s="48"/>
      <c r="DK122" s="48"/>
      <c r="DL122" s="48"/>
      <c r="DM122" s="48"/>
      <c r="DN122" s="48"/>
      <c r="DO122" s="48"/>
      <c r="DP122" s="48"/>
    </row>
    <row r="123" spans="2:120" x14ac:dyDescent="0.2">
      <c r="B123" s="48"/>
      <c r="C123" s="144"/>
      <c r="D123" s="48"/>
      <c r="E123" s="48"/>
      <c r="F123" s="48"/>
      <c r="G123" s="48"/>
      <c r="H123" s="48"/>
      <c r="I123" s="48"/>
      <c r="J123" s="48"/>
      <c r="K123" s="48"/>
      <c r="L123" s="48"/>
      <c r="M123" s="238">
        <v>21</v>
      </c>
      <c r="N123" s="234" t="s">
        <v>308</v>
      </c>
      <c r="O123" s="239">
        <f>COUNTIFS(Tabulacao!$CY:$CY,EmpAtual!$N$101,Tabulacao!$DA:$DA,EmpAtual!N123)</f>
        <v>0</v>
      </c>
      <c r="P123" s="240">
        <f t="shared" si="72"/>
        <v>0</v>
      </c>
      <c r="Q123" s="48"/>
      <c r="R123" s="48"/>
      <c r="S123" s="48"/>
      <c r="T123" s="48"/>
      <c r="U123" s="48"/>
      <c r="V123" s="48"/>
      <c r="W123" s="168" t="s">
        <v>121</v>
      </c>
      <c r="X123" s="179">
        <v>1800</v>
      </c>
      <c r="Y123" s="168"/>
      <c r="Z123" s="168"/>
      <c r="AA123" s="168"/>
      <c r="AB123" s="48"/>
      <c r="AC123" s="48"/>
      <c r="AD123" s="48"/>
      <c r="AE123" s="48"/>
      <c r="AF123" s="48"/>
      <c r="AG123" s="48"/>
      <c r="AH123" s="48"/>
      <c r="AI123" s="48"/>
      <c r="AJ123" s="48"/>
      <c r="AK123" s="48"/>
      <c r="AL123" s="48"/>
      <c r="AM123" s="48"/>
      <c r="AN123" s="48"/>
      <c r="AO123" s="48"/>
      <c r="AP123" s="48"/>
      <c r="AQ123" s="48"/>
      <c r="AR123" s="48"/>
      <c r="AS123" s="48"/>
      <c r="AT123" s="48"/>
      <c r="AU123" s="48"/>
      <c r="AV123" s="48"/>
      <c r="AW123" s="48"/>
      <c r="AX123" s="48"/>
      <c r="AY123" s="48"/>
      <c r="AZ123" s="48"/>
      <c r="BA123" s="48"/>
      <c r="BB123" s="48"/>
      <c r="BC123" s="48"/>
      <c r="BD123" s="48"/>
      <c r="BE123" s="48"/>
      <c r="BF123" s="48"/>
      <c r="BG123" s="48"/>
      <c r="BH123" s="48"/>
      <c r="BI123" s="48"/>
      <c r="BJ123" s="48"/>
      <c r="BK123" s="48"/>
      <c r="BL123" s="48"/>
      <c r="BM123" s="48"/>
      <c r="BN123" s="48"/>
      <c r="BO123" s="48"/>
      <c r="BP123" s="48"/>
      <c r="BQ123" s="48"/>
      <c r="BR123" s="48"/>
      <c r="BS123" s="48"/>
      <c r="BT123" s="144"/>
      <c r="BU123" s="144"/>
      <c r="BV123" s="144"/>
      <c r="BW123" s="144"/>
      <c r="BX123" s="144"/>
      <c r="BY123" s="48"/>
      <c r="BZ123" s="48"/>
      <c r="CA123" s="48"/>
      <c r="CB123" s="48"/>
      <c r="CC123" s="48"/>
      <c r="CD123" s="48"/>
      <c r="CE123" s="48"/>
      <c r="CF123" s="48"/>
      <c r="CG123" s="48"/>
      <c r="CH123" s="48"/>
      <c r="CI123" s="48"/>
      <c r="CJ123" s="48"/>
      <c r="CK123" s="48"/>
      <c r="CL123" s="48"/>
      <c r="CM123" s="48"/>
      <c r="CN123" s="48"/>
      <c r="CO123" s="48"/>
      <c r="CP123" s="48"/>
      <c r="CQ123" s="48"/>
      <c r="CR123" s="48"/>
      <c r="CS123" s="48"/>
      <c r="CT123" s="48"/>
      <c r="CU123" s="48"/>
      <c r="CV123" s="48"/>
      <c r="CW123" s="48"/>
      <c r="CX123" s="48"/>
      <c r="CY123" s="48"/>
      <c r="CZ123" s="48"/>
      <c r="DA123" s="48"/>
      <c r="DB123" s="48"/>
      <c r="DC123" s="48"/>
      <c r="DD123" s="48"/>
      <c r="DE123" s="48"/>
      <c r="DF123" s="48"/>
      <c r="DG123" s="48"/>
      <c r="DH123" s="48"/>
      <c r="DI123" s="48"/>
      <c r="DJ123" s="48"/>
      <c r="DK123" s="48"/>
      <c r="DL123" s="48"/>
      <c r="DM123" s="48"/>
      <c r="DN123" s="48"/>
      <c r="DO123" s="48"/>
      <c r="DP123" s="48"/>
    </row>
    <row r="124" spans="2:120" x14ac:dyDescent="0.2">
      <c r="B124" s="48"/>
      <c r="C124" s="144"/>
      <c r="D124" s="48"/>
      <c r="E124" s="48"/>
      <c r="F124" s="48"/>
      <c r="G124" s="48"/>
      <c r="H124" s="48"/>
      <c r="I124" s="48"/>
      <c r="J124" s="48"/>
      <c r="K124" s="48"/>
      <c r="L124" s="48"/>
      <c r="M124" s="238">
        <v>22</v>
      </c>
      <c r="N124" s="234" t="s">
        <v>1217</v>
      </c>
      <c r="O124" s="239">
        <f>COUNTIFS(Tabulacao!$CY:$CY,EmpAtual!$N$101,Tabulacao!$DA:$DA,EmpAtual!N124)</f>
        <v>0</v>
      </c>
      <c r="P124" s="240">
        <f t="shared" si="72"/>
        <v>0</v>
      </c>
      <c r="Q124" s="48"/>
      <c r="R124" s="48"/>
      <c r="S124" s="48"/>
      <c r="T124" s="48"/>
      <c r="U124" s="48"/>
      <c r="V124" s="48"/>
      <c r="W124" s="168" t="s">
        <v>121</v>
      </c>
      <c r="X124" s="179">
        <v>1000</v>
      </c>
      <c r="Y124" s="168"/>
      <c r="Z124" s="168"/>
      <c r="AA124" s="168"/>
      <c r="AB124" s="48"/>
      <c r="AC124" s="48"/>
      <c r="AD124" s="48"/>
      <c r="AE124" s="48"/>
      <c r="AF124" s="48"/>
      <c r="AG124" s="48"/>
      <c r="AH124" s="48"/>
      <c r="AI124" s="48"/>
      <c r="AJ124" s="48"/>
      <c r="AK124" s="48"/>
      <c r="AL124" s="48"/>
      <c r="AM124" s="48"/>
      <c r="AN124" s="48"/>
      <c r="AO124" s="48"/>
      <c r="AP124" s="48"/>
      <c r="AQ124" s="48"/>
      <c r="AR124" s="48"/>
      <c r="AS124" s="48"/>
      <c r="AT124" s="48"/>
      <c r="AU124" s="48"/>
      <c r="AV124" s="48"/>
      <c r="AW124" s="48"/>
      <c r="AX124" s="48"/>
      <c r="AY124" s="48"/>
      <c r="AZ124" s="48"/>
      <c r="BA124" s="48"/>
      <c r="BB124" s="48"/>
      <c r="BC124" s="48"/>
      <c r="BD124" s="48"/>
      <c r="BE124" s="48"/>
      <c r="BF124" s="48"/>
      <c r="BG124" s="48"/>
      <c r="BH124" s="48"/>
      <c r="BI124" s="48"/>
      <c r="BJ124" s="48"/>
      <c r="BK124" s="48"/>
      <c r="BL124" s="48"/>
      <c r="BM124" s="48"/>
      <c r="BN124" s="48"/>
      <c r="BO124" s="48"/>
      <c r="BP124" s="48"/>
      <c r="BQ124" s="48"/>
      <c r="BR124" s="48"/>
      <c r="BS124" s="48"/>
      <c r="BT124" s="144"/>
      <c r="BU124" s="144"/>
      <c r="BV124" s="144"/>
      <c r="BW124" s="144"/>
      <c r="BX124" s="144"/>
      <c r="BY124" s="48"/>
      <c r="BZ124" s="48"/>
      <c r="CA124" s="48"/>
      <c r="CB124" s="48"/>
      <c r="CC124" s="48"/>
      <c r="CD124" s="48"/>
      <c r="CE124" s="48"/>
      <c r="CF124" s="48"/>
      <c r="CG124" s="48"/>
      <c r="CH124" s="48"/>
      <c r="CI124" s="48"/>
      <c r="CJ124" s="48"/>
      <c r="CK124" s="48"/>
      <c r="CL124" s="48"/>
      <c r="CM124" s="48"/>
      <c r="CN124" s="48"/>
      <c r="CO124" s="48"/>
      <c r="CP124" s="48"/>
      <c r="CQ124" s="48"/>
      <c r="CR124" s="48"/>
      <c r="CS124" s="48"/>
      <c r="CT124" s="48"/>
      <c r="CU124" s="48"/>
      <c r="CV124" s="48"/>
      <c r="CW124" s="48"/>
      <c r="CX124" s="48"/>
      <c r="CY124" s="48"/>
      <c r="CZ124" s="48"/>
      <c r="DA124" s="48"/>
      <c r="DB124" s="48"/>
      <c r="DC124" s="48"/>
      <c r="DD124" s="48"/>
      <c r="DE124" s="48"/>
      <c r="DF124" s="48"/>
      <c r="DG124" s="48"/>
      <c r="DH124" s="48"/>
      <c r="DI124" s="48"/>
      <c r="DJ124" s="48"/>
      <c r="DK124" s="48"/>
      <c r="DL124" s="48"/>
      <c r="DM124" s="48"/>
      <c r="DN124" s="48"/>
      <c r="DO124" s="48"/>
      <c r="DP124" s="48"/>
    </row>
    <row r="125" spans="2:120" x14ac:dyDescent="0.2">
      <c r="B125" s="48"/>
      <c r="C125" s="144"/>
      <c r="D125" s="48"/>
      <c r="E125" s="48"/>
      <c r="F125" s="48"/>
      <c r="G125" s="48"/>
      <c r="H125" s="48"/>
      <c r="I125" s="48"/>
      <c r="J125" s="48"/>
      <c r="K125" s="48"/>
      <c r="L125" s="48"/>
      <c r="M125" s="238">
        <v>23</v>
      </c>
      <c r="N125" s="234" t="s">
        <v>1218</v>
      </c>
      <c r="O125" s="239">
        <f>COUNTIFS(Tabulacao!$CY:$CY,EmpAtual!$N$101,Tabulacao!$DA:$DA,EmpAtual!N125)</f>
        <v>0</v>
      </c>
      <c r="P125" s="240">
        <f t="shared" si="72"/>
        <v>0</v>
      </c>
      <c r="Q125" s="48"/>
      <c r="R125" s="48"/>
      <c r="S125" s="48"/>
      <c r="T125" s="48"/>
      <c r="U125" s="48"/>
      <c r="V125" s="48"/>
      <c r="W125" s="168" t="s">
        <v>121</v>
      </c>
      <c r="X125" s="179">
        <v>3200</v>
      </c>
      <c r="Y125" s="168"/>
      <c r="Z125" s="168"/>
      <c r="AA125" s="168"/>
      <c r="AB125" s="48"/>
      <c r="AC125" s="48"/>
      <c r="AD125" s="48"/>
      <c r="AE125" s="48"/>
      <c r="AF125" s="48"/>
      <c r="AG125" s="48"/>
      <c r="AH125" s="48"/>
      <c r="AI125" s="48"/>
      <c r="AJ125" s="48"/>
      <c r="AK125" s="48"/>
      <c r="AL125" s="48"/>
      <c r="AM125" s="48"/>
      <c r="AN125" s="48"/>
      <c r="AO125" s="48"/>
      <c r="AP125" s="48"/>
      <c r="AQ125" s="48"/>
      <c r="AR125" s="48"/>
      <c r="AS125" s="48"/>
      <c r="AT125" s="48"/>
      <c r="AU125" s="48"/>
      <c r="AV125" s="48"/>
      <c r="AW125" s="48"/>
      <c r="AX125" s="48"/>
      <c r="AY125" s="48"/>
      <c r="AZ125" s="48"/>
      <c r="BA125" s="48"/>
      <c r="BB125" s="48"/>
      <c r="BC125" s="48"/>
      <c r="BD125" s="48"/>
      <c r="BE125" s="48"/>
      <c r="BF125" s="48"/>
      <c r="BG125" s="48"/>
      <c r="BH125" s="48"/>
      <c r="BI125" s="48"/>
      <c r="BJ125" s="48"/>
      <c r="BK125" s="48"/>
      <c r="BL125" s="48"/>
      <c r="BM125" s="48"/>
      <c r="BN125" s="48"/>
      <c r="BO125" s="48"/>
      <c r="BP125" s="48"/>
      <c r="BQ125" s="48"/>
      <c r="BR125" s="48"/>
      <c r="BS125" s="48"/>
      <c r="BT125" s="144"/>
      <c r="BU125" s="144"/>
      <c r="BV125" s="144"/>
      <c r="BW125" s="144"/>
      <c r="BX125" s="144"/>
      <c r="BY125" s="48"/>
      <c r="BZ125" s="48"/>
      <c r="CA125" s="48"/>
      <c r="CB125" s="48"/>
      <c r="CC125" s="48"/>
      <c r="CD125" s="48"/>
      <c r="CE125" s="48"/>
      <c r="CF125" s="48"/>
      <c r="CG125" s="48"/>
      <c r="CH125" s="48"/>
      <c r="CI125" s="48"/>
      <c r="CJ125" s="48"/>
      <c r="CK125" s="48"/>
      <c r="CL125" s="48"/>
      <c r="CM125" s="48"/>
      <c r="CN125" s="48"/>
      <c r="CO125" s="48"/>
      <c r="CP125" s="48"/>
      <c r="CQ125" s="48"/>
      <c r="CR125" s="48"/>
      <c r="CS125" s="48"/>
      <c r="CT125" s="48"/>
      <c r="CU125" s="48"/>
      <c r="CV125" s="48"/>
      <c r="CW125" s="48"/>
      <c r="CX125" s="48"/>
      <c r="CY125" s="48"/>
      <c r="CZ125" s="48"/>
      <c r="DA125" s="48"/>
      <c r="DB125" s="48"/>
      <c r="DC125" s="48"/>
      <c r="DD125" s="48"/>
      <c r="DE125" s="48"/>
      <c r="DF125" s="48"/>
      <c r="DG125" s="48"/>
      <c r="DH125" s="48"/>
      <c r="DI125" s="48"/>
      <c r="DJ125" s="48"/>
      <c r="DK125" s="48"/>
      <c r="DL125" s="48"/>
      <c r="DM125" s="48"/>
      <c r="DN125" s="48"/>
      <c r="DO125" s="48"/>
      <c r="DP125" s="48"/>
    </row>
    <row r="126" spans="2:120" x14ac:dyDescent="0.2">
      <c r="B126" s="48"/>
      <c r="C126" s="144"/>
      <c r="D126" s="48"/>
      <c r="E126" s="48"/>
      <c r="F126" s="48"/>
      <c r="G126" s="48"/>
      <c r="H126" s="48"/>
      <c r="I126" s="48"/>
      <c r="J126" s="48"/>
      <c r="K126" s="48"/>
      <c r="L126" s="48"/>
      <c r="M126" s="238">
        <v>24</v>
      </c>
      <c r="N126" s="234" t="s">
        <v>323</v>
      </c>
      <c r="O126" s="239">
        <f>COUNTIFS(Tabulacao!$CY:$CY,EmpAtual!$N$101,Tabulacao!$DA:$DA,EmpAtual!N126)</f>
        <v>1</v>
      </c>
      <c r="P126" s="240">
        <f t="shared" si="72"/>
        <v>4.3478260869565216E-2</v>
      </c>
      <c r="Q126" s="48"/>
      <c r="R126" s="48"/>
      <c r="S126" s="48"/>
      <c r="T126" s="48"/>
      <c r="U126" s="48"/>
      <c r="V126" s="48"/>
      <c r="W126" s="168" t="s">
        <v>121</v>
      </c>
      <c r="X126" s="179">
        <v>1500</v>
      </c>
      <c r="Y126" s="168"/>
      <c r="Z126" s="168"/>
      <c r="AA126" s="168"/>
      <c r="AB126" s="48"/>
      <c r="AC126" s="48"/>
      <c r="AD126" s="48"/>
      <c r="AE126" s="48"/>
      <c r="AF126" s="48"/>
      <c r="AG126" s="48"/>
      <c r="AH126" s="48"/>
      <c r="AI126" s="48"/>
      <c r="AJ126" s="48"/>
      <c r="AK126" s="48"/>
      <c r="AL126" s="48"/>
      <c r="AM126" s="48"/>
      <c r="AN126" s="48"/>
      <c r="AO126" s="48"/>
      <c r="AP126" s="48"/>
      <c r="AQ126" s="48"/>
      <c r="AR126" s="48"/>
      <c r="AS126" s="48"/>
      <c r="AT126" s="48"/>
      <c r="AU126" s="48"/>
      <c r="AV126" s="48"/>
      <c r="AW126" s="48"/>
      <c r="AX126" s="48"/>
      <c r="AY126" s="48"/>
      <c r="AZ126" s="48"/>
      <c r="BA126" s="48"/>
      <c r="BB126" s="48"/>
      <c r="BC126" s="48"/>
      <c r="BD126" s="48"/>
      <c r="BE126" s="48"/>
      <c r="BF126" s="48"/>
      <c r="BG126" s="48"/>
      <c r="BH126" s="48"/>
      <c r="BI126" s="48"/>
      <c r="BJ126" s="48"/>
      <c r="BK126" s="48"/>
      <c r="BL126" s="48"/>
      <c r="BM126" s="48"/>
      <c r="BN126" s="48"/>
      <c r="BO126" s="48"/>
      <c r="BP126" s="48"/>
      <c r="BQ126" s="48"/>
      <c r="BR126" s="48"/>
      <c r="BS126" s="48"/>
      <c r="BT126" s="144"/>
      <c r="BU126" s="144"/>
      <c r="BV126" s="144"/>
      <c r="BW126" s="144"/>
      <c r="BX126" s="144"/>
      <c r="BY126" s="48"/>
      <c r="BZ126" s="48"/>
      <c r="CA126" s="48"/>
      <c r="CB126" s="48"/>
      <c r="CC126" s="48"/>
      <c r="CD126" s="48"/>
      <c r="CE126" s="48"/>
      <c r="CF126" s="48"/>
      <c r="CG126" s="48"/>
      <c r="CH126" s="48"/>
      <c r="CI126" s="48"/>
      <c r="CJ126" s="48"/>
      <c r="CK126" s="48"/>
      <c r="CL126" s="48"/>
      <c r="CM126" s="48"/>
      <c r="CN126" s="48"/>
      <c r="CO126" s="48"/>
      <c r="CP126" s="48"/>
      <c r="CQ126" s="48"/>
      <c r="CR126" s="48"/>
      <c r="CS126" s="48"/>
      <c r="CT126" s="48"/>
      <c r="CU126" s="48"/>
      <c r="CV126" s="48"/>
      <c r="CW126" s="48"/>
      <c r="CX126" s="48"/>
      <c r="CY126" s="48"/>
      <c r="CZ126" s="48"/>
      <c r="DA126" s="48"/>
      <c r="DB126" s="48"/>
      <c r="DC126" s="48"/>
      <c r="DD126" s="48"/>
      <c r="DE126" s="48"/>
      <c r="DF126" s="48"/>
      <c r="DG126" s="48"/>
      <c r="DH126" s="48"/>
      <c r="DI126" s="48"/>
      <c r="DJ126" s="48"/>
      <c r="DK126" s="48"/>
      <c r="DL126" s="48"/>
      <c r="DM126" s="48"/>
      <c r="DN126" s="48"/>
      <c r="DO126" s="48"/>
      <c r="DP126" s="48"/>
    </row>
    <row r="127" spans="2:120" x14ac:dyDescent="0.2">
      <c r="B127" s="48"/>
      <c r="C127" s="144"/>
      <c r="D127" s="48"/>
      <c r="E127" s="48"/>
      <c r="F127" s="48"/>
      <c r="G127" s="48"/>
      <c r="H127" s="48"/>
      <c r="I127" s="48"/>
      <c r="J127" s="48"/>
      <c r="K127" s="48"/>
      <c r="L127" s="48"/>
      <c r="M127" s="238">
        <v>25</v>
      </c>
      <c r="N127" s="234" t="s">
        <v>1219</v>
      </c>
      <c r="O127" s="239">
        <f>COUNTIFS(Tabulacao!$CY:$CY,EmpAtual!$N$101,Tabulacao!$DA:$DA,EmpAtual!N127)</f>
        <v>0</v>
      </c>
      <c r="P127" s="240">
        <f t="shared" si="72"/>
        <v>0</v>
      </c>
      <c r="Q127" s="48"/>
      <c r="R127" s="48"/>
      <c r="S127" s="48"/>
      <c r="T127" s="48"/>
      <c r="U127" s="48"/>
      <c r="V127" s="48"/>
      <c r="W127" s="168" t="s">
        <v>121</v>
      </c>
      <c r="X127" s="179">
        <v>2000</v>
      </c>
      <c r="Y127" s="168"/>
      <c r="Z127" s="168"/>
      <c r="AA127" s="168"/>
      <c r="AB127" s="48"/>
      <c r="AC127" s="48"/>
      <c r="AD127" s="48"/>
      <c r="AE127" s="48"/>
      <c r="AF127" s="48"/>
      <c r="AG127" s="48"/>
      <c r="AH127" s="48"/>
      <c r="AI127" s="48"/>
      <c r="AJ127" s="48"/>
      <c r="AK127" s="48"/>
      <c r="AL127" s="48"/>
      <c r="AM127" s="48"/>
      <c r="AN127" s="48"/>
      <c r="AO127" s="48"/>
      <c r="AP127" s="48"/>
      <c r="AQ127" s="48"/>
      <c r="AR127" s="48"/>
      <c r="AS127" s="48"/>
      <c r="AT127" s="48"/>
      <c r="AU127" s="48"/>
      <c r="AV127" s="48"/>
      <c r="AW127" s="48"/>
      <c r="AX127" s="48"/>
      <c r="AY127" s="48"/>
      <c r="AZ127" s="48"/>
      <c r="BA127" s="48"/>
      <c r="BB127" s="48"/>
      <c r="BC127" s="48"/>
      <c r="BD127" s="48"/>
      <c r="BE127" s="48"/>
      <c r="BF127" s="48"/>
      <c r="BG127" s="48"/>
      <c r="BH127" s="48"/>
      <c r="BI127" s="48"/>
      <c r="BJ127" s="48"/>
      <c r="BK127" s="48"/>
      <c r="BL127" s="48"/>
      <c r="BM127" s="48"/>
      <c r="BN127" s="48"/>
      <c r="BO127" s="48"/>
      <c r="BP127" s="48"/>
      <c r="BQ127" s="48"/>
      <c r="BR127" s="48"/>
      <c r="BS127" s="48"/>
      <c r="BT127" s="144"/>
      <c r="BU127" s="144"/>
      <c r="BV127" s="144"/>
      <c r="BW127" s="144"/>
      <c r="BX127" s="144"/>
      <c r="BY127" s="48"/>
      <c r="BZ127" s="48"/>
      <c r="CA127" s="48"/>
      <c r="CB127" s="48"/>
      <c r="CC127" s="48"/>
      <c r="CD127" s="48"/>
      <c r="CE127" s="48"/>
      <c r="CF127" s="48"/>
      <c r="CG127" s="48"/>
      <c r="CH127" s="48"/>
      <c r="CI127" s="48"/>
      <c r="CJ127" s="48"/>
      <c r="CK127" s="48"/>
      <c r="CL127" s="48"/>
      <c r="CM127" s="48"/>
      <c r="CN127" s="48"/>
      <c r="CO127" s="48"/>
      <c r="CP127" s="48"/>
      <c r="CQ127" s="48"/>
      <c r="CR127" s="48"/>
      <c r="CS127" s="48"/>
      <c r="CT127" s="48"/>
      <c r="CU127" s="48"/>
      <c r="CV127" s="48"/>
      <c r="CW127" s="48"/>
      <c r="CX127" s="48"/>
      <c r="CY127" s="48"/>
      <c r="CZ127" s="48"/>
      <c r="DA127" s="48"/>
      <c r="DB127" s="48"/>
      <c r="DC127" s="48"/>
      <c r="DD127" s="48"/>
      <c r="DE127" s="48"/>
      <c r="DF127" s="48"/>
      <c r="DG127" s="48"/>
      <c r="DH127" s="48"/>
      <c r="DI127" s="48"/>
      <c r="DJ127" s="48"/>
      <c r="DK127" s="48"/>
      <c r="DL127" s="48"/>
      <c r="DM127" s="48"/>
      <c r="DN127" s="48"/>
      <c r="DO127" s="48"/>
      <c r="DP127" s="48"/>
    </row>
    <row r="128" spans="2:120" x14ac:dyDescent="0.2">
      <c r="B128" s="48"/>
      <c r="C128" s="144"/>
      <c r="D128" s="48"/>
      <c r="E128" s="48"/>
      <c r="F128" s="48"/>
      <c r="G128" s="48"/>
      <c r="H128" s="48"/>
      <c r="I128" s="48"/>
      <c r="J128" s="48"/>
      <c r="K128" s="48"/>
      <c r="L128" s="48"/>
      <c r="M128" s="238">
        <v>26</v>
      </c>
      <c r="N128" s="234" t="s">
        <v>335</v>
      </c>
      <c r="O128" s="239">
        <f>COUNTIFS(Tabulacao!$CY:$CY,EmpAtual!$N$101,Tabulacao!$DA:$DA,EmpAtual!N128)</f>
        <v>0</v>
      </c>
      <c r="P128" s="240">
        <f t="shared" si="72"/>
        <v>0</v>
      </c>
      <c r="Q128" s="48"/>
      <c r="R128" s="48"/>
      <c r="S128" s="48"/>
      <c r="T128" s="48"/>
      <c r="U128" s="48"/>
      <c r="V128" s="48"/>
      <c r="W128" s="168" t="s">
        <v>121</v>
      </c>
      <c r="X128" s="179">
        <v>1000</v>
      </c>
      <c r="Y128" s="168"/>
      <c r="Z128" s="168"/>
      <c r="AA128" s="168"/>
      <c r="AB128" s="48"/>
      <c r="AC128" s="48"/>
      <c r="AD128" s="48"/>
      <c r="AE128" s="48"/>
      <c r="AF128" s="48"/>
      <c r="AG128" s="48"/>
      <c r="AH128" s="48"/>
      <c r="AI128" s="48"/>
      <c r="AJ128" s="48"/>
      <c r="AK128" s="48"/>
      <c r="AL128" s="48"/>
      <c r="AM128" s="48"/>
      <c r="AN128" s="48"/>
      <c r="AO128" s="48"/>
      <c r="AP128" s="48"/>
      <c r="AQ128" s="48"/>
      <c r="AR128" s="48"/>
      <c r="AS128" s="48"/>
      <c r="AT128" s="48"/>
      <c r="AU128" s="48"/>
      <c r="AV128" s="48"/>
      <c r="AW128" s="48"/>
      <c r="AX128" s="48"/>
      <c r="AY128" s="48"/>
      <c r="AZ128" s="48"/>
      <c r="BA128" s="48"/>
      <c r="BB128" s="48"/>
      <c r="BC128" s="48"/>
      <c r="BD128" s="48"/>
      <c r="BE128" s="48"/>
      <c r="BF128" s="48"/>
      <c r="BG128" s="48"/>
      <c r="BH128" s="48"/>
      <c r="BI128" s="48"/>
      <c r="BJ128" s="48"/>
      <c r="BK128" s="48"/>
      <c r="BL128" s="48"/>
      <c r="BM128" s="48"/>
      <c r="BN128" s="48"/>
      <c r="BO128" s="48"/>
      <c r="BP128" s="48"/>
      <c r="BQ128" s="48"/>
      <c r="BR128" s="48"/>
      <c r="BS128" s="48"/>
      <c r="BT128" s="144"/>
      <c r="BU128" s="144"/>
      <c r="BV128" s="144"/>
      <c r="BW128" s="144"/>
      <c r="BX128" s="144"/>
      <c r="BY128" s="48"/>
      <c r="BZ128" s="48"/>
      <c r="CA128" s="48"/>
      <c r="CB128" s="48"/>
      <c r="CC128" s="48"/>
      <c r="CD128" s="48"/>
      <c r="CE128" s="48"/>
      <c r="CF128" s="48"/>
      <c r="CG128" s="48"/>
      <c r="CH128" s="48"/>
      <c r="CI128" s="48"/>
      <c r="CJ128" s="48"/>
      <c r="CK128" s="48"/>
      <c r="CL128" s="48"/>
      <c r="CM128" s="48"/>
      <c r="CN128" s="48"/>
      <c r="CO128" s="48"/>
      <c r="CP128" s="48"/>
      <c r="CQ128" s="48"/>
      <c r="CR128" s="48"/>
      <c r="CS128" s="48"/>
      <c r="CT128" s="48"/>
      <c r="CU128" s="48"/>
      <c r="CV128" s="48"/>
      <c r="CW128" s="48"/>
      <c r="CX128" s="48"/>
      <c r="CY128" s="48"/>
      <c r="CZ128" s="48"/>
      <c r="DA128" s="48"/>
      <c r="DB128" s="48"/>
      <c r="DC128" s="48"/>
      <c r="DD128" s="48"/>
      <c r="DE128" s="48"/>
      <c r="DF128" s="48"/>
      <c r="DG128" s="48"/>
      <c r="DH128" s="48"/>
      <c r="DI128" s="48"/>
      <c r="DJ128" s="48"/>
      <c r="DK128" s="48"/>
      <c r="DL128" s="48"/>
      <c r="DM128" s="48"/>
      <c r="DN128" s="48"/>
      <c r="DO128" s="48"/>
      <c r="DP128" s="48"/>
    </row>
    <row r="129" spans="2:120" x14ac:dyDescent="0.2">
      <c r="B129" s="48"/>
      <c r="C129" s="144"/>
      <c r="D129" s="48"/>
      <c r="E129" s="48"/>
      <c r="F129" s="48"/>
      <c r="G129" s="48"/>
      <c r="H129" s="48"/>
      <c r="I129" s="48"/>
      <c r="J129" s="48"/>
      <c r="K129" s="48"/>
      <c r="L129" s="48"/>
      <c r="M129" s="238">
        <v>27</v>
      </c>
      <c r="N129" s="234" t="s">
        <v>352</v>
      </c>
      <c r="O129" s="239">
        <f>COUNTIFS(Tabulacao!$CY:$CY,EmpAtual!$N$101,Tabulacao!$DA:$DA,EmpAtual!N129)</f>
        <v>0</v>
      </c>
      <c r="P129" s="240">
        <f t="shared" si="72"/>
        <v>0</v>
      </c>
      <c r="Q129" s="48"/>
      <c r="R129" s="48"/>
      <c r="S129" s="48"/>
      <c r="T129" s="48"/>
      <c r="U129" s="48"/>
      <c r="V129" s="48"/>
      <c r="W129" s="168" t="s">
        <v>130</v>
      </c>
      <c r="X129" s="179">
        <v>2000</v>
      </c>
      <c r="Y129" s="168"/>
      <c r="Z129" s="168"/>
      <c r="AA129" s="168"/>
      <c r="AB129" s="48"/>
      <c r="AC129" s="48"/>
      <c r="AD129" s="48"/>
      <c r="AE129" s="48"/>
      <c r="AF129" s="48"/>
      <c r="AG129" s="48"/>
      <c r="AH129" s="48"/>
      <c r="AI129" s="48"/>
      <c r="AJ129" s="48"/>
      <c r="AK129" s="48"/>
      <c r="AL129" s="48"/>
      <c r="AM129" s="48"/>
      <c r="AN129" s="48"/>
      <c r="AO129" s="48"/>
      <c r="AP129" s="48"/>
      <c r="AQ129" s="48"/>
      <c r="AR129" s="48"/>
      <c r="AS129" s="48"/>
      <c r="AT129" s="48"/>
      <c r="AU129" s="48"/>
      <c r="AV129" s="48"/>
      <c r="AW129" s="48"/>
      <c r="AX129" s="48"/>
      <c r="AY129" s="48"/>
      <c r="AZ129" s="48"/>
      <c r="BA129" s="48"/>
      <c r="BB129" s="48"/>
      <c r="BC129" s="48"/>
      <c r="BD129" s="48"/>
      <c r="BE129" s="48"/>
      <c r="BF129" s="48"/>
      <c r="BG129" s="48"/>
      <c r="BH129" s="48"/>
      <c r="BI129" s="48"/>
      <c r="BJ129" s="48"/>
      <c r="BK129" s="48"/>
      <c r="BL129" s="48"/>
      <c r="BM129" s="48"/>
      <c r="BN129" s="48"/>
      <c r="BO129" s="48"/>
      <c r="BP129" s="48"/>
      <c r="BQ129" s="48"/>
      <c r="BR129" s="48"/>
      <c r="BS129" s="48"/>
      <c r="BT129" s="144"/>
      <c r="BU129" s="144"/>
      <c r="BV129" s="144"/>
      <c r="BW129" s="144"/>
      <c r="BX129" s="144"/>
      <c r="BY129" s="48"/>
      <c r="BZ129" s="48"/>
      <c r="CA129" s="48"/>
      <c r="CB129" s="48"/>
      <c r="CC129" s="48"/>
      <c r="CD129" s="48"/>
      <c r="CE129" s="48"/>
      <c r="CF129" s="48"/>
      <c r="CG129" s="48"/>
      <c r="CH129" s="48"/>
      <c r="CI129" s="48"/>
      <c r="CJ129" s="48"/>
      <c r="CK129" s="48"/>
      <c r="CL129" s="48"/>
      <c r="CM129" s="48"/>
      <c r="CN129" s="48"/>
      <c r="CO129" s="48"/>
      <c r="CP129" s="48"/>
      <c r="CQ129" s="48"/>
      <c r="CR129" s="48"/>
      <c r="CS129" s="48"/>
      <c r="CT129" s="48"/>
      <c r="CU129" s="48"/>
      <c r="CV129" s="48"/>
      <c r="CW129" s="48"/>
      <c r="CX129" s="48"/>
      <c r="CY129" s="48"/>
      <c r="CZ129" s="48"/>
      <c r="DA129" s="48"/>
      <c r="DB129" s="48"/>
      <c r="DC129" s="48"/>
      <c r="DD129" s="48"/>
      <c r="DE129" s="48"/>
      <c r="DF129" s="48"/>
      <c r="DG129" s="48"/>
      <c r="DH129" s="48"/>
      <c r="DI129" s="48"/>
      <c r="DJ129" s="48"/>
      <c r="DK129" s="48"/>
      <c r="DL129" s="48"/>
      <c r="DM129" s="48"/>
      <c r="DN129" s="48"/>
      <c r="DO129" s="48"/>
      <c r="DP129" s="48"/>
    </row>
    <row r="130" spans="2:120" x14ac:dyDescent="0.2">
      <c r="B130" s="48"/>
      <c r="C130" s="144"/>
      <c r="D130" s="48"/>
      <c r="E130" s="48"/>
      <c r="F130" s="48"/>
      <c r="G130" s="48"/>
      <c r="H130" s="48"/>
      <c r="I130" s="48"/>
      <c r="J130" s="48"/>
      <c r="K130" s="48"/>
      <c r="L130" s="48"/>
      <c r="M130" s="238">
        <v>28</v>
      </c>
      <c r="N130" s="234" t="s">
        <v>1115</v>
      </c>
      <c r="O130" s="239">
        <f>COUNTIFS(Tabulacao!$CY:$CY,EmpAtual!$N$101,Tabulacao!$DA:$DA,EmpAtual!N130)</f>
        <v>0</v>
      </c>
      <c r="P130" s="240">
        <f t="shared" si="72"/>
        <v>0</v>
      </c>
      <c r="Q130" s="48"/>
      <c r="R130" s="48"/>
      <c r="S130" s="48"/>
      <c r="T130" s="48"/>
      <c r="U130" s="48"/>
      <c r="V130" s="48"/>
      <c r="W130" s="168" t="s">
        <v>130</v>
      </c>
      <c r="X130" s="179">
        <v>1500</v>
      </c>
      <c r="Y130" s="168"/>
      <c r="Z130" s="168"/>
      <c r="AA130" s="168"/>
      <c r="AB130" s="48"/>
      <c r="AC130" s="48"/>
      <c r="AD130" s="48"/>
      <c r="AE130" s="48"/>
      <c r="AF130" s="48"/>
      <c r="AG130" s="48"/>
      <c r="AH130" s="48"/>
      <c r="AI130" s="48"/>
      <c r="AJ130" s="48"/>
      <c r="AK130" s="48"/>
      <c r="AL130" s="48"/>
      <c r="AM130" s="48"/>
      <c r="AN130" s="48"/>
      <c r="AO130" s="48"/>
      <c r="AP130" s="48"/>
      <c r="AQ130" s="48"/>
      <c r="AR130" s="48"/>
      <c r="AS130" s="48"/>
      <c r="AT130" s="48"/>
      <c r="AU130" s="48"/>
      <c r="AV130" s="48"/>
      <c r="AW130" s="48"/>
      <c r="AX130" s="48"/>
      <c r="AY130" s="48"/>
      <c r="AZ130" s="48"/>
      <c r="BA130" s="48"/>
      <c r="BB130" s="48"/>
      <c r="BC130" s="48"/>
      <c r="BD130" s="48"/>
      <c r="BE130" s="48"/>
      <c r="BF130" s="48"/>
      <c r="BG130" s="48"/>
      <c r="BH130" s="48"/>
      <c r="BI130" s="48"/>
      <c r="BJ130" s="48"/>
      <c r="BK130" s="48"/>
      <c r="BL130" s="48"/>
      <c r="BM130" s="48"/>
      <c r="BN130" s="48"/>
      <c r="BO130" s="48"/>
      <c r="BP130" s="48"/>
      <c r="BQ130" s="48"/>
      <c r="BR130" s="48"/>
      <c r="BS130" s="48"/>
      <c r="BT130" s="144"/>
      <c r="BU130" s="144"/>
      <c r="BV130" s="144"/>
      <c r="BW130" s="144"/>
      <c r="BX130" s="144"/>
      <c r="BY130" s="48"/>
      <c r="BZ130" s="48"/>
      <c r="CA130" s="48"/>
      <c r="CB130" s="48"/>
      <c r="CC130" s="48"/>
      <c r="CD130" s="48"/>
      <c r="CE130" s="48"/>
      <c r="CF130" s="48"/>
      <c r="CG130" s="48"/>
      <c r="CH130" s="48"/>
      <c r="CI130" s="48"/>
      <c r="CJ130" s="48"/>
      <c r="CK130" s="48"/>
      <c r="CL130" s="48"/>
      <c r="CM130" s="48"/>
      <c r="CN130" s="48"/>
      <c r="CO130" s="48"/>
      <c r="CP130" s="48"/>
      <c r="CQ130" s="48"/>
      <c r="CR130" s="48"/>
      <c r="CS130" s="48"/>
      <c r="CT130" s="48"/>
      <c r="CU130" s="48"/>
      <c r="CV130" s="48"/>
      <c r="CW130" s="48"/>
      <c r="CX130" s="48"/>
      <c r="CY130" s="48"/>
      <c r="CZ130" s="48"/>
      <c r="DA130" s="48"/>
      <c r="DB130" s="48"/>
      <c r="DC130" s="48"/>
      <c r="DD130" s="48"/>
      <c r="DE130" s="48"/>
      <c r="DF130" s="48"/>
      <c r="DG130" s="48"/>
      <c r="DH130" s="48"/>
      <c r="DI130" s="48"/>
      <c r="DJ130" s="48"/>
      <c r="DK130" s="48"/>
      <c r="DL130" s="48"/>
      <c r="DM130" s="48"/>
      <c r="DN130" s="48"/>
      <c r="DO130" s="48"/>
      <c r="DP130" s="48"/>
    </row>
    <row r="131" spans="2:120" x14ac:dyDescent="0.2">
      <c r="B131" s="48"/>
      <c r="C131" s="144"/>
      <c r="D131" s="48"/>
      <c r="E131" s="48"/>
      <c r="F131" s="48"/>
      <c r="G131" s="48"/>
      <c r="H131" s="48"/>
      <c r="I131" s="48"/>
      <c r="J131" s="48"/>
      <c r="K131" s="48"/>
      <c r="L131" s="48"/>
      <c r="M131" s="238">
        <v>29</v>
      </c>
      <c r="N131" s="234" t="s">
        <v>1220</v>
      </c>
      <c r="O131" s="239">
        <f>COUNTIFS(Tabulacao!$CY:$CY,EmpAtual!$N$101,Tabulacao!$DA:$DA,EmpAtual!N131)</f>
        <v>0</v>
      </c>
      <c r="P131" s="240">
        <f t="shared" si="72"/>
        <v>0</v>
      </c>
      <c r="Q131" s="48"/>
      <c r="R131" s="48"/>
      <c r="S131" s="48"/>
      <c r="T131" s="48"/>
      <c r="U131" s="48"/>
      <c r="V131" s="48"/>
      <c r="W131" s="168" t="s">
        <v>130</v>
      </c>
      <c r="X131" s="179">
        <v>1100</v>
      </c>
      <c r="Y131" s="168"/>
      <c r="Z131" s="168"/>
      <c r="AA131" s="168"/>
      <c r="AB131" s="48"/>
      <c r="AC131" s="48"/>
      <c r="AD131" s="48"/>
      <c r="AE131" s="48"/>
      <c r="AF131" s="48"/>
      <c r="AG131" s="48"/>
      <c r="AH131" s="48"/>
      <c r="AI131" s="48"/>
      <c r="AJ131" s="48"/>
      <c r="AK131" s="48"/>
      <c r="AL131" s="48"/>
      <c r="AM131" s="48"/>
      <c r="AN131" s="48"/>
      <c r="AO131" s="48"/>
      <c r="AP131" s="48"/>
      <c r="AQ131" s="48"/>
      <c r="AR131" s="48"/>
      <c r="AS131" s="48"/>
      <c r="AT131" s="48"/>
      <c r="AU131" s="48"/>
      <c r="AV131" s="48"/>
      <c r="AW131" s="48"/>
      <c r="AX131" s="48"/>
      <c r="AY131" s="48"/>
      <c r="AZ131" s="48"/>
      <c r="BA131" s="48"/>
      <c r="BB131" s="48"/>
      <c r="BC131" s="48"/>
      <c r="BD131" s="48"/>
      <c r="BE131" s="48"/>
      <c r="BF131" s="48"/>
      <c r="BG131" s="48"/>
      <c r="BH131" s="48"/>
      <c r="BI131" s="48"/>
      <c r="BJ131" s="48"/>
      <c r="BK131" s="48"/>
      <c r="BL131" s="48"/>
      <c r="BM131" s="48"/>
      <c r="BN131" s="48"/>
      <c r="BO131" s="48"/>
      <c r="BP131" s="48"/>
      <c r="BQ131" s="48"/>
      <c r="BR131" s="48"/>
      <c r="BS131" s="48"/>
      <c r="BT131" s="144"/>
      <c r="BU131" s="144"/>
      <c r="BV131" s="144"/>
      <c r="BW131" s="144"/>
      <c r="BX131" s="144"/>
      <c r="BY131" s="48"/>
      <c r="BZ131" s="48"/>
      <c r="CA131" s="48"/>
      <c r="CB131" s="48"/>
      <c r="CC131" s="48"/>
      <c r="CD131" s="48"/>
      <c r="CE131" s="48"/>
      <c r="CF131" s="48"/>
      <c r="CG131" s="48"/>
      <c r="CH131" s="48"/>
      <c r="CI131" s="48"/>
      <c r="CJ131" s="48"/>
      <c r="CK131" s="48"/>
      <c r="CL131" s="48"/>
      <c r="CM131" s="48"/>
      <c r="CN131" s="48"/>
      <c r="CO131" s="48"/>
      <c r="CP131" s="48"/>
      <c r="CQ131" s="48"/>
      <c r="CR131" s="48"/>
      <c r="CS131" s="48"/>
      <c r="CT131" s="48"/>
      <c r="CU131" s="48"/>
      <c r="CV131" s="48"/>
      <c r="CW131" s="48"/>
      <c r="CX131" s="48"/>
      <c r="CY131" s="48"/>
      <c r="CZ131" s="48"/>
      <c r="DA131" s="48"/>
      <c r="DB131" s="48"/>
      <c r="DC131" s="48"/>
      <c r="DD131" s="48"/>
      <c r="DE131" s="48"/>
      <c r="DF131" s="48"/>
      <c r="DG131" s="48"/>
      <c r="DH131" s="48"/>
      <c r="DI131" s="48"/>
      <c r="DJ131" s="48"/>
      <c r="DK131" s="48"/>
      <c r="DL131" s="48"/>
      <c r="DM131" s="48"/>
      <c r="DN131" s="48"/>
      <c r="DO131" s="48"/>
      <c r="DP131" s="48"/>
    </row>
    <row r="132" spans="2:120" x14ac:dyDescent="0.2">
      <c r="B132" s="48"/>
      <c r="C132" s="144"/>
      <c r="D132" s="48"/>
      <c r="E132" s="48"/>
      <c r="F132" s="48"/>
      <c r="G132" s="48"/>
      <c r="H132" s="48"/>
      <c r="I132" s="48"/>
      <c r="J132" s="48"/>
      <c r="K132" s="48"/>
      <c r="L132" s="48"/>
      <c r="M132" s="238">
        <v>30</v>
      </c>
      <c r="N132" s="234" t="s">
        <v>377</v>
      </c>
      <c r="O132" s="239">
        <f>COUNTIFS(Tabulacao!$CY:$CY,EmpAtual!$N$101,Tabulacao!$DA:$DA,EmpAtual!N132)</f>
        <v>0</v>
      </c>
      <c r="P132" s="240">
        <f t="shared" si="72"/>
        <v>0</v>
      </c>
      <c r="Q132" s="48"/>
      <c r="R132" s="48"/>
      <c r="S132" s="48"/>
      <c r="T132" s="48"/>
      <c r="U132" s="48"/>
      <c r="V132" s="48"/>
      <c r="W132" s="168" t="s">
        <v>130</v>
      </c>
      <c r="X132" s="179">
        <v>3000</v>
      </c>
      <c r="Y132" s="168"/>
      <c r="Z132" s="168"/>
      <c r="AA132" s="168"/>
      <c r="AB132" s="48"/>
      <c r="AC132" s="48"/>
      <c r="AD132" s="48"/>
      <c r="AE132" s="48"/>
      <c r="AF132" s="48"/>
      <c r="AG132" s="48"/>
      <c r="AH132" s="48"/>
      <c r="AI132" s="48"/>
      <c r="AJ132" s="48"/>
      <c r="AK132" s="48"/>
      <c r="AL132" s="48"/>
      <c r="AM132" s="48"/>
      <c r="AN132" s="48"/>
      <c r="AO132" s="48"/>
      <c r="AP132" s="48"/>
      <c r="AQ132" s="48"/>
      <c r="AR132" s="48"/>
      <c r="AS132" s="48"/>
      <c r="AT132" s="48"/>
      <c r="AU132" s="48"/>
      <c r="AV132" s="48"/>
      <c r="AW132" s="48"/>
      <c r="AX132" s="48"/>
      <c r="AY132" s="48"/>
      <c r="AZ132" s="48"/>
      <c r="BA132" s="48"/>
      <c r="BB132" s="48"/>
      <c r="BC132" s="48"/>
      <c r="BD132" s="48"/>
      <c r="BE132" s="48"/>
      <c r="BF132" s="48"/>
      <c r="BG132" s="48"/>
      <c r="BH132" s="48"/>
      <c r="BI132" s="48"/>
      <c r="BJ132" s="48"/>
      <c r="BK132" s="48"/>
      <c r="BL132" s="48"/>
      <c r="BM132" s="48"/>
      <c r="BN132" s="48"/>
      <c r="BO132" s="48"/>
      <c r="BP132" s="48"/>
      <c r="BQ132" s="48"/>
      <c r="BR132" s="48"/>
      <c r="BS132" s="48"/>
      <c r="BT132" s="144"/>
      <c r="BU132" s="144"/>
      <c r="BV132" s="144"/>
      <c r="BW132" s="144"/>
      <c r="BX132" s="144"/>
      <c r="BY132" s="48"/>
      <c r="BZ132" s="48"/>
      <c r="CA132" s="48"/>
      <c r="CB132" s="48"/>
      <c r="CC132" s="48"/>
      <c r="CD132" s="48"/>
      <c r="CE132" s="48"/>
      <c r="CF132" s="48"/>
      <c r="CG132" s="48"/>
      <c r="CH132" s="48"/>
      <c r="CI132" s="48"/>
      <c r="CJ132" s="48"/>
      <c r="CK132" s="48"/>
      <c r="CL132" s="48"/>
      <c r="CM132" s="48"/>
      <c r="CN132" s="48"/>
      <c r="CO132" s="48"/>
      <c r="CP132" s="48"/>
      <c r="CQ132" s="48"/>
      <c r="CR132" s="48"/>
      <c r="CS132" s="48"/>
      <c r="CT132" s="48"/>
      <c r="CU132" s="48"/>
      <c r="CV132" s="48"/>
      <c r="CW132" s="48"/>
      <c r="CX132" s="48"/>
      <c r="CY132" s="48"/>
      <c r="CZ132" s="48"/>
      <c r="DA132" s="48"/>
      <c r="DB132" s="48"/>
      <c r="DC132" s="48"/>
      <c r="DD132" s="48"/>
      <c r="DE132" s="48"/>
      <c r="DF132" s="48"/>
      <c r="DG132" s="48"/>
      <c r="DH132" s="48"/>
      <c r="DI132" s="48"/>
      <c r="DJ132" s="48"/>
      <c r="DK132" s="48"/>
      <c r="DL132" s="48"/>
      <c r="DM132" s="48"/>
      <c r="DN132" s="48"/>
      <c r="DO132" s="48"/>
      <c r="DP132" s="48"/>
    </row>
    <row r="133" spans="2:120" x14ac:dyDescent="0.2">
      <c r="B133" s="48"/>
      <c r="C133" s="144"/>
      <c r="D133" s="48"/>
      <c r="E133" s="48"/>
      <c r="F133" s="48"/>
      <c r="G133" s="48"/>
      <c r="H133" s="48"/>
      <c r="I133" s="48"/>
      <c r="J133" s="48"/>
      <c r="K133" s="48"/>
      <c r="L133" s="48"/>
      <c r="M133" s="238">
        <v>31</v>
      </c>
      <c r="N133" s="234" t="s">
        <v>379</v>
      </c>
      <c r="O133" s="239">
        <f>COUNTIFS(Tabulacao!$CY:$CY,EmpAtual!$N$101,Tabulacao!$DA:$DA,EmpAtual!N133)</f>
        <v>0</v>
      </c>
      <c r="P133" s="240">
        <f t="shared" si="72"/>
        <v>0</v>
      </c>
      <c r="Q133" s="48"/>
      <c r="R133" s="48"/>
      <c r="S133" s="48"/>
      <c r="T133" s="48"/>
      <c r="U133" s="48"/>
      <c r="V133" s="48"/>
      <c r="W133" s="168" t="s">
        <v>130</v>
      </c>
      <c r="X133" s="179">
        <v>2193</v>
      </c>
      <c r="Y133" s="168"/>
      <c r="Z133" s="168"/>
      <c r="AA133" s="168"/>
      <c r="AB133" s="48"/>
      <c r="AC133" s="48"/>
      <c r="AD133" s="48"/>
      <c r="AE133" s="48"/>
      <c r="AF133" s="48"/>
      <c r="AG133" s="48"/>
      <c r="AH133" s="48"/>
      <c r="AI133" s="48"/>
      <c r="AJ133" s="48"/>
      <c r="AK133" s="48"/>
      <c r="AL133" s="48"/>
      <c r="AM133" s="48"/>
      <c r="AN133" s="48"/>
      <c r="AO133" s="48"/>
      <c r="AP133" s="48"/>
      <c r="AQ133" s="48"/>
      <c r="AR133" s="48"/>
      <c r="AS133" s="48"/>
      <c r="AT133" s="48"/>
      <c r="AU133" s="48"/>
      <c r="AV133" s="48"/>
      <c r="AW133" s="48"/>
      <c r="AX133" s="48"/>
      <c r="AY133" s="48"/>
      <c r="AZ133" s="48"/>
      <c r="BA133" s="48"/>
      <c r="BB133" s="48"/>
      <c r="BC133" s="48"/>
      <c r="BD133" s="48"/>
      <c r="BE133" s="48"/>
      <c r="BF133" s="48"/>
      <c r="BG133" s="48"/>
      <c r="BH133" s="48"/>
      <c r="BI133" s="48"/>
      <c r="BJ133" s="48"/>
      <c r="BK133" s="48"/>
      <c r="BL133" s="48"/>
      <c r="BM133" s="48"/>
      <c r="BN133" s="48"/>
      <c r="BO133" s="48"/>
      <c r="BP133" s="48"/>
      <c r="BQ133" s="48"/>
      <c r="BR133" s="48"/>
      <c r="BS133" s="48"/>
      <c r="BT133" s="144"/>
      <c r="BU133" s="144"/>
      <c r="BV133" s="144"/>
      <c r="BW133" s="144"/>
      <c r="BX133" s="144"/>
      <c r="BY133" s="48"/>
      <c r="BZ133" s="48"/>
      <c r="CA133" s="48"/>
      <c r="CB133" s="48"/>
      <c r="CC133" s="48"/>
      <c r="CD133" s="48"/>
      <c r="CE133" s="48"/>
      <c r="CF133" s="48"/>
      <c r="CG133" s="48"/>
      <c r="CH133" s="48"/>
      <c r="CI133" s="48"/>
      <c r="CJ133" s="48"/>
      <c r="CK133" s="48"/>
      <c r="CL133" s="48"/>
      <c r="CM133" s="48"/>
      <c r="CN133" s="48"/>
      <c r="CO133" s="48"/>
      <c r="CP133" s="48"/>
      <c r="CQ133" s="48"/>
      <c r="CR133" s="48"/>
      <c r="CS133" s="48"/>
      <c r="CT133" s="48"/>
      <c r="CU133" s="48"/>
      <c r="CV133" s="48"/>
      <c r="CW133" s="48"/>
      <c r="CX133" s="48"/>
      <c r="CY133" s="48"/>
      <c r="CZ133" s="48"/>
      <c r="DA133" s="48"/>
      <c r="DB133" s="48"/>
      <c r="DC133" s="48"/>
      <c r="DD133" s="48"/>
      <c r="DE133" s="48"/>
      <c r="DF133" s="48"/>
      <c r="DG133" s="48"/>
      <c r="DH133" s="48"/>
      <c r="DI133" s="48"/>
      <c r="DJ133" s="48"/>
      <c r="DK133" s="48"/>
      <c r="DL133" s="48"/>
      <c r="DM133" s="48"/>
      <c r="DN133" s="48"/>
      <c r="DO133" s="48"/>
      <c r="DP133" s="48"/>
    </row>
    <row r="134" spans="2:120" x14ac:dyDescent="0.2">
      <c r="B134" s="48"/>
      <c r="C134" s="144"/>
      <c r="D134" s="48"/>
      <c r="E134" s="48"/>
      <c r="F134" s="48"/>
      <c r="G134" s="48"/>
      <c r="H134" s="48"/>
      <c r="I134" s="48"/>
      <c r="J134" s="48"/>
      <c r="K134" s="48"/>
      <c r="L134" s="48"/>
      <c r="M134" s="238">
        <v>32</v>
      </c>
      <c r="N134" s="234" t="s">
        <v>1221</v>
      </c>
      <c r="O134" s="239">
        <f>COUNTIFS(Tabulacao!$CY:$CY,EmpAtual!$N$101,Tabulacao!$DA:$DA,EmpAtual!N134)</f>
        <v>0</v>
      </c>
      <c r="P134" s="240">
        <f t="shared" si="72"/>
        <v>0</v>
      </c>
      <c r="Q134" s="48"/>
      <c r="R134" s="48"/>
      <c r="S134" s="48"/>
      <c r="T134" s="48"/>
      <c r="U134" s="48"/>
      <c r="V134" s="48"/>
      <c r="W134" s="168" t="s">
        <v>129</v>
      </c>
      <c r="X134" s="179">
        <v>1200</v>
      </c>
      <c r="Y134" s="168"/>
      <c r="Z134" s="168"/>
      <c r="AA134" s="168"/>
      <c r="AB134" s="48"/>
      <c r="AC134" s="48"/>
      <c r="AD134" s="48"/>
      <c r="AE134" s="48"/>
      <c r="AF134" s="48"/>
      <c r="AG134" s="48"/>
      <c r="AH134" s="48"/>
      <c r="AI134" s="48"/>
      <c r="AJ134" s="48"/>
      <c r="AK134" s="48"/>
      <c r="AL134" s="48"/>
      <c r="AM134" s="48"/>
      <c r="AN134" s="48"/>
      <c r="AO134" s="48"/>
      <c r="AP134" s="48"/>
      <c r="AQ134" s="48"/>
      <c r="AR134" s="48"/>
      <c r="AS134" s="48"/>
      <c r="AT134" s="48"/>
      <c r="AU134" s="48"/>
      <c r="AV134" s="48"/>
      <c r="AW134" s="48"/>
      <c r="AX134" s="48"/>
      <c r="AY134" s="48"/>
      <c r="AZ134" s="48"/>
      <c r="BA134" s="48"/>
      <c r="BB134" s="48"/>
      <c r="BC134" s="48"/>
      <c r="BD134" s="48"/>
      <c r="BE134" s="48"/>
      <c r="BF134" s="48"/>
      <c r="BG134" s="48"/>
      <c r="BH134" s="48"/>
      <c r="BI134" s="48"/>
      <c r="BJ134" s="48"/>
      <c r="BK134" s="48"/>
      <c r="BL134" s="48"/>
      <c r="BM134" s="48"/>
      <c r="BN134" s="48"/>
      <c r="BO134" s="48"/>
      <c r="BP134" s="48"/>
      <c r="BQ134" s="48"/>
      <c r="BR134" s="48"/>
      <c r="BS134" s="48"/>
      <c r="BT134" s="144"/>
      <c r="BU134" s="144"/>
      <c r="BV134" s="144"/>
      <c r="BW134" s="144"/>
      <c r="BX134" s="144"/>
      <c r="BY134" s="48"/>
      <c r="BZ134" s="48"/>
      <c r="CA134" s="48"/>
      <c r="CB134" s="48"/>
      <c r="CC134" s="48"/>
      <c r="CD134" s="48"/>
      <c r="CE134" s="48"/>
      <c r="CF134" s="48"/>
      <c r="CG134" s="48"/>
      <c r="CH134" s="48"/>
      <c r="CI134" s="48"/>
      <c r="CJ134" s="48"/>
      <c r="CK134" s="48"/>
      <c r="CL134" s="48"/>
      <c r="CM134" s="48"/>
      <c r="CN134" s="48"/>
      <c r="CO134" s="48"/>
      <c r="CP134" s="48"/>
      <c r="CQ134" s="48"/>
      <c r="CR134" s="48"/>
      <c r="CS134" s="48"/>
      <c r="CT134" s="48"/>
      <c r="CU134" s="48"/>
      <c r="CV134" s="48"/>
      <c r="CW134" s="48"/>
      <c r="CX134" s="48"/>
      <c r="CY134" s="48"/>
      <c r="CZ134" s="48"/>
      <c r="DA134" s="48"/>
      <c r="DB134" s="48"/>
      <c r="DC134" s="48"/>
      <c r="DD134" s="48"/>
      <c r="DE134" s="48"/>
      <c r="DF134" s="48"/>
      <c r="DG134" s="48"/>
      <c r="DH134" s="48"/>
      <c r="DI134" s="48"/>
      <c r="DJ134" s="48"/>
      <c r="DK134" s="48"/>
      <c r="DL134" s="48"/>
      <c r="DM134" s="48"/>
      <c r="DN134" s="48"/>
      <c r="DO134" s="48"/>
      <c r="DP134" s="48"/>
    </row>
    <row r="135" spans="2:120" x14ac:dyDescent="0.2">
      <c r="B135" s="48"/>
      <c r="C135" s="144"/>
      <c r="D135" s="48"/>
      <c r="E135" s="48"/>
      <c r="F135" s="48"/>
      <c r="G135" s="48"/>
      <c r="H135" s="48"/>
      <c r="I135" s="48"/>
      <c r="J135" s="48"/>
      <c r="K135" s="48"/>
      <c r="L135" s="48"/>
      <c r="M135" s="238">
        <v>33</v>
      </c>
      <c r="N135" s="234" t="s">
        <v>1112</v>
      </c>
      <c r="O135" s="239">
        <f>COUNTIFS(Tabulacao!$CY:$CY,EmpAtual!$N$101,Tabulacao!$DA:$DA,EmpAtual!N135)</f>
        <v>0</v>
      </c>
      <c r="P135" s="240">
        <f t="shared" si="72"/>
        <v>0</v>
      </c>
      <c r="Q135" s="48"/>
      <c r="R135" s="48"/>
      <c r="S135" s="48"/>
      <c r="T135" s="48"/>
      <c r="U135" s="48"/>
      <c r="V135" s="48"/>
      <c r="W135" s="168" t="s">
        <v>126</v>
      </c>
      <c r="X135" s="179">
        <v>2700</v>
      </c>
      <c r="Y135" s="168"/>
      <c r="Z135" s="168"/>
      <c r="AA135" s="168"/>
      <c r="AB135" s="48"/>
      <c r="AC135" s="48"/>
      <c r="AD135" s="48"/>
      <c r="AE135" s="48"/>
      <c r="AF135" s="48"/>
      <c r="AG135" s="48"/>
      <c r="AH135" s="48"/>
      <c r="AI135" s="48"/>
      <c r="AJ135" s="48"/>
      <c r="AK135" s="48"/>
      <c r="AL135" s="48"/>
      <c r="AM135" s="48"/>
      <c r="AN135" s="48"/>
      <c r="AO135" s="48"/>
      <c r="AP135" s="48"/>
      <c r="AQ135" s="48"/>
      <c r="AR135" s="48"/>
      <c r="AS135" s="48"/>
      <c r="AT135" s="48"/>
      <c r="AU135" s="48"/>
      <c r="AV135" s="48"/>
      <c r="AW135" s="48"/>
      <c r="AX135" s="48"/>
      <c r="AY135" s="48"/>
      <c r="AZ135" s="48"/>
      <c r="BA135" s="48"/>
      <c r="BB135" s="48"/>
      <c r="BC135" s="48"/>
      <c r="BD135" s="48"/>
      <c r="BE135" s="48"/>
      <c r="BF135" s="48"/>
      <c r="BG135" s="48"/>
      <c r="BH135" s="48"/>
      <c r="BI135" s="48"/>
      <c r="BJ135" s="48"/>
      <c r="BK135" s="48"/>
      <c r="BL135" s="48"/>
      <c r="BM135" s="48"/>
      <c r="BN135" s="48"/>
      <c r="BO135" s="48"/>
      <c r="BP135" s="48"/>
      <c r="BQ135" s="48"/>
      <c r="BR135" s="48"/>
      <c r="BS135" s="48"/>
      <c r="BT135" s="144"/>
      <c r="BU135" s="144"/>
      <c r="BV135" s="144"/>
      <c r="BW135" s="144"/>
      <c r="BX135" s="144"/>
      <c r="BY135" s="48"/>
      <c r="BZ135" s="48"/>
      <c r="CA135" s="48"/>
      <c r="CB135" s="48"/>
      <c r="CC135" s="48"/>
      <c r="CD135" s="48"/>
      <c r="CE135" s="48"/>
      <c r="CF135" s="48"/>
      <c r="CG135" s="48"/>
      <c r="CH135" s="48"/>
      <c r="CI135" s="48"/>
      <c r="CJ135" s="48"/>
      <c r="CK135" s="48"/>
      <c r="CL135" s="48"/>
      <c r="CM135" s="48"/>
      <c r="CN135" s="48"/>
      <c r="CO135" s="48"/>
      <c r="CP135" s="48"/>
      <c r="CQ135" s="48"/>
      <c r="CR135" s="48"/>
      <c r="CS135" s="48"/>
      <c r="CT135" s="48"/>
      <c r="CU135" s="48"/>
      <c r="CV135" s="48"/>
      <c r="CW135" s="48"/>
      <c r="CX135" s="48"/>
      <c r="CY135" s="48"/>
      <c r="CZ135" s="48"/>
      <c r="DA135" s="48"/>
      <c r="DB135" s="48"/>
      <c r="DC135" s="48"/>
      <c r="DD135" s="48"/>
      <c r="DE135" s="48"/>
      <c r="DF135" s="48"/>
      <c r="DG135" s="48"/>
      <c r="DH135" s="48"/>
      <c r="DI135" s="48"/>
      <c r="DJ135" s="48"/>
      <c r="DK135" s="48"/>
      <c r="DL135" s="48"/>
      <c r="DM135" s="48"/>
      <c r="DN135" s="48"/>
      <c r="DO135" s="48"/>
      <c r="DP135" s="48"/>
    </row>
    <row r="136" spans="2:120" x14ac:dyDescent="0.2">
      <c r="B136" s="48"/>
      <c r="C136" s="144"/>
      <c r="D136" s="48"/>
      <c r="E136" s="48"/>
      <c r="F136" s="48"/>
      <c r="G136" s="48"/>
      <c r="H136" s="48"/>
      <c r="I136" s="48"/>
      <c r="J136" s="48"/>
      <c r="K136" s="48"/>
      <c r="L136" s="48"/>
      <c r="M136" s="238">
        <v>34</v>
      </c>
      <c r="N136" s="234" t="s">
        <v>414</v>
      </c>
      <c r="O136" s="239">
        <f>COUNTIFS(Tabulacao!$CY:$CY,EmpAtual!$N$101,Tabulacao!$DA:$DA,EmpAtual!N136)</f>
        <v>1</v>
      </c>
      <c r="P136" s="240">
        <f t="shared" si="72"/>
        <v>4.3478260869565216E-2</v>
      </c>
      <c r="Q136" s="48"/>
      <c r="R136" s="48"/>
      <c r="S136" s="48"/>
      <c r="T136" s="48"/>
      <c r="U136" s="48"/>
      <c r="V136" s="48"/>
      <c r="W136" s="168" t="s">
        <v>126</v>
      </c>
      <c r="X136" s="179">
        <v>954</v>
      </c>
      <c r="Y136" s="168"/>
      <c r="Z136" s="168"/>
      <c r="AA136" s="168"/>
      <c r="AB136" s="48"/>
      <c r="AC136" s="48"/>
      <c r="AD136" s="48"/>
      <c r="AE136" s="48"/>
      <c r="AF136" s="48"/>
      <c r="AG136" s="48"/>
      <c r="AH136" s="48"/>
      <c r="AI136" s="48"/>
      <c r="AJ136" s="48"/>
      <c r="AK136" s="48"/>
      <c r="AL136" s="48"/>
      <c r="AM136" s="48"/>
      <c r="AN136" s="48"/>
      <c r="AO136" s="48"/>
      <c r="AP136" s="48"/>
      <c r="AQ136" s="48"/>
      <c r="AR136" s="48"/>
      <c r="AS136" s="48"/>
      <c r="AT136" s="48"/>
      <c r="AU136" s="48"/>
      <c r="AV136" s="48"/>
      <c r="AW136" s="48"/>
      <c r="AX136" s="48"/>
      <c r="AY136" s="48"/>
      <c r="AZ136" s="48"/>
      <c r="BA136" s="48"/>
      <c r="BB136" s="48"/>
      <c r="BC136" s="48"/>
      <c r="BD136" s="48"/>
      <c r="BE136" s="48"/>
      <c r="BF136" s="48"/>
      <c r="BG136" s="48"/>
      <c r="BH136" s="48"/>
      <c r="BI136" s="48"/>
      <c r="BJ136" s="48"/>
      <c r="BK136" s="48"/>
      <c r="BL136" s="48"/>
      <c r="BM136" s="48"/>
      <c r="BN136" s="48"/>
      <c r="BO136" s="48"/>
      <c r="BP136" s="48"/>
      <c r="BQ136" s="48"/>
      <c r="BR136" s="48"/>
      <c r="BS136" s="48"/>
      <c r="BT136" s="144"/>
      <c r="BU136" s="144"/>
      <c r="BV136" s="144"/>
      <c r="BW136" s="144"/>
      <c r="BX136" s="144"/>
      <c r="BY136" s="48"/>
      <c r="BZ136" s="48"/>
      <c r="CA136" s="48"/>
      <c r="CB136" s="48"/>
      <c r="CC136" s="48"/>
      <c r="CD136" s="48"/>
      <c r="CE136" s="48"/>
      <c r="CF136" s="48"/>
      <c r="CG136" s="48"/>
      <c r="CH136" s="48"/>
      <c r="CI136" s="48"/>
      <c r="CJ136" s="48"/>
      <c r="CK136" s="48"/>
      <c r="CL136" s="48"/>
      <c r="CM136" s="48"/>
      <c r="CN136" s="48"/>
      <c r="CO136" s="48"/>
      <c r="CP136" s="48"/>
      <c r="CQ136" s="48"/>
      <c r="CR136" s="48"/>
      <c r="CS136" s="48"/>
      <c r="CT136" s="48"/>
      <c r="CU136" s="48"/>
      <c r="CV136" s="48"/>
      <c r="CW136" s="48"/>
      <c r="CX136" s="48"/>
      <c r="CY136" s="48"/>
      <c r="CZ136" s="48"/>
      <c r="DA136" s="48"/>
      <c r="DB136" s="48"/>
      <c r="DC136" s="48"/>
      <c r="DD136" s="48"/>
      <c r="DE136" s="48"/>
      <c r="DF136" s="48"/>
      <c r="DG136" s="48"/>
      <c r="DH136" s="48"/>
      <c r="DI136" s="48"/>
      <c r="DJ136" s="48"/>
      <c r="DK136" s="48"/>
      <c r="DL136" s="48"/>
      <c r="DM136" s="48"/>
      <c r="DN136" s="48"/>
      <c r="DO136" s="48"/>
      <c r="DP136" s="48"/>
    </row>
    <row r="137" spans="2:120" x14ac:dyDescent="0.2">
      <c r="B137" s="48"/>
      <c r="C137" s="144"/>
      <c r="D137" s="48"/>
      <c r="E137" s="48"/>
      <c r="F137" s="48"/>
      <c r="G137" s="48"/>
      <c r="H137" s="48"/>
      <c r="I137" s="48"/>
      <c r="J137" s="48"/>
      <c r="K137" s="48"/>
      <c r="L137" s="48"/>
      <c r="M137" s="238">
        <v>35</v>
      </c>
      <c r="N137" s="234" t="s">
        <v>1119</v>
      </c>
      <c r="O137" s="239">
        <f>COUNTIFS(Tabulacao!$CY:$CY,EmpAtual!$N$101,Tabulacao!$DA:$DA,EmpAtual!N137)</f>
        <v>0</v>
      </c>
      <c r="P137" s="240">
        <f t="shared" si="72"/>
        <v>0</v>
      </c>
      <c r="Q137" s="48"/>
      <c r="R137" s="48"/>
      <c r="S137" s="48"/>
      <c r="T137" s="48"/>
      <c r="U137" s="48"/>
      <c r="V137" s="48"/>
      <c r="W137" s="168" t="s">
        <v>126</v>
      </c>
      <c r="X137" s="179">
        <v>1500</v>
      </c>
      <c r="Y137" s="168"/>
      <c r="Z137" s="168"/>
      <c r="AA137" s="168"/>
      <c r="AB137" s="48"/>
      <c r="AC137" s="48"/>
      <c r="AD137" s="48"/>
      <c r="AE137" s="48"/>
      <c r="AF137" s="48"/>
      <c r="AG137" s="48"/>
      <c r="AH137" s="48"/>
      <c r="AI137" s="48"/>
      <c r="AJ137" s="48"/>
      <c r="AK137" s="48"/>
      <c r="AL137" s="48"/>
      <c r="AM137" s="48"/>
      <c r="AN137" s="48"/>
      <c r="AO137" s="48"/>
      <c r="AP137" s="48"/>
      <c r="AQ137" s="48"/>
      <c r="AR137" s="48"/>
      <c r="AS137" s="48"/>
      <c r="AT137" s="48"/>
      <c r="AU137" s="48"/>
      <c r="AV137" s="48"/>
      <c r="AW137" s="48"/>
      <c r="AX137" s="48"/>
      <c r="AY137" s="48"/>
      <c r="AZ137" s="48"/>
      <c r="BA137" s="48"/>
      <c r="BB137" s="48"/>
      <c r="BC137" s="48"/>
      <c r="BD137" s="48"/>
      <c r="BE137" s="48"/>
      <c r="BF137" s="48"/>
      <c r="BG137" s="48"/>
      <c r="BH137" s="48"/>
      <c r="BI137" s="48"/>
      <c r="BJ137" s="48"/>
      <c r="BK137" s="48"/>
      <c r="BL137" s="48"/>
      <c r="BM137" s="48"/>
      <c r="BN137" s="48"/>
      <c r="BO137" s="48"/>
      <c r="BP137" s="48"/>
      <c r="BQ137" s="48"/>
      <c r="BR137" s="48"/>
      <c r="BS137" s="48"/>
      <c r="BT137" s="144"/>
      <c r="BU137" s="144"/>
      <c r="BV137" s="144"/>
      <c r="BW137" s="144"/>
      <c r="BX137" s="144"/>
      <c r="BY137" s="48"/>
      <c r="BZ137" s="48"/>
      <c r="CA137" s="48"/>
      <c r="CB137" s="48"/>
      <c r="CC137" s="48"/>
      <c r="CD137" s="48"/>
      <c r="CE137" s="48"/>
      <c r="CF137" s="48"/>
      <c r="CG137" s="48"/>
      <c r="CH137" s="48"/>
      <c r="CI137" s="48"/>
      <c r="CJ137" s="48"/>
      <c r="CK137" s="48"/>
      <c r="CL137" s="48"/>
      <c r="CM137" s="48"/>
      <c r="CN137" s="48"/>
      <c r="CO137" s="48"/>
      <c r="CP137" s="48"/>
      <c r="CQ137" s="48"/>
      <c r="CR137" s="48"/>
      <c r="CS137" s="48"/>
      <c r="CT137" s="48"/>
      <c r="CU137" s="48"/>
      <c r="CV137" s="48"/>
      <c r="CW137" s="48"/>
      <c r="CX137" s="48"/>
      <c r="CY137" s="48"/>
      <c r="CZ137" s="48"/>
      <c r="DA137" s="48"/>
      <c r="DB137" s="48"/>
      <c r="DC137" s="48"/>
      <c r="DD137" s="48"/>
      <c r="DE137" s="48"/>
      <c r="DF137" s="48"/>
      <c r="DG137" s="48"/>
      <c r="DH137" s="48"/>
      <c r="DI137" s="48"/>
      <c r="DJ137" s="48"/>
      <c r="DK137" s="48"/>
      <c r="DL137" s="48"/>
      <c r="DM137" s="48"/>
      <c r="DN137" s="48"/>
      <c r="DO137" s="48"/>
      <c r="DP137" s="48"/>
    </row>
    <row r="138" spans="2:120" x14ac:dyDescent="0.2">
      <c r="B138" s="48"/>
      <c r="C138" s="144"/>
      <c r="D138" s="48"/>
      <c r="E138" s="48"/>
      <c r="F138" s="48"/>
      <c r="G138" s="48"/>
      <c r="H138" s="48"/>
      <c r="I138" s="48"/>
      <c r="J138" s="48"/>
      <c r="K138" s="48"/>
      <c r="L138" s="48"/>
      <c r="M138" s="238">
        <v>36</v>
      </c>
      <c r="N138" s="234" t="s">
        <v>1222</v>
      </c>
      <c r="O138" s="239">
        <f>COUNTIFS(Tabulacao!$CY:$CY,EmpAtual!$N$101,Tabulacao!$DA:$DA,EmpAtual!N138)</f>
        <v>0</v>
      </c>
      <c r="P138" s="240">
        <f t="shared" si="72"/>
        <v>0</v>
      </c>
      <c r="Q138" s="48"/>
      <c r="R138" s="48"/>
      <c r="S138" s="48"/>
      <c r="T138" s="48"/>
      <c r="U138" s="48"/>
      <c r="V138" s="48"/>
      <c r="W138" s="168" t="s">
        <v>126</v>
      </c>
      <c r="X138" s="179">
        <v>2200</v>
      </c>
      <c r="Y138" s="168"/>
      <c r="Z138" s="168"/>
      <c r="AA138" s="168"/>
      <c r="AB138" s="48"/>
      <c r="AC138" s="48"/>
      <c r="AD138" s="48"/>
      <c r="AE138" s="48"/>
      <c r="AF138" s="48"/>
      <c r="AG138" s="48"/>
      <c r="AH138" s="48"/>
      <c r="AI138" s="48"/>
      <c r="AJ138" s="48"/>
      <c r="AK138" s="48"/>
      <c r="AL138" s="48"/>
      <c r="AM138" s="48"/>
      <c r="AN138" s="48"/>
      <c r="AO138" s="48"/>
      <c r="AP138" s="48"/>
      <c r="AQ138" s="48"/>
      <c r="AR138" s="48"/>
      <c r="AS138" s="48"/>
      <c r="AT138" s="48"/>
      <c r="AU138" s="48"/>
      <c r="AV138" s="48"/>
      <c r="AW138" s="48"/>
      <c r="AX138" s="48"/>
      <c r="AY138" s="48"/>
      <c r="AZ138" s="48"/>
      <c r="BA138" s="48"/>
      <c r="BB138" s="48"/>
      <c r="BC138" s="48"/>
      <c r="BD138" s="48"/>
      <c r="BE138" s="48"/>
      <c r="BF138" s="48"/>
      <c r="BG138" s="48"/>
      <c r="BH138" s="48"/>
      <c r="BI138" s="48"/>
      <c r="BJ138" s="48"/>
      <c r="BK138" s="48"/>
      <c r="BL138" s="48"/>
      <c r="BM138" s="48"/>
      <c r="BN138" s="48"/>
      <c r="BO138" s="48"/>
      <c r="BP138" s="48"/>
      <c r="BQ138" s="48"/>
      <c r="BR138" s="48"/>
      <c r="BS138" s="48"/>
      <c r="BT138" s="144"/>
      <c r="BU138" s="144"/>
      <c r="BV138" s="144"/>
      <c r="BW138" s="144"/>
      <c r="BX138" s="144"/>
      <c r="BY138" s="48"/>
      <c r="BZ138" s="48"/>
      <c r="CA138" s="48"/>
      <c r="CB138" s="48"/>
      <c r="CC138" s="48"/>
      <c r="CD138" s="48"/>
      <c r="CE138" s="48"/>
      <c r="CF138" s="48"/>
      <c r="CG138" s="48"/>
      <c r="CH138" s="48"/>
      <c r="CI138" s="48"/>
      <c r="CJ138" s="48"/>
      <c r="CK138" s="48"/>
      <c r="CL138" s="48"/>
      <c r="CM138" s="48"/>
      <c r="CN138" s="48"/>
      <c r="CO138" s="48"/>
      <c r="CP138" s="48"/>
      <c r="CQ138" s="48"/>
      <c r="CR138" s="48"/>
      <c r="CS138" s="48"/>
      <c r="CT138" s="48"/>
      <c r="CU138" s="48"/>
      <c r="CV138" s="48"/>
      <c r="CW138" s="48"/>
      <c r="CX138" s="48"/>
      <c r="CY138" s="48"/>
      <c r="CZ138" s="48"/>
      <c r="DA138" s="48"/>
      <c r="DB138" s="48"/>
      <c r="DC138" s="48"/>
      <c r="DD138" s="48"/>
      <c r="DE138" s="48"/>
      <c r="DF138" s="48"/>
      <c r="DG138" s="48"/>
      <c r="DH138" s="48"/>
      <c r="DI138" s="48"/>
      <c r="DJ138" s="48"/>
      <c r="DK138" s="48"/>
      <c r="DL138" s="48"/>
      <c r="DM138" s="48"/>
      <c r="DN138" s="48"/>
      <c r="DO138" s="48"/>
      <c r="DP138" s="48"/>
    </row>
    <row r="139" spans="2:120" x14ac:dyDescent="0.2">
      <c r="B139" s="48"/>
      <c r="C139" s="144"/>
      <c r="D139" s="48"/>
      <c r="E139" s="48"/>
      <c r="F139" s="48"/>
      <c r="G139" s="48"/>
      <c r="H139" s="48"/>
      <c r="I139" s="48"/>
      <c r="J139" s="48"/>
      <c r="K139" s="48"/>
      <c r="L139" s="48"/>
      <c r="M139" s="238">
        <v>37</v>
      </c>
      <c r="N139" s="234" t="s">
        <v>452</v>
      </c>
      <c r="O139" s="239">
        <f>COUNTIFS(Tabulacao!$CY:$CY,EmpAtual!$N$101,Tabulacao!$DA:$DA,EmpAtual!N139)</f>
        <v>1</v>
      </c>
      <c r="P139" s="240">
        <f t="shared" si="72"/>
        <v>4.3478260869565216E-2</v>
      </c>
      <c r="Q139" s="48"/>
      <c r="R139" s="48"/>
      <c r="S139" s="48"/>
      <c r="T139" s="48"/>
      <c r="U139" s="48"/>
      <c r="V139" s="48"/>
      <c r="W139" s="168" t="s">
        <v>126</v>
      </c>
      <c r="X139" s="179">
        <v>1500</v>
      </c>
      <c r="Y139" s="168"/>
      <c r="Z139" s="168"/>
      <c r="AA139" s="168"/>
      <c r="AB139" s="48"/>
      <c r="AC139" s="48"/>
      <c r="AD139" s="48"/>
      <c r="AE139" s="48"/>
      <c r="AF139" s="48"/>
      <c r="AG139" s="48"/>
      <c r="AH139" s="48"/>
      <c r="AI139" s="48"/>
      <c r="AJ139" s="48"/>
      <c r="AK139" s="48"/>
      <c r="AL139" s="48"/>
      <c r="AM139" s="48"/>
      <c r="AN139" s="48"/>
      <c r="AO139" s="48"/>
      <c r="AP139" s="48"/>
      <c r="AQ139" s="48"/>
      <c r="AR139" s="48"/>
      <c r="AS139" s="48"/>
      <c r="AT139" s="48"/>
      <c r="AU139" s="48"/>
      <c r="AV139" s="48"/>
      <c r="AW139" s="48"/>
      <c r="AX139" s="48"/>
      <c r="AY139" s="48"/>
      <c r="AZ139" s="48"/>
      <c r="BA139" s="48"/>
      <c r="BB139" s="48"/>
      <c r="BC139" s="48"/>
      <c r="BD139" s="48"/>
      <c r="BE139" s="48"/>
      <c r="BF139" s="48"/>
      <c r="BG139" s="48"/>
      <c r="BH139" s="48"/>
      <c r="BI139" s="48"/>
      <c r="BJ139" s="48"/>
      <c r="BK139" s="48"/>
      <c r="BL139" s="48"/>
      <c r="BM139" s="48"/>
      <c r="BN139" s="48"/>
      <c r="BO139" s="48"/>
      <c r="BP139" s="48"/>
      <c r="BQ139" s="48"/>
      <c r="BR139" s="48"/>
      <c r="BS139" s="48"/>
      <c r="BT139" s="144"/>
      <c r="BU139" s="144"/>
      <c r="BV139" s="144"/>
      <c r="BW139" s="144"/>
      <c r="BX139" s="144"/>
      <c r="BY139" s="48"/>
      <c r="BZ139" s="48"/>
      <c r="CA139" s="48"/>
      <c r="CB139" s="48"/>
      <c r="CC139" s="48"/>
      <c r="CD139" s="48"/>
      <c r="CE139" s="48"/>
      <c r="CF139" s="48"/>
      <c r="CG139" s="48"/>
      <c r="CH139" s="48"/>
      <c r="CI139" s="48"/>
      <c r="CJ139" s="48"/>
      <c r="CK139" s="48"/>
      <c r="CL139" s="48"/>
      <c r="CM139" s="48"/>
      <c r="CN139" s="48"/>
      <c r="CO139" s="48"/>
      <c r="CP139" s="48"/>
      <c r="CQ139" s="48"/>
      <c r="CR139" s="48"/>
      <c r="CS139" s="48"/>
      <c r="CT139" s="48"/>
      <c r="CU139" s="48"/>
      <c r="CV139" s="48"/>
      <c r="CW139" s="48"/>
      <c r="CX139" s="48"/>
      <c r="CY139" s="48"/>
      <c r="CZ139" s="48"/>
      <c r="DA139" s="48"/>
      <c r="DB139" s="48"/>
      <c r="DC139" s="48"/>
      <c r="DD139" s="48"/>
      <c r="DE139" s="48"/>
      <c r="DF139" s="48"/>
      <c r="DG139" s="48"/>
      <c r="DH139" s="48"/>
      <c r="DI139" s="48"/>
      <c r="DJ139" s="48"/>
      <c r="DK139" s="48"/>
      <c r="DL139" s="48"/>
      <c r="DM139" s="48"/>
      <c r="DN139" s="48"/>
      <c r="DO139" s="48"/>
      <c r="DP139" s="48"/>
    </row>
    <row r="140" spans="2:120" x14ac:dyDescent="0.2">
      <c r="B140" s="48"/>
      <c r="C140" s="144"/>
      <c r="D140" s="48"/>
      <c r="E140" s="48"/>
      <c r="F140" s="48"/>
      <c r="G140" s="48"/>
      <c r="H140" s="48"/>
      <c r="I140" s="48"/>
      <c r="J140" s="48"/>
      <c r="K140" s="48"/>
      <c r="L140" s="48"/>
      <c r="M140" s="238">
        <v>38</v>
      </c>
      <c r="N140" s="234" t="s">
        <v>1223</v>
      </c>
      <c r="O140" s="239">
        <f>COUNTIFS(Tabulacao!$CY:$CY,EmpAtual!$N$101,Tabulacao!$DA:$DA,EmpAtual!N140)</f>
        <v>0</v>
      </c>
      <c r="P140" s="240">
        <f t="shared" si="72"/>
        <v>0</v>
      </c>
      <c r="Q140" s="48"/>
      <c r="R140" s="48"/>
      <c r="S140" s="48"/>
      <c r="T140" s="48"/>
      <c r="U140" s="48"/>
      <c r="V140" s="48"/>
      <c r="W140" s="168" t="s">
        <v>126</v>
      </c>
      <c r="X140" s="179">
        <v>3700</v>
      </c>
      <c r="Y140" s="168"/>
      <c r="Z140" s="168"/>
      <c r="AA140" s="168"/>
      <c r="AB140" s="48"/>
      <c r="AC140" s="48"/>
      <c r="AD140" s="48"/>
      <c r="AE140" s="48"/>
      <c r="AF140" s="48"/>
      <c r="AG140" s="48"/>
      <c r="AH140" s="48"/>
      <c r="AI140" s="48"/>
      <c r="AJ140" s="48"/>
      <c r="AK140" s="48"/>
      <c r="AL140" s="48"/>
      <c r="AM140" s="48"/>
      <c r="AN140" s="48"/>
      <c r="AO140" s="48"/>
      <c r="AP140" s="48"/>
      <c r="AQ140" s="48"/>
      <c r="AR140" s="48"/>
      <c r="AS140" s="48"/>
      <c r="AT140" s="48"/>
      <c r="AU140" s="48"/>
      <c r="AV140" s="48"/>
      <c r="AW140" s="48"/>
      <c r="AX140" s="48"/>
      <c r="AY140" s="48"/>
      <c r="AZ140" s="48"/>
      <c r="BA140" s="48"/>
      <c r="BB140" s="48"/>
      <c r="BC140" s="48"/>
      <c r="BD140" s="48"/>
      <c r="BE140" s="48"/>
      <c r="BF140" s="48"/>
      <c r="BG140" s="48"/>
      <c r="BH140" s="48"/>
      <c r="BI140" s="48"/>
      <c r="BJ140" s="48"/>
      <c r="BK140" s="48"/>
      <c r="BL140" s="48"/>
      <c r="BM140" s="48"/>
      <c r="BN140" s="48"/>
      <c r="BO140" s="48"/>
      <c r="BP140" s="48"/>
      <c r="BQ140" s="48"/>
      <c r="BR140" s="48"/>
      <c r="BS140" s="48"/>
      <c r="BT140" s="144"/>
      <c r="BU140" s="144"/>
      <c r="BV140" s="144"/>
      <c r="BW140" s="144"/>
      <c r="BX140" s="144"/>
      <c r="BY140" s="48"/>
      <c r="BZ140" s="48"/>
      <c r="CA140" s="48"/>
      <c r="CB140" s="48"/>
      <c r="CC140" s="48"/>
      <c r="CD140" s="48"/>
      <c r="CE140" s="48"/>
      <c r="CF140" s="48"/>
      <c r="CG140" s="48"/>
      <c r="CH140" s="48"/>
      <c r="CI140" s="48"/>
      <c r="CJ140" s="48"/>
      <c r="CK140" s="48"/>
      <c r="CL140" s="48"/>
      <c r="CM140" s="48"/>
      <c r="CN140" s="48"/>
      <c r="CO140" s="48"/>
      <c r="CP140" s="48"/>
      <c r="CQ140" s="48"/>
      <c r="CR140" s="48"/>
      <c r="CS140" s="48"/>
      <c r="CT140" s="48"/>
      <c r="CU140" s="48"/>
      <c r="CV140" s="48"/>
      <c r="CW140" s="48"/>
      <c r="CX140" s="48"/>
      <c r="CY140" s="48"/>
      <c r="CZ140" s="48"/>
      <c r="DA140" s="48"/>
      <c r="DB140" s="48"/>
      <c r="DC140" s="48"/>
      <c r="DD140" s="48"/>
      <c r="DE140" s="48"/>
      <c r="DF140" s="48"/>
      <c r="DG140" s="48"/>
      <c r="DH140" s="48"/>
      <c r="DI140" s="48"/>
      <c r="DJ140" s="48"/>
      <c r="DK140" s="48"/>
      <c r="DL140" s="48"/>
      <c r="DM140" s="48"/>
      <c r="DN140" s="48"/>
      <c r="DO140" s="48"/>
      <c r="DP140" s="48"/>
    </row>
    <row r="141" spans="2:120" x14ac:dyDescent="0.2">
      <c r="B141" s="48"/>
      <c r="C141" s="144"/>
      <c r="D141" s="48"/>
      <c r="E141" s="48"/>
      <c r="F141" s="48"/>
      <c r="G141" s="48"/>
      <c r="H141" s="48"/>
      <c r="I141" s="48"/>
      <c r="J141" s="48"/>
      <c r="K141" s="48"/>
      <c r="L141" s="48"/>
      <c r="M141" s="238">
        <v>39</v>
      </c>
      <c r="N141" s="234" t="s">
        <v>578</v>
      </c>
      <c r="O141" s="239">
        <f>COUNTIFS(Tabulacao!$CY:$CY,EmpAtual!$N$101,Tabulacao!$DA:$DA,EmpAtual!N141)</f>
        <v>0</v>
      </c>
      <c r="P141" s="240">
        <f t="shared" si="72"/>
        <v>0</v>
      </c>
      <c r="Q141" s="48"/>
      <c r="R141" s="48"/>
      <c r="S141" s="48"/>
      <c r="T141" s="48"/>
      <c r="U141" s="48"/>
      <c r="V141" s="48"/>
      <c r="W141" s="168" t="s">
        <v>126</v>
      </c>
      <c r="X141" s="179">
        <v>800</v>
      </c>
      <c r="Y141" s="168"/>
      <c r="Z141" s="168"/>
      <c r="AA141" s="168"/>
      <c r="AB141" s="48"/>
      <c r="AC141" s="48"/>
      <c r="AD141" s="48"/>
      <c r="AE141" s="48"/>
      <c r="AF141" s="48"/>
      <c r="AG141" s="48"/>
      <c r="AH141" s="48"/>
      <c r="AI141" s="48"/>
      <c r="AJ141" s="48"/>
      <c r="AK141" s="48"/>
      <c r="AL141" s="48"/>
      <c r="AM141" s="48"/>
      <c r="AN141" s="48"/>
      <c r="AO141" s="48"/>
      <c r="AP141" s="48"/>
      <c r="AQ141" s="48"/>
      <c r="AR141" s="48"/>
      <c r="AS141" s="48"/>
      <c r="AT141" s="48"/>
      <c r="AU141" s="48"/>
      <c r="AV141" s="48"/>
      <c r="AW141" s="48"/>
      <c r="AX141" s="48"/>
      <c r="AY141" s="48"/>
      <c r="AZ141" s="48"/>
      <c r="BA141" s="48"/>
      <c r="BB141" s="48"/>
      <c r="BC141" s="48"/>
      <c r="BD141" s="48"/>
      <c r="BE141" s="48"/>
      <c r="BF141" s="48"/>
      <c r="BG141" s="48"/>
      <c r="BH141" s="48"/>
      <c r="BI141" s="48"/>
      <c r="BJ141" s="48"/>
      <c r="BK141" s="48"/>
      <c r="BL141" s="48"/>
      <c r="BM141" s="48"/>
      <c r="BN141" s="48"/>
      <c r="BO141" s="48"/>
      <c r="BP141" s="48"/>
      <c r="BQ141" s="48"/>
      <c r="BR141" s="48"/>
      <c r="BS141" s="48"/>
      <c r="BT141" s="144"/>
      <c r="BU141" s="144"/>
      <c r="BV141" s="144"/>
      <c r="BW141" s="144"/>
      <c r="BX141" s="144"/>
      <c r="BY141" s="48"/>
      <c r="BZ141" s="48"/>
      <c r="CA141" s="48"/>
      <c r="CB141" s="48"/>
      <c r="CC141" s="48"/>
      <c r="CD141" s="48"/>
      <c r="CE141" s="48"/>
      <c r="CF141" s="48"/>
      <c r="CG141" s="48"/>
      <c r="CH141" s="48"/>
      <c r="CI141" s="48"/>
      <c r="CJ141" s="48"/>
      <c r="CK141" s="48"/>
      <c r="CL141" s="48"/>
      <c r="CM141" s="48"/>
      <c r="CN141" s="48"/>
      <c r="CO141" s="48"/>
      <c r="CP141" s="48"/>
      <c r="CQ141" s="48"/>
      <c r="CR141" s="48"/>
      <c r="CS141" s="48"/>
      <c r="CT141" s="48"/>
      <c r="CU141" s="48"/>
      <c r="CV141" s="48"/>
      <c r="CW141" s="48"/>
      <c r="CX141" s="48"/>
      <c r="CY141" s="48"/>
      <c r="CZ141" s="48"/>
      <c r="DA141" s="48"/>
      <c r="DB141" s="48"/>
      <c r="DC141" s="48"/>
      <c r="DD141" s="48"/>
      <c r="DE141" s="48"/>
      <c r="DF141" s="48"/>
      <c r="DG141" s="48"/>
      <c r="DH141" s="48"/>
      <c r="DI141" s="48"/>
      <c r="DJ141" s="48"/>
      <c r="DK141" s="48"/>
      <c r="DL141" s="48"/>
      <c r="DM141" s="48"/>
      <c r="DN141" s="48"/>
      <c r="DO141" s="48"/>
      <c r="DP141" s="48"/>
    </row>
    <row r="142" spans="2:120" x14ac:dyDescent="0.2">
      <c r="B142" s="48"/>
      <c r="C142" s="144"/>
      <c r="D142" s="48"/>
      <c r="E142" s="48"/>
      <c r="F142" s="48"/>
      <c r="G142" s="48"/>
      <c r="H142" s="48"/>
      <c r="I142" s="48"/>
      <c r="J142" s="48"/>
      <c r="K142" s="48"/>
      <c r="L142" s="48"/>
      <c r="M142" s="238">
        <v>40</v>
      </c>
      <c r="N142" s="234" t="s">
        <v>480</v>
      </c>
      <c r="O142" s="239">
        <f>COUNTIFS(Tabulacao!$CY:$CY,EmpAtual!$N$101,Tabulacao!$DA:$DA,EmpAtual!N142)</f>
        <v>1</v>
      </c>
      <c r="P142" s="240">
        <f t="shared" si="72"/>
        <v>4.3478260869565216E-2</v>
      </c>
      <c r="Q142" s="48"/>
      <c r="R142" s="48"/>
      <c r="S142" s="48"/>
      <c r="T142" s="48"/>
      <c r="U142" s="48"/>
      <c r="V142" s="48"/>
      <c r="W142" s="168" t="s">
        <v>126</v>
      </c>
      <c r="X142" s="179">
        <v>2500</v>
      </c>
      <c r="Y142" s="168"/>
      <c r="Z142" s="168"/>
      <c r="AA142" s="168"/>
      <c r="AB142" s="48"/>
      <c r="AC142" s="48"/>
      <c r="AD142" s="48"/>
      <c r="AE142" s="48"/>
      <c r="AF142" s="48"/>
      <c r="AG142" s="48"/>
      <c r="AH142" s="48"/>
      <c r="AI142" s="48"/>
      <c r="AJ142" s="48"/>
      <c r="AK142" s="48"/>
      <c r="AL142" s="48"/>
      <c r="AM142" s="48"/>
      <c r="AN142" s="48"/>
      <c r="AO142" s="48"/>
      <c r="AP142" s="48"/>
      <c r="AQ142" s="48"/>
      <c r="AR142" s="48"/>
      <c r="AS142" s="48"/>
      <c r="AT142" s="48"/>
      <c r="AU142" s="48"/>
      <c r="AV142" s="48"/>
      <c r="AW142" s="48"/>
      <c r="AX142" s="48"/>
      <c r="AY142" s="48"/>
      <c r="AZ142" s="48"/>
      <c r="BA142" s="48"/>
      <c r="BB142" s="48"/>
      <c r="BC142" s="48"/>
      <c r="BD142" s="48"/>
      <c r="BE142" s="48"/>
      <c r="BF142" s="48"/>
      <c r="BG142" s="48"/>
      <c r="BH142" s="48"/>
      <c r="BI142" s="48"/>
      <c r="BJ142" s="48"/>
      <c r="BK142" s="48"/>
      <c r="BL142" s="48"/>
      <c r="BM142" s="48"/>
      <c r="BN142" s="48"/>
      <c r="BO142" s="48"/>
      <c r="BP142" s="48"/>
      <c r="BQ142" s="48"/>
      <c r="BR142" s="48"/>
      <c r="BS142" s="48"/>
      <c r="BT142" s="144"/>
      <c r="BU142" s="144"/>
      <c r="BV142" s="144"/>
      <c r="BW142" s="144"/>
      <c r="BX142" s="144"/>
      <c r="BY142" s="48"/>
      <c r="BZ142" s="48"/>
      <c r="CA142" s="48"/>
      <c r="CB142" s="48"/>
      <c r="CC142" s="48"/>
      <c r="CD142" s="48"/>
      <c r="CE142" s="48"/>
      <c r="CF142" s="48"/>
      <c r="CG142" s="48"/>
      <c r="CH142" s="48"/>
      <c r="CI142" s="48"/>
      <c r="CJ142" s="48"/>
      <c r="CK142" s="48"/>
      <c r="CL142" s="48"/>
      <c r="CM142" s="48"/>
      <c r="CN142" s="48"/>
      <c r="CO142" s="48"/>
      <c r="CP142" s="48"/>
      <c r="CQ142" s="48"/>
      <c r="CR142" s="48"/>
      <c r="CS142" s="48"/>
      <c r="CT142" s="48"/>
      <c r="CU142" s="48"/>
      <c r="CV142" s="48"/>
      <c r="CW142" s="48"/>
      <c r="CX142" s="48"/>
      <c r="CY142" s="48"/>
      <c r="CZ142" s="48"/>
      <c r="DA142" s="48"/>
      <c r="DB142" s="48"/>
      <c r="DC142" s="48"/>
      <c r="DD142" s="48"/>
      <c r="DE142" s="48"/>
      <c r="DF142" s="48"/>
      <c r="DG142" s="48"/>
      <c r="DH142" s="48"/>
      <c r="DI142" s="48"/>
      <c r="DJ142" s="48"/>
      <c r="DK142" s="48"/>
      <c r="DL142" s="48"/>
      <c r="DM142" s="48"/>
      <c r="DN142" s="48"/>
      <c r="DO142" s="48"/>
      <c r="DP142" s="48"/>
    </row>
    <row r="143" spans="2:120" x14ac:dyDescent="0.2">
      <c r="B143" s="48"/>
      <c r="C143" s="144"/>
      <c r="D143" s="48"/>
      <c r="E143" s="48"/>
      <c r="F143" s="48"/>
      <c r="G143" s="48"/>
      <c r="H143" s="48"/>
      <c r="I143" s="48"/>
      <c r="J143" s="48"/>
      <c r="K143" s="48"/>
      <c r="L143" s="48"/>
      <c r="M143" s="238">
        <v>41</v>
      </c>
      <c r="N143" s="234" t="s">
        <v>1224</v>
      </c>
      <c r="O143" s="239">
        <f>COUNTIFS(Tabulacao!$CY:$CY,EmpAtual!$N$101,Tabulacao!$DA:$DA,EmpAtual!N143)</f>
        <v>0</v>
      </c>
      <c r="P143" s="240">
        <f t="shared" si="72"/>
        <v>0</v>
      </c>
      <c r="Q143" s="48"/>
      <c r="R143" s="48"/>
      <c r="S143" s="48"/>
      <c r="T143" s="48"/>
      <c r="U143" s="48"/>
      <c r="V143" s="48"/>
      <c r="W143" s="168" t="s">
        <v>126</v>
      </c>
      <c r="X143" s="179">
        <v>6500</v>
      </c>
      <c r="Y143" s="168"/>
      <c r="Z143" s="168"/>
      <c r="AA143" s="168"/>
      <c r="AB143" s="48"/>
      <c r="AC143" s="48"/>
      <c r="AD143" s="48"/>
      <c r="AE143" s="48"/>
      <c r="AF143" s="48"/>
      <c r="AG143" s="48"/>
      <c r="AH143" s="48"/>
      <c r="AI143" s="48"/>
      <c r="AJ143" s="48"/>
      <c r="AK143" s="48"/>
      <c r="AL143" s="48"/>
      <c r="AM143" s="48"/>
      <c r="AN143" s="48"/>
      <c r="AO143" s="48"/>
      <c r="AP143" s="48"/>
      <c r="AQ143" s="48"/>
      <c r="AR143" s="48"/>
      <c r="AS143" s="48"/>
      <c r="AT143" s="48"/>
      <c r="AU143" s="48"/>
      <c r="AV143" s="48"/>
      <c r="AW143" s="48"/>
      <c r="AX143" s="48"/>
      <c r="AY143" s="48"/>
      <c r="AZ143" s="48"/>
      <c r="BA143" s="48"/>
      <c r="BB143" s="48"/>
      <c r="BC143" s="48"/>
      <c r="BD143" s="48"/>
      <c r="BE143" s="48"/>
      <c r="BF143" s="48"/>
      <c r="BG143" s="48"/>
      <c r="BH143" s="48"/>
      <c r="BI143" s="48"/>
      <c r="BJ143" s="48"/>
      <c r="BK143" s="48"/>
      <c r="BL143" s="48"/>
      <c r="BM143" s="48"/>
      <c r="BN143" s="48"/>
      <c r="BO143" s="48"/>
      <c r="BP143" s="48"/>
      <c r="BQ143" s="48"/>
      <c r="BR143" s="48"/>
      <c r="BS143" s="48"/>
      <c r="BT143" s="144"/>
      <c r="BU143" s="144"/>
      <c r="BV143" s="144"/>
      <c r="BW143" s="144"/>
      <c r="BX143" s="144"/>
      <c r="BY143" s="48"/>
      <c r="BZ143" s="48"/>
      <c r="CA143" s="48"/>
      <c r="CB143" s="48"/>
      <c r="CC143" s="48"/>
      <c r="CD143" s="48"/>
      <c r="CE143" s="48"/>
      <c r="CF143" s="48"/>
      <c r="CG143" s="48"/>
      <c r="CH143" s="48"/>
      <c r="CI143" s="48"/>
      <c r="CJ143" s="48"/>
      <c r="CK143" s="48"/>
      <c r="CL143" s="48"/>
      <c r="CM143" s="48"/>
      <c r="CN143" s="48"/>
      <c r="CO143" s="48"/>
      <c r="CP143" s="48"/>
      <c r="CQ143" s="48"/>
      <c r="CR143" s="48"/>
      <c r="CS143" s="48"/>
      <c r="CT143" s="48"/>
      <c r="CU143" s="48"/>
      <c r="CV143" s="48"/>
      <c r="CW143" s="48"/>
      <c r="CX143" s="48"/>
      <c r="CY143" s="48"/>
      <c r="CZ143" s="48"/>
      <c r="DA143" s="48"/>
      <c r="DB143" s="48"/>
      <c r="DC143" s="48"/>
      <c r="DD143" s="48"/>
      <c r="DE143" s="48"/>
      <c r="DF143" s="48"/>
      <c r="DG143" s="48"/>
      <c r="DH143" s="48"/>
      <c r="DI143" s="48"/>
      <c r="DJ143" s="48"/>
      <c r="DK143" s="48"/>
      <c r="DL143" s="48"/>
      <c r="DM143" s="48"/>
      <c r="DN143" s="48"/>
      <c r="DO143" s="48"/>
      <c r="DP143" s="48"/>
    </row>
    <row r="144" spans="2:120" x14ac:dyDescent="0.2">
      <c r="B144" s="48"/>
      <c r="C144" s="144"/>
      <c r="D144" s="48"/>
      <c r="E144" s="48"/>
      <c r="F144" s="48"/>
      <c r="G144" s="48"/>
      <c r="H144" s="48"/>
      <c r="I144" s="48"/>
      <c r="J144" s="48"/>
      <c r="K144" s="48"/>
      <c r="L144" s="48"/>
      <c r="M144" s="238">
        <v>42</v>
      </c>
      <c r="N144" s="234" t="s">
        <v>1123</v>
      </c>
      <c r="O144" s="239">
        <f>COUNTIFS(Tabulacao!$CY:$CY,EmpAtual!$N$101,Tabulacao!$DA:$DA,EmpAtual!N144)</f>
        <v>0</v>
      </c>
      <c r="P144" s="240">
        <f t="shared" si="72"/>
        <v>0</v>
      </c>
      <c r="Q144" s="48"/>
      <c r="R144" s="48"/>
      <c r="S144" s="48"/>
      <c r="T144" s="48"/>
      <c r="U144" s="48"/>
      <c r="V144" s="48"/>
      <c r="W144" s="168" t="s">
        <v>125</v>
      </c>
      <c r="X144" s="179">
        <v>1300</v>
      </c>
      <c r="Y144" s="168"/>
      <c r="Z144" s="168"/>
      <c r="AA144" s="168"/>
      <c r="AB144" s="48"/>
      <c r="AC144" s="48"/>
      <c r="AD144" s="48"/>
      <c r="AE144" s="48"/>
      <c r="AF144" s="48"/>
      <c r="AG144" s="48"/>
      <c r="AH144" s="48"/>
      <c r="AI144" s="48"/>
      <c r="AJ144" s="48"/>
      <c r="AK144" s="48"/>
      <c r="AL144" s="48"/>
      <c r="AM144" s="48"/>
      <c r="AN144" s="48"/>
      <c r="AO144" s="48"/>
      <c r="AP144" s="48"/>
      <c r="AQ144" s="48"/>
      <c r="AR144" s="48"/>
      <c r="AS144" s="48"/>
      <c r="AT144" s="48"/>
      <c r="AU144" s="48"/>
      <c r="AV144" s="48"/>
      <c r="AW144" s="48"/>
      <c r="AX144" s="48"/>
      <c r="AY144" s="48"/>
      <c r="AZ144" s="48"/>
      <c r="BA144" s="48"/>
      <c r="BB144" s="48"/>
      <c r="BC144" s="48"/>
      <c r="BD144" s="48"/>
      <c r="BE144" s="48"/>
      <c r="BF144" s="48"/>
      <c r="BG144" s="48"/>
      <c r="BH144" s="48"/>
      <c r="BI144" s="48"/>
      <c r="BJ144" s="48"/>
      <c r="BK144" s="48"/>
      <c r="BL144" s="48"/>
      <c r="BM144" s="48"/>
      <c r="BN144" s="48"/>
      <c r="BO144" s="48"/>
      <c r="BP144" s="48"/>
      <c r="BQ144" s="48"/>
      <c r="BR144" s="48"/>
      <c r="BS144" s="48"/>
      <c r="BT144" s="144"/>
      <c r="BU144" s="144"/>
      <c r="BV144" s="144"/>
      <c r="BW144" s="144"/>
      <c r="BX144" s="144"/>
      <c r="BY144" s="48"/>
      <c r="BZ144" s="48"/>
      <c r="CA144" s="48"/>
      <c r="CB144" s="48"/>
      <c r="CC144" s="48"/>
      <c r="CD144" s="48"/>
      <c r="CE144" s="48"/>
      <c r="CF144" s="48"/>
      <c r="CG144" s="48"/>
      <c r="CH144" s="48"/>
      <c r="CI144" s="48"/>
      <c r="CJ144" s="48"/>
      <c r="CK144" s="48"/>
      <c r="CL144" s="48"/>
      <c r="CM144" s="48"/>
      <c r="CN144" s="48"/>
      <c r="CO144" s="48"/>
      <c r="CP144" s="48"/>
      <c r="CQ144" s="48"/>
      <c r="CR144" s="48"/>
      <c r="CS144" s="48"/>
      <c r="CT144" s="48"/>
      <c r="CU144" s="48"/>
      <c r="CV144" s="48"/>
      <c r="CW144" s="48"/>
      <c r="CX144" s="48"/>
      <c r="CY144" s="48"/>
      <c r="CZ144" s="48"/>
      <c r="DA144" s="48"/>
      <c r="DB144" s="48"/>
      <c r="DC144" s="48"/>
      <c r="DD144" s="48"/>
      <c r="DE144" s="48"/>
      <c r="DF144" s="48"/>
      <c r="DG144" s="48"/>
      <c r="DH144" s="48"/>
      <c r="DI144" s="48"/>
      <c r="DJ144" s="48"/>
      <c r="DK144" s="48"/>
      <c r="DL144" s="48"/>
      <c r="DM144" s="48"/>
      <c r="DN144" s="48"/>
      <c r="DO144" s="48"/>
      <c r="DP144" s="48"/>
    </row>
    <row r="145" spans="2:120" x14ac:dyDescent="0.2">
      <c r="B145" s="48"/>
      <c r="C145" s="144"/>
      <c r="D145" s="48"/>
      <c r="E145" s="48"/>
      <c r="F145" s="48"/>
      <c r="G145" s="48"/>
      <c r="H145" s="48"/>
      <c r="I145" s="48"/>
      <c r="J145" s="48"/>
      <c r="K145" s="48"/>
      <c r="L145" s="48"/>
      <c r="M145" s="238">
        <v>43</v>
      </c>
      <c r="N145" s="234" t="s">
        <v>518</v>
      </c>
      <c r="O145" s="239">
        <f>COUNTIFS(Tabulacao!$CY:$CY,EmpAtual!$N$101,Tabulacao!$DA:$DA,EmpAtual!N145)</f>
        <v>0</v>
      </c>
      <c r="P145" s="240">
        <f t="shared" si="72"/>
        <v>0</v>
      </c>
      <c r="Q145" s="48"/>
      <c r="R145" s="48"/>
      <c r="S145" s="48"/>
      <c r="T145" s="48"/>
      <c r="U145" s="48"/>
      <c r="V145" s="48"/>
      <c r="W145" s="168" t="s">
        <v>125</v>
      </c>
      <c r="X145" s="179">
        <v>1422</v>
      </c>
      <c r="Y145" s="168"/>
      <c r="Z145" s="168"/>
      <c r="AA145" s="168"/>
      <c r="AB145" s="48"/>
      <c r="AC145" s="48"/>
      <c r="AD145" s="48"/>
      <c r="AE145" s="48"/>
      <c r="AF145" s="48"/>
      <c r="AG145" s="48"/>
      <c r="AH145" s="48"/>
      <c r="AI145" s="48"/>
      <c r="AJ145" s="48"/>
      <c r="AK145" s="48"/>
      <c r="AL145" s="48"/>
      <c r="AM145" s="48"/>
      <c r="AN145" s="48"/>
      <c r="AO145" s="48"/>
      <c r="AP145" s="48"/>
      <c r="AQ145" s="48"/>
      <c r="AR145" s="48"/>
      <c r="AS145" s="48"/>
      <c r="AT145" s="48"/>
      <c r="AU145" s="48"/>
      <c r="AV145" s="48"/>
      <c r="AW145" s="48"/>
      <c r="AX145" s="48"/>
      <c r="AY145" s="48"/>
      <c r="AZ145" s="48"/>
      <c r="BA145" s="48"/>
      <c r="BB145" s="48"/>
      <c r="BC145" s="48"/>
      <c r="BD145" s="48"/>
      <c r="BE145" s="48"/>
      <c r="BF145" s="48"/>
      <c r="BG145" s="48"/>
      <c r="BH145" s="48"/>
      <c r="BI145" s="48"/>
      <c r="BJ145" s="48"/>
      <c r="BK145" s="48"/>
      <c r="BL145" s="48"/>
      <c r="BM145" s="48"/>
      <c r="BN145" s="48"/>
      <c r="BO145" s="48"/>
      <c r="BP145" s="48"/>
      <c r="BQ145" s="48"/>
      <c r="BR145" s="48"/>
      <c r="BS145" s="48"/>
      <c r="BT145" s="144"/>
      <c r="BU145" s="144"/>
      <c r="BV145" s="144"/>
      <c r="BW145" s="144"/>
      <c r="BX145" s="144"/>
      <c r="BY145" s="48"/>
      <c r="BZ145" s="48"/>
      <c r="CA145" s="48"/>
      <c r="CB145" s="48"/>
      <c r="CC145" s="48"/>
      <c r="CD145" s="48"/>
      <c r="CE145" s="48"/>
      <c r="CF145" s="48"/>
      <c r="CG145" s="48"/>
      <c r="CH145" s="48"/>
      <c r="CI145" s="48"/>
      <c r="CJ145" s="48"/>
      <c r="CK145" s="48"/>
      <c r="CL145" s="48"/>
      <c r="CM145" s="48"/>
      <c r="CN145" s="48"/>
      <c r="CO145" s="48"/>
      <c r="CP145" s="48"/>
      <c r="CQ145" s="48"/>
      <c r="CR145" s="48"/>
      <c r="CS145" s="48"/>
      <c r="CT145" s="48"/>
      <c r="CU145" s="48"/>
      <c r="CV145" s="48"/>
      <c r="CW145" s="48"/>
      <c r="CX145" s="48"/>
      <c r="CY145" s="48"/>
      <c r="CZ145" s="48"/>
      <c r="DA145" s="48"/>
      <c r="DB145" s="48"/>
      <c r="DC145" s="48"/>
      <c r="DD145" s="48"/>
      <c r="DE145" s="48"/>
      <c r="DF145" s="48"/>
      <c r="DG145" s="48"/>
      <c r="DH145" s="48"/>
      <c r="DI145" s="48"/>
      <c r="DJ145" s="48"/>
      <c r="DK145" s="48"/>
      <c r="DL145" s="48"/>
      <c r="DM145" s="48"/>
      <c r="DN145" s="48"/>
      <c r="DO145" s="48"/>
      <c r="DP145" s="48"/>
    </row>
    <row r="146" spans="2:120" x14ac:dyDescent="0.2">
      <c r="B146" s="48"/>
      <c r="C146" s="144"/>
      <c r="D146" s="48"/>
      <c r="E146" s="48"/>
      <c r="F146" s="48"/>
      <c r="G146" s="48"/>
      <c r="H146" s="48"/>
      <c r="I146" s="48"/>
      <c r="J146" s="48"/>
      <c r="K146" s="48"/>
      <c r="L146" s="48"/>
      <c r="M146" s="238">
        <v>44</v>
      </c>
      <c r="N146" s="234" t="s">
        <v>521</v>
      </c>
      <c r="O146" s="239">
        <f>COUNTIFS(Tabulacao!$CY:$CY,EmpAtual!$N$101,Tabulacao!$DA:$DA,EmpAtual!N146)</f>
        <v>0</v>
      </c>
      <c r="P146" s="240">
        <f t="shared" si="72"/>
        <v>0</v>
      </c>
      <c r="Q146" s="48"/>
      <c r="R146" s="48"/>
      <c r="S146" s="48"/>
      <c r="T146" s="48"/>
      <c r="U146" s="48"/>
      <c r="V146" s="48"/>
      <c r="W146" s="168" t="s">
        <v>125</v>
      </c>
      <c r="X146" s="179">
        <v>4452</v>
      </c>
      <c r="Y146" s="168"/>
      <c r="Z146" s="168"/>
      <c r="AA146" s="168"/>
      <c r="AB146" s="48"/>
      <c r="AC146" s="48"/>
      <c r="AD146" s="48"/>
      <c r="AE146" s="48"/>
      <c r="AF146" s="48"/>
      <c r="AG146" s="48"/>
      <c r="AH146" s="48"/>
      <c r="AI146" s="48"/>
      <c r="AJ146" s="48"/>
      <c r="AK146" s="48"/>
      <c r="AL146" s="48"/>
      <c r="AM146" s="48"/>
      <c r="AN146" s="48"/>
      <c r="AO146" s="48"/>
      <c r="AP146" s="48"/>
      <c r="AQ146" s="48"/>
      <c r="AR146" s="48"/>
      <c r="AS146" s="48"/>
      <c r="AT146" s="48"/>
      <c r="AU146" s="48"/>
      <c r="AV146" s="48"/>
      <c r="AW146" s="48"/>
      <c r="AX146" s="48"/>
      <c r="AY146" s="48"/>
      <c r="AZ146" s="48"/>
      <c r="BA146" s="48"/>
      <c r="BB146" s="48"/>
      <c r="BC146" s="48"/>
      <c r="BD146" s="48"/>
      <c r="BE146" s="48"/>
      <c r="BF146" s="48"/>
      <c r="BG146" s="48"/>
      <c r="BH146" s="48"/>
      <c r="BI146" s="48"/>
      <c r="BJ146" s="48"/>
      <c r="BK146" s="48"/>
      <c r="BL146" s="48"/>
      <c r="BM146" s="48"/>
      <c r="BN146" s="48"/>
      <c r="BO146" s="48"/>
      <c r="BP146" s="48"/>
      <c r="BQ146" s="48"/>
      <c r="BR146" s="48"/>
      <c r="BS146" s="48"/>
      <c r="BT146" s="144"/>
      <c r="BU146" s="144"/>
      <c r="BV146" s="144"/>
      <c r="BW146" s="144"/>
      <c r="BX146" s="144"/>
      <c r="BY146" s="48"/>
      <c r="BZ146" s="48"/>
      <c r="CA146" s="48"/>
      <c r="CB146" s="48"/>
      <c r="CC146" s="48"/>
      <c r="CD146" s="48"/>
      <c r="CE146" s="48"/>
      <c r="CF146" s="48"/>
      <c r="CG146" s="48"/>
      <c r="CH146" s="48"/>
      <c r="CI146" s="48"/>
      <c r="CJ146" s="48"/>
      <c r="CK146" s="48"/>
      <c r="CL146" s="48"/>
      <c r="CM146" s="48"/>
      <c r="CN146" s="48"/>
      <c r="CO146" s="48"/>
      <c r="CP146" s="48"/>
      <c r="CQ146" s="48"/>
      <c r="CR146" s="48"/>
      <c r="CS146" s="48"/>
      <c r="CT146" s="48"/>
      <c r="CU146" s="48"/>
      <c r="CV146" s="48"/>
      <c r="CW146" s="48"/>
      <c r="CX146" s="48"/>
      <c r="CY146" s="48"/>
      <c r="CZ146" s="48"/>
      <c r="DA146" s="48"/>
      <c r="DB146" s="48"/>
      <c r="DC146" s="48"/>
      <c r="DD146" s="48"/>
      <c r="DE146" s="48"/>
      <c r="DF146" s="48"/>
      <c r="DG146" s="48"/>
      <c r="DH146" s="48"/>
      <c r="DI146" s="48"/>
      <c r="DJ146" s="48"/>
      <c r="DK146" s="48"/>
      <c r="DL146" s="48"/>
      <c r="DM146" s="48"/>
      <c r="DN146" s="48"/>
      <c r="DO146" s="48"/>
      <c r="DP146" s="48"/>
    </row>
    <row r="147" spans="2:120" x14ac:dyDescent="0.2">
      <c r="B147" s="48"/>
      <c r="C147" s="144"/>
      <c r="D147" s="48"/>
      <c r="E147" s="48"/>
      <c r="F147" s="48"/>
      <c r="G147" s="48"/>
      <c r="H147" s="48"/>
      <c r="I147" s="48"/>
      <c r="J147" s="48"/>
      <c r="K147" s="48"/>
      <c r="L147" s="48"/>
      <c r="M147" s="238">
        <v>45</v>
      </c>
      <c r="N147" s="234" t="s">
        <v>545</v>
      </c>
      <c r="O147" s="239">
        <f>COUNTIFS(Tabulacao!$CY:$CY,EmpAtual!$N$101,Tabulacao!$DA:$DA,EmpAtual!N147)</f>
        <v>0</v>
      </c>
      <c r="P147" s="240">
        <f t="shared" si="72"/>
        <v>0</v>
      </c>
      <c r="Q147" s="48"/>
      <c r="R147" s="48"/>
      <c r="S147" s="48"/>
      <c r="T147" s="48"/>
      <c r="U147" s="48"/>
      <c r="V147" s="48"/>
      <c r="W147" s="168" t="s">
        <v>125</v>
      </c>
      <c r="X147" s="179">
        <v>3000</v>
      </c>
      <c r="Y147" s="168"/>
      <c r="Z147" s="168"/>
      <c r="AA147" s="168"/>
      <c r="AB147" s="48"/>
      <c r="AC147" s="48"/>
      <c r="AD147" s="48"/>
      <c r="AE147" s="48"/>
      <c r="AF147" s="48"/>
      <c r="AG147" s="48"/>
      <c r="AH147" s="48"/>
      <c r="AI147" s="48"/>
      <c r="AJ147" s="48"/>
      <c r="AK147" s="48"/>
      <c r="AL147" s="48"/>
      <c r="AM147" s="48"/>
      <c r="AN147" s="48"/>
      <c r="AO147" s="48"/>
      <c r="AP147" s="48"/>
      <c r="AQ147" s="48"/>
      <c r="AR147" s="48"/>
      <c r="AS147" s="48"/>
      <c r="AT147" s="48"/>
      <c r="AU147" s="48"/>
      <c r="AV147" s="48"/>
      <c r="AW147" s="48"/>
      <c r="AX147" s="48"/>
      <c r="AY147" s="48"/>
      <c r="AZ147" s="48"/>
      <c r="BA147" s="48"/>
      <c r="BB147" s="48"/>
      <c r="BC147" s="48"/>
      <c r="BD147" s="48"/>
      <c r="BE147" s="48"/>
      <c r="BF147" s="48"/>
      <c r="BG147" s="48"/>
      <c r="BH147" s="48"/>
      <c r="BI147" s="48"/>
      <c r="BJ147" s="48"/>
      <c r="BK147" s="48"/>
      <c r="BL147" s="48"/>
      <c r="BM147" s="48"/>
      <c r="BN147" s="48"/>
      <c r="BO147" s="48"/>
      <c r="BP147" s="48"/>
      <c r="BQ147" s="48"/>
      <c r="BR147" s="48"/>
      <c r="BS147" s="48"/>
      <c r="BT147" s="144"/>
      <c r="BU147" s="144"/>
      <c r="BV147" s="144"/>
      <c r="BW147" s="144"/>
      <c r="BX147" s="144"/>
      <c r="BY147" s="48"/>
      <c r="BZ147" s="48"/>
      <c r="CA147" s="48"/>
      <c r="CB147" s="48"/>
      <c r="CC147" s="48"/>
      <c r="CD147" s="48"/>
      <c r="CE147" s="48"/>
      <c r="CF147" s="48"/>
      <c r="CG147" s="48"/>
      <c r="CH147" s="48"/>
      <c r="CI147" s="48"/>
      <c r="CJ147" s="48"/>
      <c r="CK147" s="48"/>
      <c r="CL147" s="48"/>
      <c r="CM147" s="48"/>
      <c r="CN147" s="48"/>
      <c r="CO147" s="48"/>
      <c r="CP147" s="48"/>
      <c r="CQ147" s="48"/>
      <c r="CR147" s="48"/>
      <c r="CS147" s="48"/>
      <c r="CT147" s="48"/>
      <c r="CU147" s="48"/>
      <c r="CV147" s="48"/>
      <c r="CW147" s="48"/>
      <c r="CX147" s="48"/>
      <c r="CY147" s="48"/>
      <c r="CZ147" s="48"/>
      <c r="DA147" s="48"/>
      <c r="DB147" s="48"/>
      <c r="DC147" s="48"/>
      <c r="DD147" s="48"/>
      <c r="DE147" s="48"/>
      <c r="DF147" s="48"/>
      <c r="DG147" s="48"/>
      <c r="DH147" s="48"/>
      <c r="DI147" s="48"/>
      <c r="DJ147" s="48"/>
      <c r="DK147" s="48"/>
      <c r="DL147" s="48"/>
      <c r="DM147" s="48"/>
      <c r="DN147" s="48"/>
      <c r="DO147" s="48"/>
      <c r="DP147" s="48"/>
    </row>
    <row r="148" spans="2:120" x14ac:dyDescent="0.2">
      <c r="B148" s="48"/>
      <c r="C148" s="144"/>
      <c r="D148" s="48"/>
      <c r="E148" s="48"/>
      <c r="F148" s="48"/>
      <c r="G148" s="48"/>
      <c r="H148" s="48"/>
      <c r="I148" s="48"/>
      <c r="J148" s="48"/>
      <c r="K148" s="48"/>
      <c r="L148" s="48"/>
      <c r="M148" s="238">
        <v>46</v>
      </c>
      <c r="N148" s="234" t="s">
        <v>1225</v>
      </c>
      <c r="O148" s="239">
        <f>COUNTIFS(Tabulacao!$CY:$CY,EmpAtual!$N$101,Tabulacao!$DA:$DA,EmpAtual!N148)</f>
        <v>1</v>
      </c>
      <c r="P148" s="240">
        <f t="shared" si="72"/>
        <v>4.3478260869565216E-2</v>
      </c>
      <c r="Q148" s="48"/>
      <c r="R148" s="48"/>
      <c r="S148" s="48"/>
      <c r="T148" s="48"/>
      <c r="U148" s="48"/>
      <c r="V148" s="48"/>
      <c r="W148" s="168" t="s">
        <v>125</v>
      </c>
      <c r="X148" s="179">
        <v>600</v>
      </c>
      <c r="Y148" s="168"/>
      <c r="Z148" s="168"/>
      <c r="AA148" s="168"/>
      <c r="AB148" s="48"/>
      <c r="AC148" s="48"/>
      <c r="AD148" s="48"/>
      <c r="AE148" s="48"/>
      <c r="AF148" s="48"/>
      <c r="AG148" s="48"/>
      <c r="AH148" s="48"/>
      <c r="AI148" s="48"/>
      <c r="AJ148" s="48"/>
      <c r="AK148" s="48"/>
      <c r="AL148" s="48"/>
      <c r="AM148" s="48"/>
      <c r="AN148" s="48"/>
      <c r="AO148" s="48"/>
      <c r="AP148" s="48"/>
      <c r="AQ148" s="48"/>
      <c r="AR148" s="48"/>
      <c r="AS148" s="48"/>
      <c r="AT148" s="48"/>
      <c r="AU148" s="48"/>
      <c r="AV148" s="48"/>
      <c r="AW148" s="48"/>
      <c r="AX148" s="48"/>
      <c r="AY148" s="48"/>
      <c r="AZ148" s="48"/>
      <c r="BA148" s="48"/>
      <c r="BB148" s="48"/>
      <c r="BC148" s="48"/>
      <c r="BD148" s="48"/>
      <c r="BE148" s="48"/>
      <c r="BF148" s="48"/>
      <c r="BG148" s="48"/>
      <c r="BH148" s="48"/>
      <c r="BI148" s="48"/>
      <c r="BJ148" s="48"/>
      <c r="BK148" s="48"/>
      <c r="BL148" s="48"/>
      <c r="BM148" s="48"/>
      <c r="BN148" s="48"/>
      <c r="BO148" s="48"/>
      <c r="BP148" s="48"/>
      <c r="BQ148" s="48"/>
      <c r="BR148" s="48"/>
      <c r="BS148" s="48"/>
      <c r="BT148" s="144"/>
      <c r="BU148" s="144"/>
      <c r="BV148" s="144"/>
      <c r="BW148" s="144"/>
      <c r="BX148" s="144"/>
      <c r="BY148" s="48"/>
      <c r="BZ148" s="48"/>
      <c r="CA148" s="48"/>
      <c r="CB148" s="48"/>
      <c r="CC148" s="48"/>
      <c r="CD148" s="48"/>
      <c r="CE148" s="48"/>
      <c r="CF148" s="48"/>
      <c r="CG148" s="48"/>
      <c r="CH148" s="48"/>
      <c r="CI148" s="48"/>
      <c r="CJ148" s="48"/>
      <c r="CK148" s="48"/>
      <c r="CL148" s="48"/>
      <c r="CM148" s="48"/>
      <c r="CN148" s="48"/>
      <c r="CO148" s="48"/>
      <c r="CP148" s="48"/>
      <c r="CQ148" s="48"/>
      <c r="CR148" s="48"/>
      <c r="CS148" s="48"/>
      <c r="CT148" s="48"/>
      <c r="CU148" s="48"/>
      <c r="CV148" s="48"/>
      <c r="CW148" s="48"/>
      <c r="CX148" s="48"/>
      <c r="CY148" s="48"/>
      <c r="CZ148" s="48"/>
      <c r="DA148" s="48"/>
      <c r="DB148" s="48"/>
      <c r="DC148" s="48"/>
      <c r="DD148" s="48"/>
      <c r="DE148" s="48"/>
      <c r="DF148" s="48"/>
      <c r="DG148" s="48"/>
      <c r="DH148" s="48"/>
      <c r="DI148" s="48"/>
      <c r="DJ148" s="48"/>
      <c r="DK148" s="48"/>
      <c r="DL148" s="48"/>
      <c r="DM148" s="48"/>
      <c r="DN148" s="48"/>
      <c r="DO148" s="48"/>
      <c r="DP148" s="48"/>
    </row>
    <row r="149" spans="2:120" x14ac:dyDescent="0.2">
      <c r="B149" s="48"/>
      <c r="C149" s="144"/>
      <c r="D149" s="48"/>
      <c r="E149" s="48"/>
      <c r="F149" s="48"/>
      <c r="G149" s="48"/>
      <c r="H149" s="48"/>
      <c r="I149" s="48"/>
      <c r="J149" s="48"/>
      <c r="K149" s="48"/>
      <c r="L149" s="48"/>
      <c r="M149" s="238">
        <v>47</v>
      </c>
      <c r="N149" s="234" t="s">
        <v>561</v>
      </c>
      <c r="O149" s="239">
        <f>COUNTIFS(Tabulacao!$CY:$CY,EmpAtual!$N$101,Tabulacao!$DA:$DA,EmpAtual!N149)</f>
        <v>0</v>
      </c>
      <c r="P149" s="240">
        <f t="shared" si="72"/>
        <v>0</v>
      </c>
      <c r="Q149" s="48"/>
      <c r="R149" s="48"/>
      <c r="S149" s="48"/>
      <c r="T149" s="48"/>
      <c r="U149" s="48"/>
      <c r="V149" s="48"/>
      <c r="W149" s="168" t="s">
        <v>125</v>
      </c>
      <c r="X149" s="179">
        <v>980</v>
      </c>
      <c r="Y149" s="168"/>
      <c r="Z149" s="168"/>
      <c r="AA149" s="168"/>
      <c r="AB149" s="48"/>
      <c r="AC149" s="48"/>
      <c r="AD149" s="48"/>
      <c r="AE149" s="48"/>
      <c r="AF149" s="48"/>
      <c r="AG149" s="48"/>
      <c r="AH149" s="48"/>
      <c r="AI149" s="48"/>
      <c r="AJ149" s="48"/>
      <c r="AK149" s="48"/>
      <c r="AL149" s="48"/>
      <c r="AM149" s="48"/>
      <c r="AN149" s="48"/>
      <c r="AO149" s="48"/>
      <c r="AP149" s="48"/>
      <c r="AQ149" s="48"/>
      <c r="AR149" s="48"/>
      <c r="AS149" s="48"/>
      <c r="AT149" s="48"/>
      <c r="AU149" s="48"/>
      <c r="AV149" s="48"/>
      <c r="AW149" s="48"/>
      <c r="AX149" s="48"/>
      <c r="AY149" s="48"/>
      <c r="AZ149" s="48"/>
      <c r="BA149" s="48"/>
      <c r="BB149" s="48"/>
      <c r="BC149" s="48"/>
      <c r="BD149" s="48"/>
      <c r="BE149" s="48"/>
      <c r="BF149" s="48"/>
      <c r="BG149" s="48"/>
      <c r="BH149" s="48"/>
      <c r="BI149" s="48"/>
      <c r="BJ149" s="48"/>
      <c r="BK149" s="48"/>
      <c r="BL149" s="48"/>
      <c r="BM149" s="48"/>
      <c r="BN149" s="48"/>
      <c r="BO149" s="48"/>
      <c r="BP149" s="48"/>
      <c r="BQ149" s="48"/>
      <c r="BR149" s="48"/>
      <c r="BS149" s="48"/>
      <c r="BT149" s="144"/>
      <c r="BU149" s="144"/>
      <c r="BV149" s="144"/>
      <c r="BW149" s="144"/>
      <c r="BX149" s="144"/>
      <c r="BY149" s="48"/>
      <c r="BZ149" s="48"/>
      <c r="CA149" s="48"/>
      <c r="CB149" s="48"/>
      <c r="CC149" s="48"/>
      <c r="CD149" s="48"/>
      <c r="CE149" s="48"/>
      <c r="CF149" s="48"/>
      <c r="CG149" s="48"/>
      <c r="CH149" s="48"/>
      <c r="CI149" s="48"/>
      <c r="CJ149" s="48"/>
      <c r="CK149" s="48"/>
      <c r="CL149" s="48"/>
      <c r="CM149" s="48"/>
      <c r="CN149" s="48"/>
      <c r="CO149" s="48"/>
      <c r="CP149" s="48"/>
      <c r="CQ149" s="48"/>
      <c r="CR149" s="48"/>
      <c r="CS149" s="48"/>
      <c r="CT149" s="48"/>
      <c r="CU149" s="48"/>
      <c r="CV149" s="48"/>
      <c r="CW149" s="48"/>
      <c r="CX149" s="48"/>
      <c r="CY149" s="48"/>
      <c r="CZ149" s="48"/>
      <c r="DA149" s="48"/>
      <c r="DB149" s="48"/>
      <c r="DC149" s="48"/>
      <c r="DD149" s="48"/>
      <c r="DE149" s="48"/>
      <c r="DF149" s="48"/>
      <c r="DG149" s="48"/>
      <c r="DH149" s="48"/>
      <c r="DI149" s="48"/>
      <c r="DJ149" s="48"/>
      <c r="DK149" s="48"/>
      <c r="DL149" s="48"/>
      <c r="DM149" s="48"/>
      <c r="DN149" s="48"/>
      <c r="DO149" s="48"/>
      <c r="DP149" s="48"/>
    </row>
    <row r="150" spans="2:120" x14ac:dyDescent="0.2">
      <c r="B150" s="48"/>
      <c r="C150" s="144"/>
      <c r="D150" s="48"/>
      <c r="E150" s="48"/>
      <c r="F150" s="48"/>
      <c r="G150" s="48"/>
      <c r="H150" s="48"/>
      <c r="I150" s="48"/>
      <c r="J150" s="48"/>
      <c r="K150" s="48"/>
      <c r="L150" s="48"/>
      <c r="M150" s="238">
        <v>48</v>
      </c>
      <c r="N150" s="234" t="s">
        <v>1226</v>
      </c>
      <c r="O150" s="239">
        <f>COUNTIFS(Tabulacao!$CY:$CY,EmpAtual!$N$101,Tabulacao!$DA:$DA,EmpAtual!N150)</f>
        <v>0</v>
      </c>
      <c r="P150" s="240">
        <f t="shared" si="72"/>
        <v>0</v>
      </c>
      <c r="Q150" s="48"/>
      <c r="R150" s="48"/>
      <c r="S150" s="48"/>
      <c r="T150" s="48"/>
      <c r="U150" s="48"/>
      <c r="V150" s="48"/>
      <c r="W150" s="168" t="s">
        <v>125</v>
      </c>
      <c r="X150" s="179">
        <v>920</v>
      </c>
      <c r="Y150" s="168"/>
      <c r="Z150" s="168"/>
      <c r="AA150" s="168"/>
      <c r="AB150" s="48"/>
      <c r="AC150" s="48"/>
      <c r="AD150" s="48"/>
      <c r="AE150" s="48"/>
      <c r="AF150" s="48"/>
      <c r="AG150" s="48"/>
      <c r="AH150" s="48"/>
      <c r="AI150" s="48"/>
      <c r="AJ150" s="48"/>
      <c r="AK150" s="48"/>
      <c r="AL150" s="48"/>
      <c r="AM150" s="48"/>
      <c r="AN150" s="48"/>
      <c r="AO150" s="48"/>
      <c r="AP150" s="48"/>
      <c r="AQ150" s="48"/>
      <c r="AR150" s="48"/>
      <c r="AS150" s="48"/>
      <c r="AT150" s="48"/>
      <c r="AU150" s="48"/>
      <c r="AV150" s="48"/>
      <c r="AW150" s="48"/>
      <c r="AX150" s="48"/>
      <c r="AY150" s="48"/>
      <c r="AZ150" s="48"/>
      <c r="BA150" s="48"/>
      <c r="BB150" s="48"/>
      <c r="BC150" s="48"/>
      <c r="BD150" s="48"/>
      <c r="BE150" s="48"/>
      <c r="BF150" s="48"/>
      <c r="BG150" s="48"/>
      <c r="BH150" s="48"/>
      <c r="BI150" s="48"/>
      <c r="BJ150" s="48"/>
      <c r="BK150" s="48"/>
      <c r="BL150" s="48"/>
      <c r="BM150" s="48"/>
      <c r="BN150" s="48"/>
      <c r="BO150" s="48"/>
      <c r="BP150" s="48"/>
      <c r="BQ150" s="48"/>
      <c r="BR150" s="48"/>
      <c r="BS150" s="48"/>
      <c r="BT150" s="144"/>
      <c r="BU150" s="144"/>
      <c r="BV150" s="144"/>
      <c r="BW150" s="144"/>
      <c r="BX150" s="144"/>
      <c r="BY150" s="48"/>
      <c r="BZ150" s="48"/>
      <c r="CA150" s="48"/>
      <c r="CB150" s="48"/>
      <c r="CC150" s="48"/>
      <c r="CD150" s="48"/>
      <c r="CE150" s="48"/>
      <c r="CF150" s="48"/>
      <c r="CG150" s="48"/>
      <c r="CH150" s="48"/>
      <c r="CI150" s="48"/>
      <c r="CJ150" s="48"/>
      <c r="CK150" s="48"/>
      <c r="CL150" s="48"/>
      <c r="CM150" s="48"/>
      <c r="CN150" s="48"/>
      <c r="CO150" s="48"/>
      <c r="CP150" s="48"/>
      <c r="CQ150" s="48"/>
      <c r="CR150" s="48"/>
      <c r="CS150" s="48"/>
      <c r="CT150" s="48"/>
      <c r="CU150" s="48"/>
      <c r="CV150" s="48"/>
      <c r="CW150" s="48"/>
      <c r="CX150" s="48"/>
      <c r="CY150" s="48"/>
      <c r="CZ150" s="48"/>
      <c r="DA150" s="48"/>
      <c r="DB150" s="48"/>
      <c r="DC150" s="48"/>
      <c r="DD150" s="48"/>
      <c r="DE150" s="48"/>
      <c r="DF150" s="48"/>
      <c r="DG150" s="48"/>
      <c r="DH150" s="48"/>
      <c r="DI150" s="48"/>
      <c r="DJ150" s="48"/>
      <c r="DK150" s="48"/>
      <c r="DL150" s="48"/>
      <c r="DM150" s="48"/>
      <c r="DN150" s="48"/>
      <c r="DO150" s="48"/>
      <c r="DP150" s="48"/>
    </row>
    <row r="151" spans="2:120" x14ac:dyDescent="0.2">
      <c r="B151" s="48"/>
      <c r="C151" s="144"/>
      <c r="D151" s="48"/>
      <c r="E151" s="48"/>
      <c r="F151" s="48"/>
      <c r="G151" s="48"/>
      <c r="H151" s="48"/>
      <c r="I151" s="48"/>
      <c r="J151" s="48"/>
      <c r="K151" s="48"/>
      <c r="L151" s="48"/>
      <c r="M151" s="238">
        <v>49</v>
      </c>
      <c r="N151" s="234" t="s">
        <v>1227</v>
      </c>
      <c r="O151" s="239">
        <f>COUNTIFS(Tabulacao!$CY:$CY,EmpAtual!$N$101,Tabulacao!$DA:$DA,EmpAtual!N151)</f>
        <v>0</v>
      </c>
      <c r="P151" s="240">
        <f t="shared" si="72"/>
        <v>0</v>
      </c>
      <c r="Q151" s="48"/>
      <c r="R151" s="48"/>
      <c r="S151" s="48"/>
      <c r="T151" s="48"/>
      <c r="U151" s="48"/>
      <c r="V151" s="48"/>
      <c r="W151" s="168" t="s">
        <v>125</v>
      </c>
      <c r="X151" s="179">
        <v>1000</v>
      </c>
      <c r="Y151" s="168"/>
      <c r="Z151" s="168"/>
      <c r="AA151" s="168"/>
      <c r="AB151" s="48"/>
      <c r="AC151" s="48"/>
      <c r="AD151" s="48"/>
      <c r="AE151" s="48"/>
      <c r="AF151" s="48"/>
      <c r="AG151" s="48"/>
      <c r="AH151" s="48"/>
      <c r="AI151" s="48"/>
      <c r="AJ151" s="48"/>
      <c r="AK151" s="48"/>
      <c r="AL151" s="48"/>
      <c r="AM151" s="48"/>
      <c r="AN151" s="48"/>
      <c r="AO151" s="48"/>
      <c r="AP151" s="48"/>
      <c r="AQ151" s="48"/>
      <c r="AR151" s="48"/>
      <c r="AS151" s="48"/>
      <c r="AT151" s="48"/>
      <c r="AU151" s="48"/>
      <c r="AV151" s="48"/>
      <c r="AW151" s="48"/>
      <c r="AX151" s="48"/>
      <c r="AY151" s="48"/>
      <c r="AZ151" s="48"/>
      <c r="BA151" s="48"/>
      <c r="BB151" s="48"/>
      <c r="BC151" s="48"/>
      <c r="BD151" s="48"/>
      <c r="BE151" s="48"/>
      <c r="BF151" s="48"/>
      <c r="BG151" s="48"/>
      <c r="BH151" s="48"/>
      <c r="BI151" s="48"/>
      <c r="BJ151" s="48"/>
      <c r="BK151" s="48"/>
      <c r="BL151" s="48"/>
      <c r="BM151" s="48"/>
      <c r="BN151" s="48"/>
      <c r="BO151" s="48"/>
      <c r="BP151" s="48"/>
      <c r="BQ151" s="48"/>
      <c r="BR151" s="48"/>
      <c r="BS151" s="48"/>
      <c r="BT151" s="144"/>
      <c r="BU151" s="144"/>
      <c r="BV151" s="144"/>
      <c r="BW151" s="144"/>
      <c r="BX151" s="144"/>
      <c r="BY151" s="48"/>
      <c r="BZ151" s="48"/>
      <c r="CA151" s="48"/>
      <c r="CB151" s="48"/>
      <c r="CC151" s="48"/>
      <c r="CD151" s="48"/>
      <c r="CE151" s="48"/>
      <c r="CF151" s="48"/>
      <c r="CG151" s="48"/>
      <c r="CH151" s="48"/>
      <c r="CI151" s="48"/>
      <c r="CJ151" s="48"/>
      <c r="CK151" s="48"/>
      <c r="CL151" s="48"/>
      <c r="CM151" s="48"/>
      <c r="CN151" s="48"/>
      <c r="CO151" s="48"/>
      <c r="CP151" s="48"/>
      <c r="CQ151" s="48"/>
      <c r="CR151" s="48"/>
      <c r="CS151" s="48"/>
      <c r="CT151" s="48"/>
      <c r="CU151" s="48"/>
      <c r="CV151" s="48"/>
      <c r="CW151" s="48"/>
      <c r="CX151" s="48"/>
      <c r="CY151" s="48"/>
      <c r="CZ151" s="48"/>
      <c r="DA151" s="48"/>
      <c r="DB151" s="48"/>
      <c r="DC151" s="48"/>
      <c r="DD151" s="48"/>
      <c r="DE151" s="48"/>
      <c r="DF151" s="48"/>
      <c r="DG151" s="48"/>
      <c r="DH151" s="48"/>
      <c r="DI151" s="48"/>
      <c r="DJ151" s="48"/>
      <c r="DK151" s="48"/>
      <c r="DL151" s="48"/>
      <c r="DM151" s="48"/>
      <c r="DN151" s="48"/>
      <c r="DO151" s="48"/>
      <c r="DP151" s="48"/>
    </row>
    <row r="152" spans="2:120" x14ac:dyDescent="0.2">
      <c r="B152" s="48"/>
      <c r="C152" s="144"/>
      <c r="D152" s="48"/>
      <c r="E152" s="48"/>
      <c r="F152" s="48"/>
      <c r="G152" s="48"/>
      <c r="H152" s="48"/>
      <c r="I152" s="48"/>
      <c r="J152" s="48"/>
      <c r="K152" s="48"/>
      <c r="L152" s="48"/>
      <c r="M152" s="238">
        <v>50</v>
      </c>
      <c r="N152" s="234" t="s">
        <v>575</v>
      </c>
      <c r="O152" s="239">
        <f>COUNTIFS(Tabulacao!$CY:$CY,EmpAtual!$N$101,Tabulacao!$DA:$DA,EmpAtual!N152)</f>
        <v>0</v>
      </c>
      <c r="P152" s="240">
        <f t="shared" si="72"/>
        <v>0</v>
      </c>
      <c r="Q152" s="48"/>
      <c r="R152" s="48"/>
      <c r="S152" s="48"/>
      <c r="T152" s="48"/>
      <c r="U152" s="48"/>
      <c r="V152" s="48"/>
      <c r="W152" s="168" t="s">
        <v>125</v>
      </c>
      <c r="X152" s="179">
        <v>1500</v>
      </c>
      <c r="Y152" s="168"/>
      <c r="Z152" s="168"/>
      <c r="AA152" s="168"/>
      <c r="AB152" s="48"/>
      <c r="AC152" s="48"/>
      <c r="AD152" s="48"/>
      <c r="AE152" s="48"/>
      <c r="AF152" s="48"/>
      <c r="AG152" s="48"/>
      <c r="AH152" s="48"/>
      <c r="AI152" s="48"/>
      <c r="AJ152" s="48"/>
      <c r="AK152" s="48"/>
      <c r="AL152" s="48"/>
      <c r="AM152" s="48"/>
      <c r="AN152" s="48"/>
      <c r="AO152" s="48"/>
      <c r="AP152" s="48"/>
      <c r="AQ152" s="48"/>
      <c r="AR152" s="48"/>
      <c r="AS152" s="48"/>
      <c r="AT152" s="48"/>
      <c r="AU152" s="48"/>
      <c r="AV152" s="48"/>
      <c r="AW152" s="48"/>
      <c r="AX152" s="48"/>
      <c r="AY152" s="48"/>
      <c r="AZ152" s="48"/>
      <c r="BA152" s="48"/>
      <c r="BB152" s="48"/>
      <c r="BC152" s="48"/>
      <c r="BD152" s="48"/>
      <c r="BE152" s="48"/>
      <c r="BF152" s="48"/>
      <c r="BG152" s="48"/>
      <c r="BH152" s="48"/>
      <c r="BI152" s="48"/>
      <c r="BJ152" s="48"/>
      <c r="BK152" s="48"/>
      <c r="BL152" s="48"/>
      <c r="BM152" s="48"/>
      <c r="BN152" s="48"/>
      <c r="BO152" s="48"/>
      <c r="BP152" s="48"/>
      <c r="BQ152" s="48"/>
      <c r="BR152" s="48"/>
      <c r="BS152" s="48"/>
      <c r="BT152" s="144"/>
      <c r="BU152" s="144"/>
      <c r="BV152" s="144"/>
      <c r="BW152" s="144"/>
      <c r="BX152" s="144"/>
      <c r="BY152" s="48"/>
      <c r="BZ152" s="48"/>
      <c r="CA152" s="48"/>
      <c r="CB152" s="48"/>
      <c r="CC152" s="48"/>
      <c r="CD152" s="48"/>
      <c r="CE152" s="48"/>
      <c r="CF152" s="48"/>
      <c r="CG152" s="48"/>
      <c r="CH152" s="48"/>
      <c r="CI152" s="48"/>
      <c r="CJ152" s="48"/>
      <c r="CK152" s="48"/>
      <c r="CL152" s="48"/>
      <c r="CM152" s="48"/>
      <c r="CN152" s="48"/>
      <c r="CO152" s="48"/>
      <c r="CP152" s="48"/>
      <c r="CQ152" s="48"/>
      <c r="CR152" s="48"/>
      <c r="CS152" s="48"/>
      <c r="CT152" s="48"/>
      <c r="CU152" s="48"/>
      <c r="CV152" s="48"/>
      <c r="CW152" s="48"/>
      <c r="CX152" s="48"/>
      <c r="CY152" s="48"/>
      <c r="CZ152" s="48"/>
      <c r="DA152" s="48"/>
      <c r="DB152" s="48"/>
      <c r="DC152" s="48"/>
      <c r="DD152" s="48"/>
      <c r="DE152" s="48"/>
      <c r="DF152" s="48"/>
      <c r="DG152" s="48"/>
      <c r="DH152" s="48"/>
      <c r="DI152" s="48"/>
      <c r="DJ152" s="48"/>
      <c r="DK152" s="48"/>
      <c r="DL152" s="48"/>
      <c r="DM152" s="48"/>
      <c r="DN152" s="48"/>
      <c r="DO152" s="48"/>
      <c r="DP152" s="48"/>
    </row>
    <row r="153" spans="2:120" x14ac:dyDescent="0.2">
      <c r="B153" s="48"/>
      <c r="C153" s="144"/>
      <c r="D153" s="48"/>
      <c r="E153" s="48"/>
      <c r="F153" s="48"/>
      <c r="G153" s="48"/>
      <c r="H153" s="48"/>
      <c r="I153" s="48"/>
      <c r="J153" s="48"/>
      <c r="K153" s="48"/>
      <c r="L153" s="48"/>
      <c r="M153" s="238">
        <v>51</v>
      </c>
      <c r="N153" s="234" t="s">
        <v>1228</v>
      </c>
      <c r="O153" s="239">
        <f>COUNTIFS(Tabulacao!$CY:$CY,EmpAtual!$N$101,Tabulacao!$DA:$DA,EmpAtual!N153)</f>
        <v>0</v>
      </c>
      <c r="P153" s="240">
        <f t="shared" si="72"/>
        <v>0</v>
      </c>
      <c r="Q153" s="48"/>
      <c r="R153" s="48"/>
      <c r="S153" s="48"/>
      <c r="T153" s="48"/>
      <c r="U153" s="48"/>
      <c r="V153" s="48"/>
      <c r="W153" s="168" t="s">
        <v>125</v>
      </c>
      <c r="X153" s="179">
        <v>1800</v>
      </c>
      <c r="Y153" s="168"/>
      <c r="Z153" s="168"/>
      <c r="AA153" s="168"/>
      <c r="AB153" s="48"/>
      <c r="AC153" s="48"/>
      <c r="AD153" s="48"/>
      <c r="AE153" s="48"/>
      <c r="AF153" s="48"/>
      <c r="AG153" s="48"/>
      <c r="AH153" s="48"/>
      <c r="AI153" s="48"/>
      <c r="AJ153" s="48"/>
      <c r="AK153" s="48"/>
      <c r="AL153" s="48"/>
      <c r="AM153" s="48"/>
      <c r="AN153" s="48"/>
      <c r="AO153" s="48"/>
      <c r="AP153" s="48"/>
      <c r="AQ153" s="48"/>
      <c r="AR153" s="48"/>
      <c r="AS153" s="48"/>
      <c r="AT153" s="48"/>
      <c r="AU153" s="48"/>
      <c r="AV153" s="48"/>
      <c r="AW153" s="48"/>
      <c r="AX153" s="48"/>
      <c r="AY153" s="48"/>
      <c r="AZ153" s="48"/>
      <c r="BA153" s="48"/>
      <c r="BB153" s="48"/>
      <c r="BC153" s="48"/>
      <c r="BD153" s="48"/>
      <c r="BE153" s="48"/>
      <c r="BF153" s="48"/>
      <c r="BG153" s="48"/>
      <c r="BH153" s="48"/>
      <c r="BI153" s="48"/>
      <c r="BJ153" s="48"/>
      <c r="BK153" s="48"/>
      <c r="BL153" s="48"/>
      <c r="BM153" s="48"/>
      <c r="BN153" s="48"/>
      <c r="BO153" s="48"/>
      <c r="BP153" s="48"/>
      <c r="BQ153" s="48"/>
      <c r="BR153" s="48"/>
      <c r="BS153" s="48"/>
      <c r="BT153" s="144"/>
      <c r="BU153" s="144"/>
      <c r="BV153" s="144"/>
      <c r="BW153" s="144"/>
      <c r="BX153" s="144"/>
      <c r="BY153" s="48"/>
      <c r="BZ153" s="48"/>
      <c r="CA153" s="48"/>
      <c r="CB153" s="48"/>
      <c r="CC153" s="48"/>
      <c r="CD153" s="48"/>
      <c r="CE153" s="48"/>
      <c r="CF153" s="48"/>
      <c r="CG153" s="48"/>
      <c r="CH153" s="48"/>
      <c r="CI153" s="48"/>
      <c r="CJ153" s="48"/>
      <c r="CK153" s="48"/>
      <c r="CL153" s="48"/>
      <c r="CM153" s="48"/>
      <c r="CN153" s="48"/>
      <c r="CO153" s="48"/>
      <c r="CP153" s="48"/>
      <c r="CQ153" s="48"/>
      <c r="CR153" s="48"/>
      <c r="CS153" s="48"/>
      <c r="CT153" s="48"/>
      <c r="CU153" s="48"/>
      <c r="CV153" s="48"/>
      <c r="CW153" s="48"/>
      <c r="CX153" s="48"/>
      <c r="CY153" s="48"/>
      <c r="CZ153" s="48"/>
      <c r="DA153" s="48"/>
      <c r="DB153" s="48"/>
      <c r="DC153" s="48"/>
      <c r="DD153" s="48"/>
      <c r="DE153" s="48"/>
      <c r="DF153" s="48"/>
      <c r="DG153" s="48"/>
      <c r="DH153" s="48"/>
      <c r="DI153" s="48"/>
      <c r="DJ153" s="48"/>
      <c r="DK153" s="48"/>
      <c r="DL153" s="48"/>
      <c r="DM153" s="48"/>
      <c r="DN153" s="48"/>
      <c r="DO153" s="48"/>
      <c r="DP153" s="48"/>
    </row>
    <row r="154" spans="2:120" x14ac:dyDescent="0.2">
      <c r="B154" s="48"/>
      <c r="C154" s="144"/>
      <c r="D154" s="48"/>
      <c r="E154" s="48"/>
      <c r="F154" s="48"/>
      <c r="G154" s="48"/>
      <c r="H154" s="48"/>
      <c r="I154" s="48"/>
      <c r="J154" s="48"/>
      <c r="K154" s="48"/>
      <c r="L154" s="48"/>
      <c r="M154" s="238">
        <v>52</v>
      </c>
      <c r="N154" s="234" t="s">
        <v>1229</v>
      </c>
      <c r="O154" s="239">
        <f>COUNTIFS(Tabulacao!$CY:$CY,EmpAtual!$N$101,Tabulacao!$DA:$DA,EmpAtual!N154)</f>
        <v>0</v>
      </c>
      <c r="P154" s="240">
        <f t="shared" si="72"/>
        <v>0</v>
      </c>
      <c r="Q154" s="48"/>
      <c r="R154" s="48"/>
      <c r="S154" s="48"/>
      <c r="T154" s="48"/>
      <c r="U154" s="48"/>
      <c r="V154" s="48"/>
      <c r="W154" s="168" t="s">
        <v>125</v>
      </c>
      <c r="X154" s="179">
        <v>934</v>
      </c>
      <c r="Y154" s="168"/>
      <c r="Z154" s="168"/>
      <c r="AA154" s="168"/>
      <c r="AB154" s="48"/>
      <c r="AC154" s="48"/>
      <c r="AD154" s="48"/>
      <c r="AE154" s="48"/>
      <c r="AF154" s="48"/>
      <c r="AG154" s="48"/>
      <c r="AH154" s="48"/>
      <c r="AI154" s="48"/>
      <c r="AJ154" s="48"/>
      <c r="AK154" s="48"/>
      <c r="AL154" s="48"/>
      <c r="AM154" s="48"/>
      <c r="AN154" s="48"/>
      <c r="AO154" s="48"/>
      <c r="AP154" s="48"/>
      <c r="AQ154" s="48"/>
      <c r="AR154" s="48"/>
      <c r="AS154" s="48"/>
      <c r="AT154" s="48"/>
      <c r="AU154" s="48"/>
      <c r="AV154" s="48"/>
      <c r="AW154" s="48"/>
      <c r="AX154" s="48"/>
      <c r="AY154" s="48"/>
      <c r="AZ154" s="48"/>
      <c r="BA154" s="48"/>
      <c r="BB154" s="48"/>
      <c r="BC154" s="48"/>
      <c r="BD154" s="48"/>
      <c r="BE154" s="48"/>
      <c r="BF154" s="48"/>
      <c r="BG154" s="48"/>
      <c r="BH154" s="48"/>
      <c r="BI154" s="48"/>
      <c r="BJ154" s="48"/>
      <c r="BK154" s="48"/>
      <c r="BL154" s="48"/>
      <c r="BM154" s="48"/>
      <c r="BN154" s="48"/>
      <c r="BO154" s="48"/>
      <c r="BP154" s="48"/>
      <c r="BQ154" s="48"/>
      <c r="BR154" s="48"/>
      <c r="BS154" s="48"/>
      <c r="BT154" s="144"/>
      <c r="BU154" s="144"/>
      <c r="BV154" s="144"/>
      <c r="BW154" s="144"/>
      <c r="BX154" s="144"/>
      <c r="BY154" s="48"/>
      <c r="BZ154" s="48"/>
      <c r="CA154" s="48"/>
      <c r="CB154" s="48"/>
      <c r="CC154" s="48"/>
      <c r="CD154" s="48"/>
      <c r="CE154" s="48"/>
      <c r="CF154" s="48"/>
      <c r="CG154" s="48"/>
      <c r="CH154" s="48"/>
      <c r="CI154" s="48"/>
      <c r="CJ154" s="48"/>
      <c r="CK154" s="48"/>
      <c r="CL154" s="48"/>
      <c r="CM154" s="48"/>
      <c r="CN154" s="48"/>
      <c r="CO154" s="48"/>
      <c r="CP154" s="48"/>
      <c r="CQ154" s="48"/>
      <c r="CR154" s="48"/>
      <c r="CS154" s="48"/>
      <c r="CT154" s="48"/>
      <c r="CU154" s="48"/>
      <c r="CV154" s="48"/>
      <c r="CW154" s="48"/>
      <c r="CX154" s="48"/>
      <c r="CY154" s="48"/>
      <c r="CZ154" s="48"/>
      <c r="DA154" s="48"/>
      <c r="DB154" s="48"/>
      <c r="DC154" s="48"/>
      <c r="DD154" s="48"/>
      <c r="DE154" s="48"/>
      <c r="DF154" s="48"/>
      <c r="DG154" s="48"/>
      <c r="DH154" s="48"/>
      <c r="DI154" s="48"/>
      <c r="DJ154" s="48"/>
      <c r="DK154" s="48"/>
      <c r="DL154" s="48"/>
      <c r="DM154" s="48"/>
      <c r="DN154" s="48"/>
      <c r="DO154" s="48"/>
      <c r="DP154" s="48"/>
    </row>
    <row r="155" spans="2:120" x14ac:dyDescent="0.2">
      <c r="B155" s="48"/>
      <c r="C155" s="144"/>
      <c r="D155" s="48"/>
      <c r="E155" s="48"/>
      <c r="F155" s="48"/>
      <c r="G155" s="48"/>
      <c r="H155" s="48"/>
      <c r="I155" s="48"/>
      <c r="J155" s="48"/>
      <c r="K155" s="48"/>
      <c r="L155" s="48"/>
      <c r="M155" s="238">
        <v>53</v>
      </c>
      <c r="N155" s="234" t="s">
        <v>1129</v>
      </c>
      <c r="O155" s="239">
        <f>COUNTIFS(Tabulacao!$CY:$CY,EmpAtual!$N$101,Tabulacao!$DA:$DA,EmpAtual!N155)</f>
        <v>0</v>
      </c>
      <c r="P155" s="240">
        <f t="shared" si="72"/>
        <v>0</v>
      </c>
      <c r="Q155" s="48"/>
      <c r="R155" s="48"/>
      <c r="S155" s="48"/>
      <c r="T155" s="48"/>
      <c r="U155" s="48"/>
      <c r="V155" s="48"/>
      <c r="W155" s="168" t="s">
        <v>125</v>
      </c>
      <c r="X155" s="179">
        <v>1800</v>
      </c>
      <c r="Y155" s="168"/>
      <c r="Z155" s="168"/>
      <c r="AA155" s="168"/>
      <c r="AB155" s="48"/>
      <c r="AC155" s="48"/>
      <c r="AD155" s="48"/>
      <c r="AE155" s="48"/>
      <c r="AF155" s="48"/>
      <c r="AG155" s="48"/>
      <c r="AH155" s="48"/>
      <c r="AI155" s="48"/>
      <c r="AJ155" s="48"/>
      <c r="AK155" s="48"/>
      <c r="AL155" s="48"/>
      <c r="AM155" s="48"/>
      <c r="AN155" s="48"/>
      <c r="AO155" s="48"/>
      <c r="AP155" s="48"/>
      <c r="AQ155" s="48"/>
      <c r="AR155" s="48"/>
      <c r="AS155" s="48"/>
      <c r="AT155" s="48"/>
      <c r="AU155" s="48"/>
      <c r="AV155" s="48"/>
      <c r="AW155" s="48"/>
      <c r="AX155" s="48"/>
      <c r="AY155" s="48"/>
      <c r="AZ155" s="48"/>
      <c r="BA155" s="48"/>
      <c r="BB155" s="48"/>
      <c r="BC155" s="48"/>
      <c r="BD155" s="48"/>
      <c r="BE155" s="48"/>
      <c r="BF155" s="48"/>
      <c r="BG155" s="48"/>
      <c r="BH155" s="48"/>
      <c r="BI155" s="48"/>
      <c r="BJ155" s="48"/>
      <c r="BK155" s="48"/>
      <c r="BL155" s="48"/>
      <c r="BM155" s="48"/>
      <c r="BN155" s="48"/>
      <c r="BO155" s="48"/>
      <c r="BP155" s="48"/>
      <c r="BQ155" s="48"/>
      <c r="BR155" s="48"/>
      <c r="BS155" s="48"/>
      <c r="BT155" s="144"/>
      <c r="BU155" s="144"/>
      <c r="BV155" s="144"/>
      <c r="BW155" s="144"/>
      <c r="BX155" s="144"/>
      <c r="BY155" s="48"/>
      <c r="BZ155" s="48"/>
      <c r="CA155" s="48"/>
      <c r="CB155" s="48"/>
      <c r="CC155" s="48"/>
      <c r="CD155" s="48"/>
      <c r="CE155" s="48"/>
      <c r="CF155" s="48"/>
      <c r="CG155" s="48"/>
      <c r="CH155" s="48"/>
      <c r="CI155" s="48"/>
      <c r="CJ155" s="48"/>
      <c r="CK155" s="48"/>
      <c r="CL155" s="48"/>
      <c r="CM155" s="48"/>
      <c r="CN155" s="48"/>
      <c r="CO155" s="48"/>
      <c r="CP155" s="48"/>
      <c r="CQ155" s="48"/>
      <c r="CR155" s="48"/>
      <c r="CS155" s="48"/>
      <c r="CT155" s="48"/>
      <c r="CU155" s="48"/>
      <c r="CV155" s="48"/>
      <c r="CW155" s="48"/>
      <c r="CX155" s="48"/>
      <c r="CY155" s="48"/>
      <c r="CZ155" s="48"/>
      <c r="DA155" s="48"/>
      <c r="DB155" s="48"/>
      <c r="DC155" s="48"/>
      <c r="DD155" s="48"/>
      <c r="DE155" s="48"/>
      <c r="DF155" s="48"/>
      <c r="DG155" s="48"/>
      <c r="DH155" s="48"/>
      <c r="DI155" s="48"/>
      <c r="DJ155" s="48"/>
      <c r="DK155" s="48"/>
      <c r="DL155" s="48"/>
      <c r="DM155" s="48"/>
      <c r="DN155" s="48"/>
      <c r="DO155" s="48"/>
      <c r="DP155" s="48"/>
    </row>
    <row r="156" spans="2:120" x14ac:dyDescent="0.2">
      <c r="B156" s="48"/>
      <c r="C156" s="144"/>
      <c r="D156" s="48"/>
      <c r="E156" s="48"/>
      <c r="F156" s="48"/>
      <c r="G156" s="48"/>
      <c r="H156" s="48"/>
      <c r="I156" s="48"/>
      <c r="J156" s="48"/>
      <c r="K156" s="48"/>
      <c r="L156" s="48"/>
      <c r="M156" s="238">
        <v>54</v>
      </c>
      <c r="N156" s="234" t="s">
        <v>1124</v>
      </c>
      <c r="O156" s="239">
        <f>COUNTIFS(Tabulacao!$CY:$CY,EmpAtual!$N$101,Tabulacao!$DA:$DA,EmpAtual!N156)</f>
        <v>0</v>
      </c>
      <c r="P156" s="240">
        <f t="shared" si="72"/>
        <v>0</v>
      </c>
      <c r="Q156" s="48"/>
      <c r="R156" s="48"/>
      <c r="S156" s="48"/>
      <c r="T156" s="48"/>
      <c r="U156" s="48"/>
      <c r="V156" s="48"/>
      <c r="W156" s="168" t="s">
        <v>125</v>
      </c>
      <c r="X156" s="179">
        <v>1700</v>
      </c>
      <c r="Y156" s="168"/>
      <c r="Z156" s="168"/>
      <c r="AA156" s="168"/>
      <c r="AB156" s="48"/>
      <c r="AC156" s="48"/>
      <c r="AD156" s="48"/>
      <c r="AE156" s="48"/>
      <c r="AF156" s="48"/>
      <c r="AG156" s="48"/>
      <c r="AH156" s="48"/>
      <c r="AI156" s="48"/>
      <c r="AJ156" s="48"/>
      <c r="AK156" s="48"/>
      <c r="AL156" s="48"/>
      <c r="AM156" s="48"/>
      <c r="AN156" s="48"/>
      <c r="AO156" s="48"/>
      <c r="AP156" s="48"/>
      <c r="AQ156" s="48"/>
      <c r="AR156" s="48"/>
      <c r="AS156" s="48"/>
      <c r="AT156" s="48"/>
      <c r="AU156" s="48"/>
      <c r="AV156" s="48"/>
      <c r="AW156" s="48"/>
      <c r="AX156" s="48"/>
      <c r="AY156" s="48"/>
      <c r="AZ156" s="48"/>
      <c r="BA156" s="48"/>
      <c r="BB156" s="48"/>
      <c r="BC156" s="48"/>
      <c r="BD156" s="48"/>
      <c r="BE156" s="48"/>
      <c r="BF156" s="48"/>
      <c r="BG156" s="48"/>
      <c r="BH156" s="48"/>
      <c r="BI156" s="48"/>
      <c r="BJ156" s="48"/>
      <c r="BK156" s="48"/>
      <c r="BL156" s="48"/>
      <c r="BM156" s="48"/>
      <c r="BN156" s="48"/>
      <c r="BO156" s="48"/>
      <c r="BP156" s="48"/>
      <c r="BQ156" s="48"/>
      <c r="BR156" s="48"/>
      <c r="BS156" s="48"/>
      <c r="BT156" s="144"/>
      <c r="BU156" s="144"/>
      <c r="BV156" s="144"/>
      <c r="BW156" s="144"/>
      <c r="BX156" s="144"/>
      <c r="BY156" s="48"/>
      <c r="BZ156" s="48"/>
      <c r="CA156" s="48"/>
      <c r="CB156" s="48"/>
      <c r="CC156" s="48"/>
      <c r="CD156" s="48"/>
      <c r="CE156" s="48"/>
      <c r="CF156" s="48"/>
      <c r="CG156" s="48"/>
      <c r="CH156" s="48"/>
      <c r="CI156" s="48"/>
      <c r="CJ156" s="48"/>
      <c r="CK156" s="48"/>
      <c r="CL156" s="48"/>
      <c r="CM156" s="48"/>
      <c r="CN156" s="48"/>
      <c r="CO156" s="48"/>
      <c r="CP156" s="48"/>
      <c r="CQ156" s="48"/>
      <c r="CR156" s="48"/>
      <c r="CS156" s="48"/>
      <c r="CT156" s="48"/>
      <c r="CU156" s="48"/>
      <c r="CV156" s="48"/>
      <c r="CW156" s="48"/>
      <c r="CX156" s="48"/>
      <c r="CY156" s="48"/>
      <c r="CZ156" s="48"/>
      <c r="DA156" s="48"/>
      <c r="DB156" s="48"/>
      <c r="DC156" s="48"/>
      <c r="DD156" s="48"/>
      <c r="DE156" s="48"/>
      <c r="DF156" s="48"/>
      <c r="DG156" s="48"/>
      <c r="DH156" s="48"/>
      <c r="DI156" s="48"/>
      <c r="DJ156" s="48"/>
      <c r="DK156" s="48"/>
      <c r="DL156" s="48"/>
      <c r="DM156" s="48"/>
      <c r="DN156" s="48"/>
      <c r="DO156" s="48"/>
      <c r="DP156" s="48"/>
    </row>
    <row r="157" spans="2:120" x14ac:dyDescent="0.2">
      <c r="B157" s="48"/>
      <c r="C157" s="144"/>
      <c r="D157" s="48"/>
      <c r="E157" s="48"/>
      <c r="F157" s="48"/>
      <c r="G157" s="48"/>
      <c r="H157" s="48"/>
      <c r="I157" s="48"/>
      <c r="J157" s="48"/>
      <c r="K157" s="48"/>
      <c r="L157" s="48"/>
      <c r="M157" s="238">
        <v>55</v>
      </c>
      <c r="N157" s="234" t="s">
        <v>623</v>
      </c>
      <c r="O157" s="239">
        <f>COUNTIFS(Tabulacao!$CY:$CY,EmpAtual!$N$101,Tabulacao!$DA:$DA,EmpAtual!N157)</f>
        <v>1</v>
      </c>
      <c r="P157" s="240">
        <f t="shared" si="72"/>
        <v>4.3478260869565216E-2</v>
      </c>
      <c r="Q157" s="48"/>
      <c r="R157" s="48"/>
      <c r="S157" s="48"/>
      <c r="T157" s="48"/>
      <c r="U157" s="48"/>
      <c r="V157" s="48"/>
      <c r="W157" s="168" t="s">
        <v>125</v>
      </c>
      <c r="X157" s="179">
        <v>1025</v>
      </c>
      <c r="Y157" s="168"/>
      <c r="Z157" s="168"/>
      <c r="AA157" s="168"/>
      <c r="AB157" s="48"/>
      <c r="AC157" s="48"/>
      <c r="AD157" s="48"/>
      <c r="AE157" s="48"/>
      <c r="AF157" s="48"/>
      <c r="AG157" s="48"/>
      <c r="AH157" s="48"/>
      <c r="AI157" s="48"/>
      <c r="AJ157" s="48"/>
      <c r="AK157" s="48"/>
      <c r="AL157" s="48"/>
      <c r="AM157" s="48"/>
      <c r="AN157" s="48"/>
      <c r="AO157" s="48"/>
      <c r="AP157" s="48"/>
      <c r="AQ157" s="48"/>
      <c r="AR157" s="48"/>
      <c r="AS157" s="48"/>
      <c r="AT157" s="48"/>
      <c r="AU157" s="48"/>
      <c r="AV157" s="48"/>
      <c r="AW157" s="48"/>
      <c r="AX157" s="48"/>
      <c r="AY157" s="48"/>
      <c r="AZ157" s="48"/>
      <c r="BA157" s="48"/>
      <c r="BB157" s="48"/>
      <c r="BC157" s="48"/>
      <c r="BD157" s="48"/>
      <c r="BE157" s="48"/>
      <c r="BF157" s="48"/>
      <c r="BG157" s="48"/>
      <c r="BH157" s="48"/>
      <c r="BI157" s="48"/>
      <c r="BJ157" s="48"/>
      <c r="BK157" s="48"/>
      <c r="BL157" s="48"/>
      <c r="BM157" s="48"/>
      <c r="BN157" s="48"/>
      <c r="BO157" s="48"/>
      <c r="BP157" s="48"/>
      <c r="BQ157" s="48"/>
      <c r="BR157" s="48"/>
      <c r="BS157" s="48"/>
      <c r="BT157" s="144"/>
      <c r="BU157" s="144"/>
      <c r="BV157" s="144"/>
      <c r="BW157" s="144"/>
      <c r="BX157" s="144"/>
      <c r="BY157" s="48"/>
      <c r="BZ157" s="48"/>
      <c r="CA157" s="48"/>
      <c r="CB157" s="48"/>
      <c r="CC157" s="48"/>
      <c r="CD157" s="48"/>
      <c r="CE157" s="48"/>
      <c r="CF157" s="48"/>
      <c r="CG157" s="48"/>
      <c r="CH157" s="48"/>
      <c r="CI157" s="48"/>
      <c r="CJ157" s="48"/>
      <c r="CK157" s="48"/>
      <c r="CL157" s="48"/>
      <c r="CM157" s="48"/>
      <c r="CN157" s="48"/>
      <c r="CO157" s="48"/>
      <c r="CP157" s="48"/>
      <c r="CQ157" s="48"/>
      <c r="CR157" s="48"/>
      <c r="CS157" s="48"/>
      <c r="CT157" s="48"/>
      <c r="CU157" s="48"/>
      <c r="CV157" s="48"/>
      <c r="CW157" s="48"/>
      <c r="CX157" s="48"/>
      <c r="CY157" s="48"/>
      <c r="CZ157" s="48"/>
      <c r="DA157" s="48"/>
      <c r="DB157" s="48"/>
      <c r="DC157" s="48"/>
      <c r="DD157" s="48"/>
      <c r="DE157" s="48"/>
      <c r="DF157" s="48"/>
      <c r="DG157" s="48"/>
      <c r="DH157" s="48"/>
      <c r="DI157" s="48"/>
      <c r="DJ157" s="48"/>
      <c r="DK157" s="48"/>
      <c r="DL157" s="48"/>
      <c r="DM157" s="48"/>
      <c r="DN157" s="48"/>
      <c r="DO157" s="48"/>
      <c r="DP157" s="48"/>
    </row>
    <row r="158" spans="2:120" x14ac:dyDescent="0.2">
      <c r="B158" s="48"/>
      <c r="C158" s="144"/>
      <c r="D158" s="48"/>
      <c r="E158" s="48"/>
      <c r="F158" s="48"/>
      <c r="G158" s="48"/>
      <c r="H158" s="48"/>
      <c r="I158" s="48"/>
      <c r="J158" s="48"/>
      <c r="K158" s="48"/>
      <c r="L158" s="48"/>
      <c r="M158" s="238">
        <v>56</v>
      </c>
      <c r="N158" s="234" t="s">
        <v>1230</v>
      </c>
      <c r="O158" s="239">
        <f>COUNTIFS(Tabulacao!$CY:$CY,EmpAtual!$N$101,Tabulacao!$DA:$DA,EmpAtual!N158)</f>
        <v>1</v>
      </c>
      <c r="P158" s="240">
        <f t="shared" si="72"/>
        <v>4.3478260869565216E-2</v>
      </c>
      <c r="Q158" s="48"/>
      <c r="R158" s="48"/>
      <c r="S158" s="48"/>
      <c r="T158" s="48"/>
      <c r="U158" s="48"/>
      <c r="V158" s="48"/>
      <c r="W158" s="168" t="s">
        <v>125</v>
      </c>
      <c r="X158" s="179">
        <v>1000</v>
      </c>
      <c r="Y158" s="168"/>
      <c r="Z158" s="168"/>
      <c r="AA158" s="168"/>
      <c r="AB158" s="48"/>
      <c r="AC158" s="48"/>
      <c r="AD158" s="48"/>
      <c r="AE158" s="48"/>
      <c r="AF158" s="48"/>
      <c r="AG158" s="48"/>
      <c r="AH158" s="48"/>
      <c r="AI158" s="48"/>
      <c r="AJ158" s="48"/>
      <c r="AK158" s="48"/>
      <c r="AL158" s="48"/>
      <c r="AM158" s="48"/>
      <c r="AN158" s="48"/>
      <c r="AO158" s="48"/>
      <c r="AP158" s="48"/>
      <c r="AQ158" s="48"/>
      <c r="AR158" s="48"/>
      <c r="AS158" s="48"/>
      <c r="AT158" s="48"/>
      <c r="AU158" s="48"/>
      <c r="AV158" s="48"/>
      <c r="AW158" s="48"/>
      <c r="AX158" s="48"/>
      <c r="AY158" s="48"/>
      <c r="AZ158" s="48"/>
      <c r="BA158" s="48"/>
      <c r="BB158" s="48"/>
      <c r="BC158" s="48"/>
      <c r="BD158" s="48"/>
      <c r="BE158" s="48"/>
      <c r="BF158" s="48"/>
      <c r="BG158" s="48"/>
      <c r="BH158" s="48"/>
      <c r="BI158" s="48"/>
      <c r="BJ158" s="48"/>
      <c r="BK158" s="48"/>
      <c r="BL158" s="48"/>
      <c r="BM158" s="48"/>
      <c r="BN158" s="48"/>
      <c r="BO158" s="48"/>
      <c r="BP158" s="48"/>
      <c r="BQ158" s="48"/>
      <c r="BR158" s="48"/>
      <c r="BS158" s="48"/>
      <c r="BT158" s="144"/>
      <c r="BU158" s="144"/>
      <c r="BV158" s="144"/>
      <c r="BW158" s="144"/>
      <c r="BX158" s="144"/>
      <c r="BY158" s="48"/>
      <c r="BZ158" s="48"/>
      <c r="CA158" s="48"/>
      <c r="CB158" s="48"/>
      <c r="CC158" s="48"/>
      <c r="CD158" s="48"/>
      <c r="CE158" s="48"/>
      <c r="CF158" s="48"/>
      <c r="CG158" s="48"/>
      <c r="CH158" s="48"/>
      <c r="CI158" s="48"/>
      <c r="CJ158" s="48"/>
      <c r="CK158" s="48"/>
      <c r="CL158" s="48"/>
      <c r="CM158" s="48"/>
      <c r="CN158" s="48"/>
      <c r="CO158" s="48"/>
      <c r="CP158" s="48"/>
      <c r="CQ158" s="48"/>
      <c r="CR158" s="48"/>
      <c r="CS158" s="48"/>
      <c r="CT158" s="48"/>
      <c r="CU158" s="48"/>
      <c r="CV158" s="48"/>
      <c r="CW158" s="48"/>
      <c r="CX158" s="48"/>
      <c r="CY158" s="48"/>
      <c r="CZ158" s="48"/>
      <c r="DA158" s="48"/>
      <c r="DB158" s="48"/>
      <c r="DC158" s="48"/>
      <c r="DD158" s="48"/>
      <c r="DE158" s="48"/>
      <c r="DF158" s="48"/>
      <c r="DG158" s="48"/>
      <c r="DH158" s="48"/>
      <c r="DI158" s="48"/>
      <c r="DJ158" s="48"/>
      <c r="DK158" s="48"/>
      <c r="DL158" s="48"/>
      <c r="DM158" s="48"/>
      <c r="DN158" s="48"/>
      <c r="DO158" s="48"/>
      <c r="DP158" s="48"/>
    </row>
    <row r="159" spans="2:120" x14ac:dyDescent="0.2">
      <c r="B159" s="48"/>
      <c r="C159" s="144"/>
      <c r="D159" s="48"/>
      <c r="E159" s="48"/>
      <c r="F159" s="48"/>
      <c r="G159" s="48"/>
      <c r="H159" s="48"/>
      <c r="I159" s="48"/>
      <c r="J159" s="48"/>
      <c r="K159" s="48"/>
      <c r="L159" s="48"/>
      <c r="M159" s="238">
        <v>57</v>
      </c>
      <c r="N159" s="234" t="s">
        <v>1131</v>
      </c>
      <c r="O159" s="239">
        <f>COUNTIFS(Tabulacao!$CY:$CY,EmpAtual!$N$101,Tabulacao!$DA:$DA,EmpAtual!N159)</f>
        <v>0</v>
      </c>
      <c r="P159" s="240">
        <f t="shared" si="72"/>
        <v>0</v>
      </c>
      <c r="Q159" s="48"/>
      <c r="R159" s="48"/>
      <c r="S159" s="48"/>
      <c r="T159" s="48"/>
      <c r="U159" s="48"/>
      <c r="V159" s="48"/>
      <c r="W159" s="168" t="s">
        <v>125</v>
      </c>
      <c r="X159" s="179">
        <v>1196</v>
      </c>
      <c r="Y159" s="168"/>
      <c r="Z159" s="168"/>
      <c r="AA159" s="168"/>
      <c r="AB159" s="48"/>
      <c r="AC159" s="48"/>
      <c r="AD159" s="48"/>
      <c r="AE159" s="48"/>
      <c r="AF159" s="48"/>
      <c r="AG159" s="48"/>
      <c r="AH159" s="48"/>
      <c r="AI159" s="48"/>
      <c r="AJ159" s="48"/>
      <c r="AK159" s="48"/>
      <c r="AL159" s="48"/>
      <c r="AM159" s="48"/>
      <c r="AN159" s="48"/>
      <c r="AO159" s="48"/>
      <c r="AP159" s="48"/>
      <c r="AQ159" s="48"/>
      <c r="AR159" s="48"/>
      <c r="AS159" s="48"/>
      <c r="AT159" s="48"/>
      <c r="AU159" s="48"/>
      <c r="AV159" s="48"/>
      <c r="AW159" s="48"/>
      <c r="AX159" s="48"/>
      <c r="AY159" s="48"/>
      <c r="AZ159" s="48"/>
      <c r="BA159" s="48"/>
      <c r="BB159" s="48"/>
      <c r="BC159" s="48"/>
      <c r="BD159" s="48"/>
      <c r="BE159" s="48"/>
      <c r="BF159" s="48"/>
      <c r="BG159" s="48"/>
      <c r="BH159" s="48"/>
      <c r="BI159" s="48"/>
      <c r="BJ159" s="48"/>
      <c r="BK159" s="48"/>
      <c r="BL159" s="48"/>
      <c r="BM159" s="48"/>
      <c r="BN159" s="48"/>
      <c r="BO159" s="48"/>
      <c r="BP159" s="48"/>
      <c r="BQ159" s="48"/>
      <c r="BR159" s="48"/>
      <c r="BS159" s="48"/>
      <c r="BT159" s="144"/>
      <c r="BU159" s="144"/>
      <c r="BV159" s="144"/>
      <c r="BW159" s="144"/>
      <c r="BX159" s="144"/>
      <c r="BY159" s="48"/>
      <c r="BZ159" s="48"/>
      <c r="CA159" s="48"/>
      <c r="CB159" s="48"/>
      <c r="CC159" s="48"/>
      <c r="CD159" s="48"/>
      <c r="CE159" s="48"/>
      <c r="CF159" s="48"/>
      <c r="CG159" s="48"/>
      <c r="CH159" s="48"/>
      <c r="CI159" s="48"/>
      <c r="CJ159" s="48"/>
      <c r="CK159" s="48"/>
      <c r="CL159" s="48"/>
      <c r="CM159" s="48"/>
      <c r="CN159" s="48"/>
      <c r="CO159" s="48"/>
      <c r="CP159" s="48"/>
      <c r="CQ159" s="48"/>
      <c r="CR159" s="48"/>
      <c r="CS159" s="48"/>
      <c r="CT159" s="48"/>
      <c r="CU159" s="48"/>
      <c r="CV159" s="48"/>
      <c r="CW159" s="48"/>
      <c r="CX159" s="48"/>
      <c r="CY159" s="48"/>
      <c r="CZ159" s="48"/>
      <c r="DA159" s="48"/>
      <c r="DB159" s="48"/>
      <c r="DC159" s="48"/>
      <c r="DD159" s="48"/>
      <c r="DE159" s="48"/>
      <c r="DF159" s="48"/>
      <c r="DG159" s="48"/>
      <c r="DH159" s="48"/>
      <c r="DI159" s="48"/>
      <c r="DJ159" s="48"/>
      <c r="DK159" s="48"/>
      <c r="DL159" s="48"/>
      <c r="DM159" s="48"/>
      <c r="DN159" s="48"/>
      <c r="DO159" s="48"/>
      <c r="DP159" s="48"/>
    </row>
    <row r="160" spans="2:120" x14ac:dyDescent="0.2">
      <c r="B160" s="48"/>
      <c r="C160" s="144"/>
      <c r="D160" s="48"/>
      <c r="E160" s="48"/>
      <c r="F160" s="48"/>
      <c r="G160" s="48"/>
      <c r="H160" s="48"/>
      <c r="I160" s="48"/>
      <c r="J160" s="48"/>
      <c r="K160" s="48"/>
      <c r="L160" s="48"/>
      <c r="M160" s="238">
        <v>58</v>
      </c>
      <c r="N160" s="234" t="s">
        <v>1133</v>
      </c>
      <c r="O160" s="239">
        <f>COUNTIFS(Tabulacao!$CY:$CY,EmpAtual!$N$101,Tabulacao!$DA:$DA,EmpAtual!N160)</f>
        <v>0</v>
      </c>
      <c r="P160" s="240">
        <f t="shared" si="72"/>
        <v>0</v>
      </c>
      <c r="Q160" s="48"/>
      <c r="R160" s="48"/>
      <c r="S160" s="48"/>
      <c r="T160" s="48"/>
      <c r="U160" s="48"/>
      <c r="V160" s="48"/>
      <c r="W160" s="168" t="s">
        <v>125</v>
      </c>
      <c r="X160" s="179">
        <v>1400</v>
      </c>
      <c r="Y160" s="168"/>
      <c r="Z160" s="168"/>
      <c r="AA160" s="168"/>
      <c r="AB160" s="48"/>
      <c r="AC160" s="48"/>
      <c r="AD160" s="48"/>
      <c r="AE160" s="48"/>
      <c r="AF160" s="48"/>
      <c r="AG160" s="48"/>
      <c r="AH160" s="48"/>
      <c r="AI160" s="48"/>
      <c r="AJ160" s="48"/>
      <c r="AK160" s="48"/>
      <c r="AL160" s="48"/>
      <c r="AM160" s="48"/>
      <c r="AN160" s="48"/>
      <c r="AO160" s="48"/>
      <c r="AP160" s="48"/>
      <c r="AQ160" s="48"/>
      <c r="AR160" s="48"/>
      <c r="AS160" s="48"/>
      <c r="AT160" s="48"/>
      <c r="AU160" s="48"/>
      <c r="AV160" s="48"/>
      <c r="AW160" s="48"/>
      <c r="AX160" s="48"/>
      <c r="AY160" s="48"/>
      <c r="AZ160" s="48"/>
      <c r="BA160" s="48"/>
      <c r="BB160" s="48"/>
      <c r="BC160" s="48"/>
      <c r="BD160" s="48"/>
      <c r="BE160" s="48"/>
      <c r="BF160" s="48"/>
      <c r="BG160" s="48"/>
      <c r="BH160" s="48"/>
      <c r="BI160" s="48"/>
      <c r="BJ160" s="48"/>
      <c r="BK160" s="48"/>
      <c r="BL160" s="48"/>
      <c r="BM160" s="48"/>
      <c r="BN160" s="48"/>
      <c r="BO160" s="48"/>
      <c r="BP160" s="48"/>
      <c r="BQ160" s="48"/>
      <c r="BR160" s="48"/>
      <c r="BS160" s="48"/>
      <c r="BT160" s="144"/>
      <c r="BU160" s="144"/>
      <c r="BV160" s="144"/>
      <c r="BW160" s="144"/>
      <c r="BX160" s="144"/>
      <c r="BY160" s="48"/>
      <c r="BZ160" s="48"/>
      <c r="CA160" s="48"/>
      <c r="CB160" s="48"/>
      <c r="CC160" s="48"/>
      <c r="CD160" s="48"/>
      <c r="CE160" s="48"/>
      <c r="CF160" s="48"/>
      <c r="CG160" s="48"/>
      <c r="CH160" s="48"/>
      <c r="CI160" s="48"/>
      <c r="CJ160" s="48"/>
      <c r="CK160" s="48"/>
      <c r="CL160" s="48"/>
      <c r="CM160" s="48"/>
      <c r="CN160" s="48"/>
      <c r="CO160" s="48"/>
      <c r="CP160" s="48"/>
      <c r="CQ160" s="48"/>
      <c r="CR160" s="48"/>
      <c r="CS160" s="48"/>
      <c r="CT160" s="48"/>
      <c r="CU160" s="48"/>
      <c r="CV160" s="48"/>
      <c r="CW160" s="48"/>
      <c r="CX160" s="48"/>
      <c r="CY160" s="48"/>
      <c r="CZ160" s="48"/>
      <c r="DA160" s="48"/>
      <c r="DB160" s="48"/>
      <c r="DC160" s="48"/>
      <c r="DD160" s="48"/>
      <c r="DE160" s="48"/>
      <c r="DF160" s="48"/>
      <c r="DG160" s="48"/>
      <c r="DH160" s="48"/>
      <c r="DI160" s="48"/>
      <c r="DJ160" s="48"/>
      <c r="DK160" s="48"/>
      <c r="DL160" s="48"/>
      <c r="DM160" s="48"/>
      <c r="DN160" s="48"/>
      <c r="DO160" s="48"/>
      <c r="DP160" s="48"/>
    </row>
    <row r="161" spans="2:120" x14ac:dyDescent="0.2">
      <c r="B161" s="48"/>
      <c r="C161" s="144"/>
      <c r="D161" s="48"/>
      <c r="E161" s="48"/>
      <c r="F161" s="48"/>
      <c r="G161" s="48"/>
      <c r="H161" s="48"/>
      <c r="I161" s="48"/>
      <c r="J161" s="48"/>
      <c r="K161" s="48"/>
      <c r="L161" s="48"/>
      <c r="M161" s="238">
        <v>59</v>
      </c>
      <c r="N161" s="234" t="s">
        <v>1231</v>
      </c>
      <c r="O161" s="239">
        <f>COUNTIFS(Tabulacao!$CY:$CY,EmpAtual!$N$101,Tabulacao!$DA:$DA,EmpAtual!N161)</f>
        <v>0</v>
      </c>
      <c r="P161" s="240">
        <f t="shared" si="72"/>
        <v>0</v>
      </c>
      <c r="Q161" s="48"/>
      <c r="R161" s="48"/>
      <c r="S161" s="48"/>
      <c r="T161" s="48"/>
      <c r="U161" s="48"/>
      <c r="V161" s="48"/>
      <c r="W161" s="168" t="s">
        <v>128</v>
      </c>
      <c r="X161" s="179">
        <v>1300</v>
      </c>
      <c r="Y161" s="168"/>
      <c r="Z161" s="168"/>
      <c r="AA161" s="168"/>
      <c r="AB161" s="48"/>
      <c r="AC161" s="48"/>
      <c r="AD161" s="48"/>
      <c r="AE161" s="48"/>
      <c r="AF161" s="48"/>
      <c r="AG161" s="48"/>
      <c r="AH161" s="48"/>
      <c r="AI161" s="48"/>
      <c r="AJ161" s="48"/>
      <c r="AK161" s="48"/>
      <c r="AL161" s="48"/>
      <c r="AM161" s="48"/>
      <c r="AN161" s="48"/>
      <c r="AO161" s="48"/>
      <c r="AP161" s="48"/>
      <c r="AQ161" s="48"/>
      <c r="AR161" s="48"/>
      <c r="AS161" s="48"/>
      <c r="AT161" s="48"/>
      <c r="AU161" s="48"/>
      <c r="AV161" s="48"/>
      <c r="AW161" s="48"/>
      <c r="AX161" s="48"/>
      <c r="AY161" s="48"/>
      <c r="AZ161" s="48"/>
      <c r="BA161" s="48"/>
      <c r="BB161" s="48"/>
      <c r="BC161" s="48"/>
      <c r="BD161" s="48"/>
      <c r="BE161" s="48"/>
      <c r="BF161" s="48"/>
      <c r="BG161" s="48"/>
      <c r="BH161" s="48"/>
      <c r="BI161" s="48"/>
      <c r="BJ161" s="48"/>
      <c r="BK161" s="48"/>
      <c r="BL161" s="48"/>
      <c r="BM161" s="48"/>
      <c r="BN161" s="48"/>
      <c r="BO161" s="48"/>
      <c r="BP161" s="48"/>
      <c r="BQ161" s="48"/>
      <c r="BR161" s="48"/>
      <c r="BS161" s="48"/>
      <c r="BT161" s="144"/>
      <c r="BU161" s="144"/>
      <c r="BV161" s="144"/>
      <c r="BW161" s="144"/>
      <c r="BX161" s="144"/>
      <c r="BY161" s="48"/>
      <c r="BZ161" s="48"/>
      <c r="CA161" s="48"/>
      <c r="CB161" s="48"/>
      <c r="CC161" s="48"/>
      <c r="CD161" s="48"/>
      <c r="CE161" s="48"/>
      <c r="CF161" s="48"/>
      <c r="CG161" s="48"/>
      <c r="CH161" s="48"/>
      <c r="CI161" s="48"/>
      <c r="CJ161" s="48"/>
      <c r="CK161" s="48"/>
      <c r="CL161" s="48"/>
      <c r="CM161" s="48"/>
      <c r="CN161" s="48"/>
      <c r="CO161" s="48"/>
      <c r="CP161" s="48"/>
      <c r="CQ161" s="48"/>
      <c r="CR161" s="48"/>
      <c r="CS161" s="48"/>
      <c r="CT161" s="48"/>
      <c r="CU161" s="48"/>
      <c r="CV161" s="48"/>
      <c r="CW161" s="48"/>
      <c r="CX161" s="48"/>
      <c r="CY161" s="48"/>
      <c r="CZ161" s="48"/>
      <c r="DA161" s="48"/>
      <c r="DB161" s="48"/>
      <c r="DC161" s="48"/>
      <c r="DD161" s="48"/>
      <c r="DE161" s="48"/>
      <c r="DF161" s="48"/>
      <c r="DG161" s="48"/>
      <c r="DH161" s="48"/>
      <c r="DI161" s="48"/>
      <c r="DJ161" s="48"/>
      <c r="DK161" s="48"/>
      <c r="DL161" s="48"/>
      <c r="DM161" s="48"/>
      <c r="DN161" s="48"/>
      <c r="DO161" s="48"/>
      <c r="DP161" s="48"/>
    </row>
    <row r="162" spans="2:120" x14ac:dyDescent="0.2">
      <c r="B162" s="48"/>
      <c r="C162" s="144"/>
      <c r="D162" s="48"/>
      <c r="E162" s="48"/>
      <c r="F162" s="48"/>
      <c r="G162" s="48"/>
      <c r="H162" s="48"/>
      <c r="I162" s="48"/>
      <c r="J162" s="48"/>
      <c r="K162" s="48"/>
      <c r="L162" s="48"/>
      <c r="M162" s="238">
        <v>60</v>
      </c>
      <c r="N162" s="234" t="s">
        <v>676</v>
      </c>
      <c r="O162" s="239">
        <f>COUNTIFS(Tabulacao!$CY:$CY,EmpAtual!$N$101,Tabulacao!$DA:$DA,EmpAtual!N162)</f>
        <v>0</v>
      </c>
      <c r="P162" s="240">
        <f t="shared" si="72"/>
        <v>0</v>
      </c>
      <c r="Q162" s="48"/>
      <c r="R162" s="48"/>
      <c r="S162" s="48"/>
      <c r="T162" s="48"/>
      <c r="U162" s="48"/>
      <c r="V162" s="48"/>
      <c r="W162" s="168" t="s">
        <v>128</v>
      </c>
      <c r="X162" s="179">
        <v>2000</v>
      </c>
      <c r="Y162" s="168"/>
      <c r="Z162" s="168"/>
      <c r="AA162" s="168"/>
      <c r="AB162" s="48"/>
      <c r="AC162" s="48"/>
      <c r="AD162" s="48"/>
      <c r="AE162" s="48"/>
      <c r="AF162" s="48"/>
      <c r="AG162" s="48"/>
      <c r="AH162" s="48"/>
      <c r="AI162" s="48"/>
      <c r="AJ162" s="48"/>
      <c r="AK162" s="48"/>
      <c r="AL162" s="48"/>
      <c r="AM162" s="48"/>
      <c r="AN162" s="48"/>
      <c r="AO162" s="48"/>
      <c r="AP162" s="48"/>
      <c r="AQ162" s="48"/>
      <c r="AR162" s="48"/>
      <c r="AS162" s="48"/>
      <c r="AT162" s="48"/>
      <c r="AU162" s="48"/>
      <c r="AV162" s="48"/>
      <c r="AW162" s="48"/>
      <c r="AX162" s="48"/>
      <c r="AY162" s="48"/>
      <c r="AZ162" s="48"/>
      <c r="BA162" s="48"/>
      <c r="BB162" s="48"/>
      <c r="BC162" s="48"/>
      <c r="BD162" s="48"/>
      <c r="BE162" s="48"/>
      <c r="BF162" s="48"/>
      <c r="BG162" s="48"/>
      <c r="BH162" s="48"/>
      <c r="BI162" s="48"/>
      <c r="BJ162" s="48"/>
      <c r="BK162" s="48"/>
      <c r="BL162" s="48"/>
      <c r="BM162" s="48"/>
      <c r="BN162" s="48"/>
      <c r="BO162" s="48"/>
      <c r="BP162" s="48"/>
      <c r="BQ162" s="48"/>
      <c r="BR162" s="48"/>
      <c r="BS162" s="48"/>
      <c r="BT162" s="144"/>
      <c r="BU162" s="144"/>
      <c r="BV162" s="144"/>
      <c r="BW162" s="144"/>
      <c r="BX162" s="144"/>
      <c r="BY162" s="48"/>
      <c r="BZ162" s="48"/>
      <c r="CA162" s="48"/>
      <c r="CB162" s="48"/>
      <c r="CC162" s="48"/>
      <c r="CD162" s="48"/>
      <c r="CE162" s="48"/>
      <c r="CF162" s="48"/>
      <c r="CG162" s="48"/>
      <c r="CH162" s="48"/>
      <c r="CI162" s="48"/>
      <c r="CJ162" s="48"/>
      <c r="CK162" s="48"/>
      <c r="CL162" s="48"/>
      <c r="CM162" s="48"/>
      <c r="CN162" s="48"/>
      <c r="CO162" s="48"/>
      <c r="CP162" s="48"/>
      <c r="CQ162" s="48"/>
      <c r="CR162" s="48"/>
      <c r="CS162" s="48"/>
      <c r="CT162" s="48"/>
      <c r="CU162" s="48"/>
      <c r="CV162" s="48"/>
      <c r="CW162" s="48"/>
      <c r="CX162" s="48"/>
      <c r="CY162" s="48"/>
      <c r="CZ162" s="48"/>
      <c r="DA162" s="48"/>
      <c r="DB162" s="48"/>
      <c r="DC162" s="48"/>
      <c r="DD162" s="48"/>
      <c r="DE162" s="48"/>
      <c r="DF162" s="48"/>
      <c r="DG162" s="48"/>
      <c r="DH162" s="48"/>
      <c r="DI162" s="48"/>
      <c r="DJ162" s="48"/>
      <c r="DK162" s="48"/>
      <c r="DL162" s="48"/>
      <c r="DM162" s="48"/>
      <c r="DN162" s="48"/>
      <c r="DO162" s="48"/>
      <c r="DP162" s="48"/>
    </row>
    <row r="163" spans="2:120" x14ac:dyDescent="0.2">
      <c r="B163" s="48"/>
      <c r="C163" s="144"/>
      <c r="D163" s="48"/>
      <c r="E163" s="48"/>
      <c r="F163" s="48"/>
      <c r="G163" s="48"/>
      <c r="H163" s="48"/>
      <c r="I163" s="48"/>
      <c r="J163" s="48"/>
      <c r="K163" s="48"/>
      <c r="L163" s="48"/>
      <c r="M163" s="238">
        <v>61</v>
      </c>
      <c r="N163" s="234" t="s">
        <v>680</v>
      </c>
      <c r="O163" s="239">
        <f>COUNTIFS(Tabulacao!$CY:$CY,EmpAtual!$N$101,Tabulacao!$DA:$DA,EmpAtual!N163)</f>
        <v>0</v>
      </c>
      <c r="P163" s="240">
        <f t="shared" si="72"/>
        <v>0</v>
      </c>
      <c r="Q163" s="48"/>
      <c r="R163" s="48"/>
      <c r="S163" s="48"/>
      <c r="T163" s="48"/>
      <c r="U163" s="48"/>
      <c r="V163" s="48"/>
      <c r="W163" s="168" t="s">
        <v>128</v>
      </c>
      <c r="X163" s="179">
        <v>3800</v>
      </c>
      <c r="Y163" s="168"/>
      <c r="Z163" s="168"/>
      <c r="AA163" s="168"/>
      <c r="AB163" s="48"/>
      <c r="AC163" s="48"/>
      <c r="AD163" s="48"/>
      <c r="AE163" s="48"/>
      <c r="AF163" s="48"/>
      <c r="AG163" s="48"/>
      <c r="AH163" s="48"/>
      <c r="AI163" s="48"/>
      <c r="AJ163" s="48"/>
      <c r="AK163" s="48"/>
      <c r="AL163" s="48"/>
      <c r="AM163" s="48"/>
      <c r="AN163" s="48"/>
      <c r="AO163" s="48"/>
      <c r="AP163" s="48"/>
      <c r="AQ163" s="48"/>
      <c r="AR163" s="48"/>
      <c r="AS163" s="48"/>
      <c r="AT163" s="48"/>
      <c r="AU163" s="48"/>
      <c r="AV163" s="48"/>
      <c r="AW163" s="48"/>
      <c r="AX163" s="48"/>
      <c r="AY163" s="48"/>
      <c r="AZ163" s="48"/>
      <c r="BA163" s="48"/>
      <c r="BB163" s="48"/>
      <c r="BC163" s="48"/>
      <c r="BD163" s="48"/>
      <c r="BE163" s="48"/>
      <c r="BF163" s="48"/>
      <c r="BG163" s="48"/>
      <c r="BH163" s="48"/>
      <c r="BI163" s="48"/>
      <c r="BJ163" s="48"/>
      <c r="BK163" s="48"/>
      <c r="BL163" s="48"/>
      <c r="BM163" s="48"/>
      <c r="BN163" s="48"/>
      <c r="BO163" s="48"/>
      <c r="BP163" s="48"/>
      <c r="BQ163" s="48"/>
      <c r="BR163" s="48"/>
      <c r="BS163" s="48"/>
      <c r="BT163" s="144"/>
      <c r="BU163" s="144"/>
      <c r="BV163" s="144"/>
      <c r="BW163" s="144"/>
      <c r="BX163" s="144"/>
      <c r="BY163" s="48"/>
      <c r="BZ163" s="48"/>
      <c r="CA163" s="48"/>
      <c r="CB163" s="48"/>
      <c r="CC163" s="48"/>
      <c r="CD163" s="48"/>
      <c r="CE163" s="48"/>
      <c r="CF163" s="48"/>
      <c r="CG163" s="48"/>
      <c r="CH163" s="48"/>
      <c r="CI163" s="48"/>
      <c r="CJ163" s="48"/>
      <c r="CK163" s="48"/>
      <c r="CL163" s="48"/>
      <c r="CM163" s="48"/>
      <c r="CN163" s="48"/>
      <c r="CO163" s="48"/>
      <c r="CP163" s="48"/>
      <c r="CQ163" s="48"/>
      <c r="CR163" s="48"/>
      <c r="CS163" s="48"/>
      <c r="CT163" s="48"/>
      <c r="CU163" s="48"/>
      <c r="CV163" s="48"/>
      <c r="CW163" s="48"/>
      <c r="CX163" s="48"/>
      <c r="CY163" s="48"/>
      <c r="CZ163" s="48"/>
      <c r="DA163" s="48"/>
      <c r="DB163" s="48"/>
      <c r="DC163" s="48"/>
      <c r="DD163" s="48"/>
      <c r="DE163" s="48"/>
      <c r="DF163" s="48"/>
      <c r="DG163" s="48"/>
      <c r="DH163" s="48"/>
      <c r="DI163" s="48"/>
      <c r="DJ163" s="48"/>
      <c r="DK163" s="48"/>
      <c r="DL163" s="48"/>
      <c r="DM163" s="48"/>
      <c r="DN163" s="48"/>
      <c r="DO163" s="48"/>
      <c r="DP163" s="48"/>
    </row>
    <row r="164" spans="2:120" x14ac:dyDescent="0.2">
      <c r="B164" s="48"/>
      <c r="C164" s="144"/>
      <c r="D164" s="48"/>
      <c r="E164" s="48"/>
      <c r="F164" s="48"/>
      <c r="G164" s="48"/>
      <c r="H164" s="48"/>
      <c r="I164" s="48"/>
      <c r="J164" s="48"/>
      <c r="K164" s="48"/>
      <c r="L164" s="48"/>
      <c r="M164" s="238">
        <v>62</v>
      </c>
      <c r="N164" s="234" t="s">
        <v>1117</v>
      </c>
      <c r="O164" s="239">
        <f>COUNTIFS(Tabulacao!$CY:$CY,EmpAtual!$N$101,Tabulacao!$DA:$DA,EmpAtual!N164)</f>
        <v>0</v>
      </c>
      <c r="P164" s="240">
        <f t="shared" si="72"/>
        <v>0</v>
      </c>
      <c r="Q164" s="48"/>
      <c r="R164" s="48"/>
      <c r="S164" s="48"/>
      <c r="T164" s="48"/>
      <c r="U164" s="48"/>
      <c r="V164" s="48"/>
      <c r="W164" s="168" t="s">
        <v>128</v>
      </c>
      <c r="X164" s="179">
        <v>1500</v>
      </c>
      <c r="Y164" s="168"/>
      <c r="Z164" s="168"/>
      <c r="AA164" s="168"/>
      <c r="AB164" s="48"/>
      <c r="AC164" s="48"/>
      <c r="AD164" s="48"/>
      <c r="AE164" s="48"/>
      <c r="AF164" s="48"/>
      <c r="AG164" s="48"/>
      <c r="AH164" s="48"/>
      <c r="AI164" s="48"/>
      <c r="AJ164" s="48"/>
      <c r="AK164" s="48"/>
      <c r="AL164" s="48"/>
      <c r="AM164" s="48"/>
      <c r="AN164" s="48"/>
      <c r="AO164" s="48"/>
      <c r="AP164" s="48"/>
      <c r="AQ164" s="48"/>
      <c r="AR164" s="48"/>
      <c r="AS164" s="48"/>
      <c r="AT164" s="48"/>
      <c r="AU164" s="48"/>
      <c r="AV164" s="48"/>
      <c r="AW164" s="48"/>
      <c r="AX164" s="48"/>
      <c r="AY164" s="48"/>
      <c r="AZ164" s="48"/>
      <c r="BA164" s="48"/>
      <c r="BB164" s="48"/>
      <c r="BC164" s="48"/>
      <c r="BD164" s="48"/>
      <c r="BE164" s="48"/>
      <c r="BF164" s="48"/>
      <c r="BG164" s="48"/>
      <c r="BH164" s="48"/>
      <c r="BI164" s="48"/>
      <c r="BJ164" s="48"/>
      <c r="BK164" s="48"/>
      <c r="BL164" s="48"/>
      <c r="BM164" s="48"/>
      <c r="BN164" s="48"/>
      <c r="BO164" s="48"/>
      <c r="BP164" s="48"/>
      <c r="BQ164" s="48"/>
      <c r="BR164" s="48"/>
      <c r="BS164" s="48"/>
      <c r="BT164" s="144"/>
      <c r="BU164" s="144"/>
      <c r="BV164" s="144"/>
      <c r="BW164" s="144"/>
      <c r="BX164" s="144"/>
      <c r="BY164" s="48"/>
      <c r="BZ164" s="48"/>
      <c r="CA164" s="48"/>
      <c r="CB164" s="48"/>
      <c r="CC164" s="48"/>
      <c r="CD164" s="48"/>
      <c r="CE164" s="48"/>
      <c r="CF164" s="48"/>
      <c r="CG164" s="48"/>
      <c r="CH164" s="48"/>
      <c r="CI164" s="48"/>
      <c r="CJ164" s="48"/>
      <c r="CK164" s="48"/>
      <c r="CL164" s="48"/>
      <c r="CM164" s="48"/>
      <c r="CN164" s="48"/>
      <c r="CO164" s="48"/>
      <c r="CP164" s="48"/>
      <c r="CQ164" s="48"/>
      <c r="CR164" s="48"/>
      <c r="CS164" s="48"/>
      <c r="CT164" s="48"/>
      <c r="CU164" s="48"/>
      <c r="CV164" s="48"/>
      <c r="CW164" s="48"/>
      <c r="CX164" s="48"/>
      <c r="CY164" s="48"/>
      <c r="CZ164" s="48"/>
      <c r="DA164" s="48"/>
      <c r="DB164" s="48"/>
      <c r="DC164" s="48"/>
      <c r="DD164" s="48"/>
      <c r="DE164" s="48"/>
      <c r="DF164" s="48"/>
      <c r="DG164" s="48"/>
      <c r="DH164" s="48"/>
      <c r="DI164" s="48"/>
      <c r="DJ164" s="48"/>
      <c r="DK164" s="48"/>
      <c r="DL164" s="48"/>
      <c r="DM164" s="48"/>
      <c r="DN164" s="48"/>
      <c r="DO164" s="48"/>
      <c r="DP164" s="48"/>
    </row>
    <row r="165" spans="2:120" x14ac:dyDescent="0.2">
      <c r="B165" s="48"/>
      <c r="C165" s="144"/>
      <c r="D165" s="48"/>
      <c r="E165" s="48"/>
      <c r="F165" s="48"/>
      <c r="G165" s="48"/>
      <c r="H165" s="48"/>
      <c r="I165" s="48"/>
      <c r="J165" s="48"/>
      <c r="K165" s="48"/>
      <c r="L165" s="48"/>
      <c r="M165" s="238">
        <v>63</v>
      </c>
      <c r="N165" s="234" t="s">
        <v>699</v>
      </c>
      <c r="O165" s="239">
        <f>COUNTIFS(Tabulacao!$CY:$CY,EmpAtual!$N$101,Tabulacao!$DA:$DA,EmpAtual!N165)</f>
        <v>0</v>
      </c>
      <c r="P165" s="240">
        <f t="shared" si="72"/>
        <v>0</v>
      </c>
      <c r="Q165" s="48"/>
      <c r="R165" s="48"/>
      <c r="S165" s="48"/>
      <c r="T165" s="48"/>
      <c r="U165" s="48"/>
      <c r="V165" s="48"/>
      <c r="W165" s="168" t="s">
        <v>128</v>
      </c>
      <c r="X165" s="179">
        <v>1100</v>
      </c>
      <c r="Y165" s="168"/>
      <c r="Z165" s="168"/>
      <c r="AA165" s="168"/>
      <c r="AB165" s="48"/>
      <c r="AC165" s="48"/>
      <c r="AD165" s="48"/>
      <c r="AE165" s="48"/>
      <c r="AF165" s="48"/>
      <c r="AG165" s="48"/>
      <c r="AH165" s="48"/>
      <c r="AI165" s="48"/>
      <c r="AJ165" s="48"/>
      <c r="AK165" s="48"/>
      <c r="AL165" s="48"/>
      <c r="AM165" s="48"/>
      <c r="AN165" s="48"/>
      <c r="AO165" s="48"/>
      <c r="AP165" s="48"/>
      <c r="AQ165" s="48"/>
      <c r="AR165" s="48"/>
      <c r="AS165" s="48"/>
      <c r="AT165" s="48"/>
      <c r="AU165" s="48"/>
      <c r="AV165" s="48"/>
      <c r="AW165" s="48"/>
      <c r="AX165" s="48"/>
      <c r="AY165" s="48"/>
      <c r="AZ165" s="48"/>
      <c r="BA165" s="48"/>
      <c r="BB165" s="48"/>
      <c r="BC165" s="48"/>
      <c r="BD165" s="48"/>
      <c r="BE165" s="48"/>
      <c r="BF165" s="48"/>
      <c r="BG165" s="48"/>
      <c r="BH165" s="48"/>
      <c r="BI165" s="48"/>
      <c r="BJ165" s="48"/>
      <c r="BK165" s="48"/>
      <c r="BL165" s="48"/>
      <c r="BM165" s="48"/>
      <c r="BN165" s="48"/>
      <c r="BO165" s="48"/>
      <c r="BP165" s="48"/>
      <c r="BQ165" s="48"/>
      <c r="BR165" s="48"/>
      <c r="BS165" s="48"/>
      <c r="BT165" s="144"/>
      <c r="BU165" s="144"/>
      <c r="BV165" s="144"/>
      <c r="BW165" s="144"/>
      <c r="BX165" s="144"/>
      <c r="BY165" s="48"/>
      <c r="BZ165" s="48"/>
      <c r="CA165" s="48"/>
      <c r="CB165" s="48"/>
      <c r="CC165" s="48"/>
      <c r="CD165" s="48"/>
      <c r="CE165" s="48"/>
      <c r="CF165" s="48"/>
      <c r="CG165" s="48"/>
      <c r="CH165" s="48"/>
      <c r="CI165" s="48"/>
      <c r="CJ165" s="48"/>
      <c r="CK165" s="48"/>
      <c r="CL165" s="48"/>
      <c r="CM165" s="48"/>
      <c r="CN165" s="48"/>
      <c r="CO165" s="48"/>
      <c r="CP165" s="48"/>
      <c r="CQ165" s="48"/>
      <c r="CR165" s="48"/>
      <c r="CS165" s="48"/>
      <c r="CT165" s="48"/>
      <c r="CU165" s="48"/>
      <c r="CV165" s="48"/>
      <c r="CW165" s="48"/>
      <c r="CX165" s="48"/>
      <c r="CY165" s="48"/>
      <c r="CZ165" s="48"/>
      <c r="DA165" s="48"/>
      <c r="DB165" s="48"/>
      <c r="DC165" s="48"/>
      <c r="DD165" s="48"/>
      <c r="DE165" s="48"/>
      <c r="DF165" s="48"/>
      <c r="DG165" s="48"/>
      <c r="DH165" s="48"/>
      <c r="DI165" s="48"/>
      <c r="DJ165" s="48"/>
      <c r="DK165" s="48"/>
      <c r="DL165" s="48"/>
      <c r="DM165" s="48"/>
      <c r="DN165" s="48"/>
      <c r="DO165" s="48"/>
      <c r="DP165" s="48"/>
    </row>
    <row r="166" spans="2:120" x14ac:dyDescent="0.2">
      <c r="B166" s="48"/>
      <c r="C166" s="144"/>
      <c r="D166" s="48"/>
      <c r="E166" s="48"/>
      <c r="F166" s="48"/>
      <c r="G166" s="48"/>
      <c r="H166" s="48"/>
      <c r="I166" s="48"/>
      <c r="J166" s="48"/>
      <c r="K166" s="48"/>
      <c r="L166" s="48"/>
      <c r="M166" s="238">
        <v>64</v>
      </c>
      <c r="N166" s="234" t="s">
        <v>1136</v>
      </c>
      <c r="O166" s="239">
        <f>COUNTIFS(Tabulacao!$CY:$CY,EmpAtual!$N$101,Tabulacao!$DA:$DA,EmpAtual!N166)</f>
        <v>0</v>
      </c>
      <c r="P166" s="240">
        <f t="shared" si="72"/>
        <v>0</v>
      </c>
      <c r="Q166" s="48"/>
      <c r="R166" s="48"/>
      <c r="S166" s="48"/>
      <c r="T166" s="48"/>
      <c r="U166" s="48"/>
      <c r="V166" s="48"/>
      <c r="W166" s="168" t="s">
        <v>128</v>
      </c>
      <c r="X166" s="179">
        <v>1500</v>
      </c>
      <c r="Y166" s="168"/>
      <c r="Z166" s="168"/>
      <c r="AA166" s="168"/>
      <c r="AB166" s="48"/>
      <c r="AC166" s="48"/>
      <c r="AD166" s="48"/>
      <c r="AE166" s="48"/>
      <c r="AF166" s="48"/>
      <c r="AG166" s="48"/>
      <c r="AH166" s="48"/>
      <c r="AI166" s="48"/>
      <c r="AJ166" s="48"/>
      <c r="AK166" s="48"/>
      <c r="AL166" s="48"/>
      <c r="AM166" s="48"/>
      <c r="AN166" s="48"/>
      <c r="AO166" s="48"/>
      <c r="AP166" s="48"/>
      <c r="AQ166" s="48"/>
      <c r="AR166" s="48"/>
      <c r="AS166" s="48"/>
      <c r="AT166" s="48"/>
      <c r="AU166" s="48"/>
      <c r="AV166" s="48"/>
      <c r="AW166" s="48"/>
      <c r="AX166" s="48"/>
      <c r="AY166" s="48"/>
      <c r="AZ166" s="48"/>
      <c r="BA166" s="48"/>
      <c r="BB166" s="48"/>
      <c r="BC166" s="48"/>
      <c r="BD166" s="48"/>
      <c r="BE166" s="48"/>
      <c r="BF166" s="48"/>
      <c r="BG166" s="48"/>
      <c r="BH166" s="48"/>
      <c r="BI166" s="48"/>
      <c r="BJ166" s="48"/>
      <c r="BK166" s="48"/>
      <c r="BL166" s="48"/>
      <c r="BM166" s="48"/>
      <c r="BN166" s="48"/>
      <c r="BO166" s="48"/>
      <c r="BP166" s="48"/>
      <c r="BQ166" s="48"/>
      <c r="BR166" s="48"/>
      <c r="BS166" s="48"/>
      <c r="BT166" s="144"/>
      <c r="BU166" s="144"/>
      <c r="BV166" s="144"/>
      <c r="BW166" s="144"/>
      <c r="BX166" s="144"/>
      <c r="BY166" s="48"/>
      <c r="BZ166" s="48"/>
      <c r="CA166" s="48"/>
      <c r="CB166" s="48"/>
      <c r="CC166" s="48"/>
      <c r="CD166" s="48"/>
      <c r="CE166" s="48"/>
      <c r="CF166" s="48"/>
      <c r="CG166" s="48"/>
      <c r="CH166" s="48"/>
      <c r="CI166" s="48"/>
      <c r="CJ166" s="48"/>
      <c r="CK166" s="48"/>
      <c r="CL166" s="48"/>
      <c r="CM166" s="48"/>
      <c r="CN166" s="48"/>
      <c r="CO166" s="48"/>
      <c r="CP166" s="48"/>
      <c r="CQ166" s="48"/>
      <c r="CR166" s="48"/>
      <c r="CS166" s="48"/>
      <c r="CT166" s="48"/>
      <c r="CU166" s="48"/>
      <c r="CV166" s="48"/>
      <c r="CW166" s="48"/>
      <c r="CX166" s="48"/>
      <c r="CY166" s="48"/>
      <c r="CZ166" s="48"/>
      <c r="DA166" s="48"/>
      <c r="DB166" s="48"/>
      <c r="DC166" s="48"/>
      <c r="DD166" s="48"/>
      <c r="DE166" s="48"/>
      <c r="DF166" s="48"/>
      <c r="DG166" s="48"/>
      <c r="DH166" s="48"/>
      <c r="DI166" s="48"/>
      <c r="DJ166" s="48"/>
      <c r="DK166" s="48"/>
      <c r="DL166" s="48"/>
      <c r="DM166" s="48"/>
      <c r="DN166" s="48"/>
      <c r="DO166" s="48"/>
      <c r="DP166" s="48"/>
    </row>
    <row r="167" spans="2:120" x14ac:dyDescent="0.2">
      <c r="B167" s="48"/>
      <c r="C167" s="144"/>
      <c r="D167" s="48"/>
      <c r="E167" s="48"/>
      <c r="F167" s="48"/>
      <c r="G167" s="48"/>
      <c r="H167" s="48"/>
      <c r="I167" s="48"/>
      <c r="J167" s="48"/>
      <c r="K167" s="48"/>
      <c r="L167" s="48"/>
      <c r="M167" s="238">
        <v>65</v>
      </c>
      <c r="N167" s="234" t="s">
        <v>1232</v>
      </c>
      <c r="O167" s="239">
        <f>COUNTIFS(Tabulacao!$CY:$CY,EmpAtual!$N$101,Tabulacao!$DA:$DA,EmpAtual!N167)</f>
        <v>0</v>
      </c>
      <c r="P167" s="240">
        <f t="shared" si="72"/>
        <v>0</v>
      </c>
      <c r="Q167" s="48"/>
      <c r="R167" s="48"/>
      <c r="S167" s="48"/>
      <c r="T167" s="48"/>
      <c r="U167" s="48"/>
      <c r="V167" s="48"/>
      <c r="W167" s="168" t="s">
        <v>128</v>
      </c>
      <c r="X167" s="179">
        <v>1300</v>
      </c>
      <c r="Y167" s="168"/>
      <c r="Z167" s="168"/>
      <c r="AA167" s="168"/>
      <c r="AB167" s="48"/>
      <c r="AC167" s="48"/>
      <c r="AD167" s="48"/>
      <c r="AE167" s="48"/>
      <c r="AF167" s="48"/>
      <c r="AG167" s="48"/>
      <c r="AH167" s="48"/>
      <c r="AI167" s="48"/>
      <c r="AJ167" s="48"/>
      <c r="AK167" s="48"/>
      <c r="AL167" s="48"/>
      <c r="AM167" s="48"/>
      <c r="AN167" s="48"/>
      <c r="AO167" s="48"/>
      <c r="AP167" s="48"/>
      <c r="AQ167" s="48"/>
      <c r="AR167" s="48"/>
      <c r="AS167" s="48"/>
      <c r="AT167" s="48"/>
      <c r="AU167" s="48"/>
      <c r="AV167" s="48"/>
      <c r="AW167" s="48"/>
      <c r="AX167" s="48"/>
      <c r="AY167" s="48"/>
      <c r="AZ167" s="48"/>
      <c r="BA167" s="48"/>
      <c r="BB167" s="48"/>
      <c r="BC167" s="48"/>
      <c r="BD167" s="48"/>
      <c r="BE167" s="48"/>
      <c r="BF167" s="48"/>
      <c r="BG167" s="48"/>
      <c r="BH167" s="48"/>
      <c r="BI167" s="48"/>
      <c r="BJ167" s="48"/>
      <c r="BK167" s="48"/>
      <c r="BL167" s="48"/>
      <c r="BM167" s="48"/>
      <c r="BN167" s="48"/>
      <c r="BO167" s="48"/>
      <c r="BP167" s="48"/>
      <c r="BQ167" s="48"/>
      <c r="BR167" s="48"/>
      <c r="BS167" s="48"/>
      <c r="BT167" s="144"/>
      <c r="BU167" s="144"/>
      <c r="BV167" s="144"/>
      <c r="BW167" s="144"/>
      <c r="BX167" s="144"/>
      <c r="BY167" s="48"/>
      <c r="BZ167" s="48"/>
      <c r="CA167" s="48"/>
      <c r="CB167" s="48"/>
      <c r="CC167" s="48"/>
      <c r="CD167" s="48"/>
      <c r="CE167" s="48"/>
      <c r="CF167" s="48"/>
      <c r="CG167" s="48"/>
      <c r="CH167" s="48"/>
      <c r="CI167" s="48"/>
      <c r="CJ167" s="48"/>
      <c r="CK167" s="48"/>
      <c r="CL167" s="48"/>
      <c r="CM167" s="48"/>
      <c r="CN167" s="48"/>
      <c r="CO167" s="48"/>
      <c r="CP167" s="48"/>
      <c r="CQ167" s="48"/>
      <c r="CR167" s="48"/>
      <c r="CS167" s="48"/>
      <c r="CT167" s="48"/>
      <c r="CU167" s="48"/>
      <c r="CV167" s="48"/>
      <c r="CW167" s="48"/>
      <c r="CX167" s="48"/>
      <c r="CY167" s="48"/>
      <c r="CZ167" s="48"/>
      <c r="DA167" s="48"/>
      <c r="DB167" s="48"/>
      <c r="DC167" s="48"/>
      <c r="DD167" s="48"/>
      <c r="DE167" s="48"/>
      <c r="DF167" s="48"/>
      <c r="DG167" s="48"/>
      <c r="DH167" s="48"/>
      <c r="DI167" s="48"/>
      <c r="DJ167" s="48"/>
      <c r="DK167" s="48"/>
      <c r="DL167" s="48"/>
      <c r="DM167" s="48"/>
      <c r="DN167" s="48"/>
      <c r="DO167" s="48"/>
      <c r="DP167" s="48"/>
    </row>
    <row r="168" spans="2:120" x14ac:dyDescent="0.2">
      <c r="B168" s="48"/>
      <c r="C168" s="144"/>
      <c r="D168" s="48"/>
      <c r="E168" s="48"/>
      <c r="F168" s="48"/>
      <c r="G168" s="48"/>
      <c r="H168" s="48"/>
      <c r="I168" s="48"/>
      <c r="J168" s="48"/>
      <c r="K168" s="48"/>
      <c r="L168" s="48"/>
      <c r="M168" s="238">
        <v>66</v>
      </c>
      <c r="N168" s="234" t="s">
        <v>1138</v>
      </c>
      <c r="O168" s="239">
        <f>COUNTIFS(Tabulacao!$CY:$CY,EmpAtual!$N$101,Tabulacao!$DA:$DA,EmpAtual!N168)</f>
        <v>0</v>
      </c>
      <c r="P168" s="240">
        <f t="shared" ref="P168:P188" si="73">IFERROR(O168/$O$189,"-")</f>
        <v>0</v>
      </c>
      <c r="Q168" s="48"/>
      <c r="R168" s="48"/>
      <c r="S168" s="48"/>
      <c r="T168" s="48"/>
      <c r="U168" s="48"/>
      <c r="V168" s="48"/>
      <c r="W168" s="168" t="s">
        <v>128</v>
      </c>
      <c r="X168" s="179">
        <v>954</v>
      </c>
      <c r="Y168" s="168"/>
      <c r="Z168" s="168"/>
      <c r="AA168" s="168"/>
      <c r="AB168" s="48"/>
      <c r="AC168" s="48"/>
      <c r="AD168" s="48"/>
      <c r="AE168" s="48"/>
      <c r="AF168" s="48"/>
      <c r="AG168" s="48"/>
      <c r="AH168" s="48"/>
      <c r="AI168" s="48"/>
      <c r="AJ168" s="48"/>
      <c r="AK168" s="48"/>
      <c r="AL168" s="48"/>
      <c r="AM168" s="48"/>
      <c r="AN168" s="48"/>
      <c r="AO168" s="48"/>
      <c r="AP168" s="48"/>
      <c r="AQ168" s="48"/>
      <c r="AR168" s="48"/>
      <c r="AS168" s="48"/>
      <c r="AT168" s="48"/>
      <c r="AU168" s="48"/>
      <c r="AV168" s="48"/>
      <c r="AW168" s="48"/>
      <c r="AX168" s="48"/>
      <c r="AY168" s="48"/>
      <c r="AZ168" s="48"/>
      <c r="BA168" s="48"/>
      <c r="BB168" s="48"/>
      <c r="BC168" s="48"/>
      <c r="BD168" s="48"/>
      <c r="BE168" s="48"/>
      <c r="BF168" s="48"/>
      <c r="BG168" s="48"/>
      <c r="BH168" s="48"/>
      <c r="BI168" s="48"/>
      <c r="BJ168" s="48"/>
      <c r="BK168" s="48"/>
      <c r="BL168" s="48"/>
      <c r="BM168" s="48"/>
      <c r="BN168" s="48"/>
      <c r="BO168" s="48"/>
      <c r="BP168" s="48"/>
      <c r="BQ168" s="48"/>
      <c r="BR168" s="48"/>
      <c r="BS168" s="48"/>
      <c r="BT168" s="144"/>
      <c r="BU168" s="144"/>
      <c r="BV168" s="144"/>
      <c r="BW168" s="144"/>
      <c r="BX168" s="144"/>
      <c r="BY168" s="48"/>
      <c r="BZ168" s="48"/>
      <c r="CA168" s="48"/>
      <c r="CB168" s="48"/>
      <c r="CC168" s="48"/>
      <c r="CD168" s="48"/>
      <c r="CE168" s="48"/>
      <c r="CF168" s="48"/>
      <c r="CG168" s="48"/>
      <c r="CH168" s="48"/>
      <c r="CI168" s="48"/>
      <c r="CJ168" s="48"/>
      <c r="CK168" s="48"/>
      <c r="CL168" s="48"/>
      <c r="CM168" s="48"/>
      <c r="CN168" s="48"/>
      <c r="CO168" s="48"/>
      <c r="CP168" s="48"/>
      <c r="CQ168" s="48"/>
      <c r="CR168" s="48"/>
      <c r="CS168" s="48"/>
      <c r="CT168" s="48"/>
      <c r="CU168" s="48"/>
      <c r="CV168" s="48"/>
      <c r="CW168" s="48"/>
      <c r="CX168" s="48"/>
      <c r="CY168" s="48"/>
      <c r="CZ168" s="48"/>
      <c r="DA168" s="48"/>
      <c r="DB168" s="48"/>
      <c r="DC168" s="48"/>
      <c r="DD168" s="48"/>
      <c r="DE168" s="48"/>
      <c r="DF168" s="48"/>
      <c r="DG168" s="48"/>
      <c r="DH168" s="48"/>
      <c r="DI168" s="48"/>
      <c r="DJ168" s="48"/>
      <c r="DK168" s="48"/>
      <c r="DL168" s="48"/>
      <c r="DM168" s="48"/>
      <c r="DN168" s="48"/>
      <c r="DO168" s="48"/>
      <c r="DP168" s="48"/>
    </row>
    <row r="169" spans="2:120" x14ac:dyDescent="0.2">
      <c r="B169" s="48"/>
      <c r="C169" s="144"/>
      <c r="D169" s="48"/>
      <c r="E169" s="48"/>
      <c r="F169" s="48"/>
      <c r="G169" s="48"/>
      <c r="H169" s="48"/>
      <c r="I169" s="48"/>
      <c r="J169" s="48"/>
      <c r="K169" s="48"/>
      <c r="L169" s="48"/>
      <c r="M169" s="238">
        <v>67</v>
      </c>
      <c r="N169" s="234" t="s">
        <v>1233</v>
      </c>
      <c r="O169" s="239">
        <f>COUNTIFS(Tabulacao!$CY:$CY,EmpAtual!$N$101,Tabulacao!$DA:$DA,EmpAtual!N169)</f>
        <v>0</v>
      </c>
      <c r="P169" s="240">
        <f t="shared" si="73"/>
        <v>0</v>
      </c>
      <c r="Q169" s="48"/>
      <c r="R169" s="48"/>
      <c r="S169" s="48"/>
      <c r="T169" s="48"/>
      <c r="U169" s="48"/>
      <c r="V169" s="48"/>
      <c r="W169" s="168" t="s">
        <v>128</v>
      </c>
      <c r="X169" s="179">
        <v>2000</v>
      </c>
      <c r="Y169" s="168"/>
      <c r="Z169" s="168"/>
      <c r="AA169" s="168"/>
      <c r="AB169" s="48"/>
      <c r="AC169" s="48"/>
      <c r="AD169" s="48"/>
      <c r="AE169" s="48"/>
      <c r="AF169" s="48"/>
      <c r="AG169" s="48"/>
      <c r="AH169" s="48"/>
      <c r="AI169" s="48"/>
      <c r="AJ169" s="48"/>
      <c r="AK169" s="48"/>
      <c r="AL169" s="48"/>
      <c r="AM169" s="48"/>
      <c r="AN169" s="48"/>
      <c r="AO169" s="48"/>
      <c r="AP169" s="48"/>
      <c r="AQ169" s="48"/>
      <c r="AR169" s="48"/>
      <c r="AS169" s="48"/>
      <c r="AT169" s="48"/>
      <c r="AU169" s="48"/>
      <c r="AV169" s="48"/>
      <c r="AW169" s="48"/>
      <c r="AX169" s="48"/>
      <c r="AY169" s="48"/>
      <c r="AZ169" s="48"/>
      <c r="BA169" s="48"/>
      <c r="BB169" s="48"/>
      <c r="BC169" s="48"/>
      <c r="BD169" s="48"/>
      <c r="BE169" s="48"/>
      <c r="BF169" s="48"/>
      <c r="BG169" s="48"/>
      <c r="BH169" s="48"/>
      <c r="BI169" s="48"/>
      <c r="BJ169" s="48"/>
      <c r="BK169" s="48"/>
      <c r="BL169" s="48"/>
      <c r="BM169" s="48"/>
      <c r="BN169" s="48"/>
      <c r="BO169" s="48"/>
      <c r="BP169" s="48"/>
      <c r="BQ169" s="48"/>
      <c r="BR169" s="48"/>
      <c r="BS169" s="48"/>
      <c r="BT169" s="144"/>
      <c r="BU169" s="144"/>
      <c r="BV169" s="144"/>
      <c r="BW169" s="144"/>
      <c r="BX169" s="144"/>
      <c r="BY169" s="48"/>
      <c r="BZ169" s="48"/>
      <c r="CA169" s="48"/>
      <c r="CB169" s="48"/>
      <c r="CC169" s="48"/>
      <c r="CD169" s="48"/>
      <c r="CE169" s="48"/>
      <c r="CF169" s="48"/>
      <c r="CG169" s="48"/>
      <c r="CH169" s="48"/>
      <c r="CI169" s="48"/>
      <c r="CJ169" s="48"/>
      <c r="CK169" s="48"/>
      <c r="CL169" s="48"/>
      <c r="CM169" s="48"/>
      <c r="CN169" s="48"/>
      <c r="CO169" s="48"/>
      <c r="CP169" s="48"/>
      <c r="CQ169" s="48"/>
      <c r="CR169" s="48"/>
      <c r="CS169" s="48"/>
      <c r="CT169" s="48"/>
      <c r="CU169" s="48"/>
      <c r="CV169" s="48"/>
      <c r="CW169" s="48"/>
      <c r="CX169" s="48"/>
      <c r="CY169" s="48"/>
      <c r="CZ169" s="48"/>
      <c r="DA169" s="48"/>
      <c r="DB169" s="48"/>
      <c r="DC169" s="48"/>
      <c r="DD169" s="48"/>
      <c r="DE169" s="48"/>
      <c r="DF169" s="48"/>
      <c r="DG169" s="48"/>
      <c r="DH169" s="48"/>
      <c r="DI169" s="48"/>
      <c r="DJ169" s="48"/>
      <c r="DK169" s="48"/>
      <c r="DL169" s="48"/>
      <c r="DM169" s="48"/>
      <c r="DN169" s="48"/>
      <c r="DO169" s="48"/>
      <c r="DP169" s="48"/>
    </row>
    <row r="170" spans="2:120" x14ac:dyDescent="0.2">
      <c r="B170" s="48"/>
      <c r="C170" s="144"/>
      <c r="D170" s="48"/>
      <c r="E170" s="48"/>
      <c r="F170" s="48"/>
      <c r="G170" s="48"/>
      <c r="H170" s="48"/>
      <c r="I170" s="48"/>
      <c r="J170" s="48"/>
      <c r="K170" s="48"/>
      <c r="L170" s="48"/>
      <c r="M170" s="238">
        <v>68</v>
      </c>
      <c r="N170" s="234" t="s">
        <v>739</v>
      </c>
      <c r="O170" s="239">
        <f>COUNTIFS(Tabulacao!$CY:$CY,EmpAtual!$N$101,Tabulacao!$DA:$DA,EmpAtual!N170)</f>
        <v>0</v>
      </c>
      <c r="P170" s="240">
        <f t="shared" si="73"/>
        <v>0</v>
      </c>
      <c r="Q170" s="48"/>
      <c r="R170" s="48"/>
      <c r="S170" s="48"/>
      <c r="T170" s="48"/>
      <c r="U170" s="48"/>
      <c r="V170" s="48"/>
      <c r="W170" s="168" t="s">
        <v>127</v>
      </c>
      <c r="X170" s="179">
        <v>1500</v>
      </c>
      <c r="Y170" s="168"/>
      <c r="Z170" s="168"/>
      <c r="AA170" s="168"/>
      <c r="AB170" s="48"/>
      <c r="AC170" s="48"/>
      <c r="AD170" s="48"/>
      <c r="AE170" s="48"/>
      <c r="AF170" s="48"/>
      <c r="AG170" s="48"/>
      <c r="AH170" s="48"/>
      <c r="AI170" s="48"/>
      <c r="AJ170" s="48"/>
      <c r="AK170" s="48"/>
      <c r="AL170" s="48"/>
      <c r="AM170" s="48"/>
      <c r="AN170" s="48"/>
      <c r="AO170" s="48"/>
      <c r="AP170" s="48"/>
      <c r="AQ170" s="48"/>
      <c r="AR170" s="48"/>
      <c r="AS170" s="48"/>
      <c r="AT170" s="48"/>
      <c r="AU170" s="48"/>
      <c r="AV170" s="48"/>
      <c r="AW170" s="48"/>
      <c r="AX170" s="48"/>
      <c r="AY170" s="48"/>
      <c r="AZ170" s="48"/>
      <c r="BA170" s="48"/>
      <c r="BB170" s="48"/>
      <c r="BC170" s="48"/>
      <c r="BD170" s="48"/>
      <c r="BE170" s="48"/>
      <c r="BF170" s="48"/>
      <c r="BG170" s="48"/>
      <c r="BH170" s="48"/>
      <c r="BI170" s="48"/>
      <c r="BJ170" s="48"/>
      <c r="BK170" s="48"/>
      <c r="BL170" s="48"/>
      <c r="BM170" s="48"/>
      <c r="BN170" s="48"/>
      <c r="BO170" s="48"/>
      <c r="BP170" s="48"/>
      <c r="BQ170" s="48"/>
      <c r="BR170" s="48"/>
      <c r="BS170" s="48"/>
      <c r="BT170" s="144"/>
      <c r="BU170" s="144"/>
      <c r="BV170" s="144"/>
      <c r="BW170" s="144"/>
      <c r="BX170" s="144"/>
      <c r="BY170" s="48"/>
      <c r="BZ170" s="48"/>
      <c r="CA170" s="48"/>
      <c r="CB170" s="48"/>
      <c r="CC170" s="48"/>
      <c r="CD170" s="48"/>
      <c r="CE170" s="48"/>
      <c r="CF170" s="48"/>
      <c r="CG170" s="48"/>
      <c r="CH170" s="48"/>
      <c r="CI170" s="48"/>
      <c r="CJ170" s="48"/>
      <c r="CK170" s="48"/>
      <c r="CL170" s="48"/>
      <c r="CM170" s="48"/>
      <c r="CN170" s="48"/>
      <c r="CO170" s="48"/>
      <c r="CP170" s="48"/>
      <c r="CQ170" s="48"/>
      <c r="CR170" s="48"/>
      <c r="CS170" s="48"/>
      <c r="CT170" s="48"/>
      <c r="CU170" s="48"/>
      <c r="CV170" s="48"/>
      <c r="CW170" s="48"/>
      <c r="CX170" s="48"/>
      <c r="CY170" s="48"/>
      <c r="CZ170" s="48"/>
      <c r="DA170" s="48"/>
      <c r="DB170" s="48"/>
      <c r="DC170" s="48"/>
      <c r="DD170" s="48"/>
      <c r="DE170" s="48"/>
      <c r="DF170" s="48"/>
      <c r="DG170" s="48"/>
      <c r="DH170" s="48"/>
      <c r="DI170" s="48"/>
      <c r="DJ170" s="48"/>
      <c r="DK170" s="48"/>
      <c r="DL170" s="48"/>
      <c r="DM170" s="48"/>
      <c r="DN170" s="48"/>
      <c r="DO170" s="48"/>
      <c r="DP170" s="48"/>
    </row>
    <row r="171" spans="2:120" x14ac:dyDescent="0.2">
      <c r="B171" s="48"/>
      <c r="C171" s="144"/>
      <c r="D171" s="48"/>
      <c r="E171" s="48"/>
      <c r="F171" s="48"/>
      <c r="G171" s="48"/>
      <c r="H171" s="48"/>
      <c r="I171" s="48"/>
      <c r="J171" s="48"/>
      <c r="K171" s="48"/>
      <c r="L171" s="48"/>
      <c r="M171" s="238">
        <v>69</v>
      </c>
      <c r="N171" s="234" t="s">
        <v>1234</v>
      </c>
      <c r="O171" s="239">
        <f>COUNTIFS(Tabulacao!$CY:$CY,EmpAtual!$N$101,Tabulacao!$DA:$DA,EmpAtual!N171)</f>
        <v>0</v>
      </c>
      <c r="P171" s="240">
        <f t="shared" si="73"/>
        <v>0</v>
      </c>
      <c r="Q171" s="48"/>
      <c r="R171" s="48"/>
      <c r="S171" s="48"/>
      <c r="T171" s="48"/>
      <c r="U171" s="48"/>
      <c r="V171" s="48"/>
      <c r="W171" s="168" t="s">
        <v>127</v>
      </c>
      <c r="X171" s="179">
        <v>1700</v>
      </c>
      <c r="Y171" s="168"/>
      <c r="Z171" s="168"/>
      <c r="AA171" s="168"/>
      <c r="AB171" s="48"/>
      <c r="AC171" s="48"/>
      <c r="AD171" s="48"/>
      <c r="AE171" s="48"/>
      <c r="AF171" s="48"/>
      <c r="AG171" s="48"/>
      <c r="AH171" s="48"/>
      <c r="AI171" s="48"/>
      <c r="AJ171" s="48"/>
      <c r="AK171" s="48"/>
      <c r="AL171" s="48"/>
      <c r="AM171" s="48"/>
      <c r="AN171" s="48"/>
      <c r="AO171" s="48"/>
      <c r="AP171" s="48"/>
      <c r="AQ171" s="48"/>
      <c r="AR171" s="48"/>
      <c r="AS171" s="48"/>
      <c r="AT171" s="48"/>
      <c r="AU171" s="48"/>
      <c r="AV171" s="48"/>
      <c r="AW171" s="48"/>
      <c r="AX171" s="48"/>
      <c r="AY171" s="48"/>
      <c r="AZ171" s="48"/>
      <c r="BA171" s="48"/>
      <c r="BB171" s="48"/>
      <c r="BC171" s="48"/>
      <c r="BD171" s="48"/>
      <c r="BE171" s="48"/>
      <c r="BF171" s="48"/>
      <c r="BG171" s="48"/>
      <c r="BH171" s="48"/>
      <c r="BI171" s="48"/>
      <c r="BJ171" s="48"/>
      <c r="BK171" s="48"/>
      <c r="BL171" s="48"/>
      <c r="BM171" s="48"/>
      <c r="BN171" s="48"/>
      <c r="BO171" s="48"/>
      <c r="BP171" s="48"/>
      <c r="BQ171" s="144"/>
      <c r="BR171" s="144"/>
      <c r="BS171" s="144"/>
      <c r="BT171" s="144"/>
      <c r="BU171" s="144"/>
      <c r="BV171" s="144"/>
      <c r="BW171" s="144"/>
      <c r="BX171" s="144"/>
      <c r="BY171" s="48"/>
      <c r="BZ171" s="48"/>
      <c r="CA171" s="48"/>
      <c r="CB171" s="48"/>
      <c r="CC171" s="48"/>
      <c r="CD171" s="48"/>
      <c r="CE171" s="48"/>
      <c r="CF171" s="48"/>
      <c r="CG171" s="48"/>
      <c r="CH171" s="48"/>
      <c r="CI171" s="48"/>
      <c r="CJ171" s="48"/>
      <c r="CK171" s="48"/>
      <c r="CL171" s="48"/>
      <c r="CM171" s="48"/>
      <c r="CN171" s="48"/>
      <c r="CO171" s="48"/>
      <c r="CP171" s="48"/>
      <c r="CQ171" s="48"/>
      <c r="CR171" s="48"/>
      <c r="CS171" s="48"/>
      <c r="CT171" s="48"/>
      <c r="CU171" s="48"/>
      <c r="CV171" s="48"/>
      <c r="CW171" s="48"/>
      <c r="CX171" s="48"/>
      <c r="CY171" s="48"/>
      <c r="CZ171" s="48"/>
      <c r="DA171" s="48"/>
      <c r="DB171" s="48"/>
      <c r="DC171" s="48"/>
      <c r="DD171" s="48"/>
      <c r="DE171" s="48"/>
      <c r="DF171" s="48"/>
      <c r="DG171" s="48"/>
      <c r="DH171" s="48"/>
      <c r="DI171" s="48"/>
      <c r="DJ171" s="48"/>
      <c r="DK171" s="48"/>
      <c r="DL171" s="48"/>
      <c r="DM171" s="48"/>
      <c r="DN171" s="48"/>
      <c r="DO171" s="48"/>
      <c r="DP171" s="48"/>
    </row>
    <row r="172" spans="2:120" x14ac:dyDescent="0.2">
      <c r="B172" s="48"/>
      <c r="C172" s="144"/>
      <c r="D172" s="48"/>
      <c r="E172" s="48"/>
      <c r="F172" s="48"/>
      <c r="G172" s="48"/>
      <c r="H172" s="48"/>
      <c r="I172" s="48"/>
      <c r="J172" s="48"/>
      <c r="K172" s="48"/>
      <c r="L172" s="48"/>
      <c r="M172" s="238">
        <v>70</v>
      </c>
      <c r="N172" s="234" t="s">
        <v>1140</v>
      </c>
      <c r="O172" s="239">
        <f>COUNTIFS(Tabulacao!$CY:$CY,EmpAtual!$N$101,Tabulacao!$DA:$DA,EmpAtual!N172)</f>
        <v>0</v>
      </c>
      <c r="P172" s="240">
        <f t="shared" si="73"/>
        <v>0</v>
      </c>
      <c r="Q172" s="48"/>
      <c r="R172" s="48"/>
      <c r="S172" s="48"/>
      <c r="T172" s="48"/>
      <c r="U172" s="48"/>
      <c r="V172" s="48"/>
      <c r="W172" s="168" t="s">
        <v>127</v>
      </c>
      <c r="X172" s="179">
        <v>954</v>
      </c>
      <c r="Y172" s="168"/>
      <c r="Z172" s="168"/>
      <c r="AA172" s="168"/>
      <c r="AB172" s="48"/>
      <c r="AC172" s="48"/>
      <c r="AD172" s="48"/>
      <c r="AE172" s="48"/>
      <c r="AF172" s="48"/>
      <c r="AG172" s="48"/>
      <c r="AH172" s="48"/>
      <c r="AI172" s="48"/>
      <c r="AJ172" s="48"/>
      <c r="AK172" s="48"/>
      <c r="AL172" s="48"/>
      <c r="AM172" s="48"/>
      <c r="AN172" s="48"/>
      <c r="AO172" s="48"/>
      <c r="AP172" s="48"/>
      <c r="AQ172" s="48"/>
      <c r="AR172" s="48"/>
      <c r="AS172" s="48"/>
      <c r="AT172" s="48"/>
      <c r="AU172" s="48"/>
      <c r="AV172" s="48"/>
      <c r="AW172" s="48"/>
      <c r="AX172" s="48"/>
      <c r="AY172" s="48"/>
      <c r="AZ172" s="48"/>
      <c r="BA172" s="48"/>
      <c r="BB172" s="48"/>
      <c r="BC172" s="48"/>
      <c r="BD172" s="48"/>
      <c r="BE172" s="48"/>
      <c r="BF172" s="48"/>
      <c r="BG172" s="48"/>
      <c r="BH172" s="48"/>
      <c r="BI172" s="48"/>
      <c r="BJ172" s="48"/>
      <c r="BK172" s="48"/>
      <c r="BL172" s="48"/>
      <c r="BM172" s="48"/>
      <c r="BN172" s="48"/>
      <c r="BO172" s="48"/>
      <c r="BP172" s="48"/>
      <c r="BQ172" s="144"/>
      <c r="BR172" s="144"/>
      <c r="BS172" s="144"/>
      <c r="BT172" s="144"/>
      <c r="BU172" s="144"/>
      <c r="BV172" s="144"/>
      <c r="BW172" s="144"/>
      <c r="BX172" s="144"/>
      <c r="BY172" s="48"/>
      <c r="BZ172" s="48"/>
      <c r="CA172" s="48"/>
      <c r="CB172" s="48"/>
      <c r="CC172" s="48"/>
      <c r="CD172" s="48"/>
      <c r="CE172" s="48"/>
      <c r="CF172" s="48"/>
      <c r="CG172" s="48"/>
      <c r="CH172" s="48"/>
      <c r="CI172" s="48"/>
      <c r="CJ172" s="48"/>
      <c r="CK172" s="48"/>
      <c r="CL172" s="48"/>
      <c r="CM172" s="48"/>
      <c r="CN172" s="48"/>
      <c r="CO172" s="48"/>
      <c r="CP172" s="48"/>
      <c r="CQ172" s="48"/>
      <c r="CR172" s="48"/>
      <c r="CS172" s="48"/>
      <c r="CT172" s="48"/>
      <c r="CU172" s="48"/>
      <c r="CV172" s="48"/>
      <c r="CW172" s="48"/>
      <c r="CX172" s="48"/>
      <c r="CY172" s="48"/>
      <c r="CZ172" s="48"/>
      <c r="DA172" s="48"/>
      <c r="DB172" s="48"/>
      <c r="DC172" s="48"/>
      <c r="DD172" s="48"/>
      <c r="DE172" s="48"/>
      <c r="DF172" s="48"/>
      <c r="DG172" s="48"/>
      <c r="DH172" s="48"/>
      <c r="DI172" s="48"/>
      <c r="DJ172" s="48"/>
      <c r="DK172" s="48"/>
      <c r="DL172" s="48"/>
      <c r="DM172" s="48"/>
      <c r="DN172" s="48"/>
      <c r="DO172" s="48"/>
      <c r="DP172" s="48"/>
    </row>
    <row r="173" spans="2:120" x14ac:dyDescent="0.2">
      <c r="B173" s="48"/>
      <c r="C173" s="144"/>
      <c r="D173" s="48"/>
      <c r="E173" s="48"/>
      <c r="F173" s="48"/>
      <c r="G173" s="48"/>
      <c r="H173" s="48"/>
      <c r="I173" s="48"/>
      <c r="J173" s="48"/>
      <c r="K173" s="48"/>
      <c r="L173" s="48"/>
      <c r="M173" s="238">
        <v>71</v>
      </c>
      <c r="N173" s="234" t="s">
        <v>791</v>
      </c>
      <c r="O173" s="239">
        <f>COUNTIFS(Tabulacao!$CY:$CY,EmpAtual!$N$101,Tabulacao!$DA:$DA,EmpAtual!N173)</f>
        <v>0</v>
      </c>
      <c r="P173" s="240">
        <f t="shared" si="73"/>
        <v>0</v>
      </c>
      <c r="Q173" s="48"/>
      <c r="R173" s="48"/>
      <c r="S173" s="48"/>
      <c r="T173" s="48"/>
      <c r="U173" s="48"/>
      <c r="V173" s="48"/>
      <c r="W173" s="168" t="s">
        <v>127</v>
      </c>
      <c r="X173" s="179">
        <v>7000</v>
      </c>
      <c r="Y173" s="168"/>
      <c r="Z173" s="168"/>
      <c r="AA173" s="168"/>
      <c r="AB173" s="48"/>
      <c r="AC173" s="48"/>
      <c r="AD173" s="48"/>
      <c r="AE173" s="48"/>
      <c r="AF173" s="48"/>
      <c r="AG173" s="48"/>
      <c r="AH173" s="48"/>
      <c r="AI173" s="48"/>
      <c r="AJ173" s="48"/>
      <c r="AK173" s="48"/>
      <c r="AL173" s="48"/>
      <c r="AM173" s="48"/>
      <c r="AN173" s="48"/>
      <c r="AO173" s="48"/>
      <c r="AP173" s="48"/>
      <c r="AQ173" s="48"/>
      <c r="AR173" s="48"/>
      <c r="AS173" s="48"/>
      <c r="AT173" s="48"/>
      <c r="AU173" s="48"/>
      <c r="AV173" s="48"/>
      <c r="AW173" s="48"/>
      <c r="AX173" s="48"/>
      <c r="AY173" s="48"/>
      <c r="AZ173" s="48"/>
      <c r="BA173" s="48"/>
      <c r="BB173" s="48"/>
      <c r="BC173" s="48"/>
      <c r="BD173" s="48"/>
      <c r="BE173" s="48"/>
      <c r="BF173" s="48"/>
      <c r="BG173" s="48"/>
      <c r="BH173" s="48"/>
      <c r="BI173" s="48"/>
      <c r="BJ173" s="48"/>
      <c r="BK173" s="48"/>
      <c r="BL173" s="48"/>
      <c r="BM173" s="48"/>
      <c r="BN173" s="48"/>
      <c r="BO173" s="48"/>
      <c r="BP173" s="48"/>
      <c r="BQ173" s="144"/>
      <c r="BR173" s="144"/>
      <c r="BS173" s="144"/>
      <c r="BT173" s="144"/>
      <c r="BU173" s="144"/>
      <c r="BV173" s="144"/>
      <c r="BW173" s="144"/>
      <c r="BX173" s="144"/>
      <c r="BY173" s="48"/>
      <c r="BZ173" s="48"/>
      <c r="CA173" s="48"/>
      <c r="CB173" s="48"/>
      <c r="CC173" s="48"/>
      <c r="CD173" s="48"/>
      <c r="CE173" s="48"/>
      <c r="CF173" s="48"/>
      <c r="CG173" s="48"/>
      <c r="CH173" s="48"/>
      <c r="CI173" s="48"/>
      <c r="CJ173" s="48"/>
      <c r="CK173" s="48"/>
      <c r="CL173" s="48"/>
      <c r="CM173" s="48"/>
      <c r="CN173" s="48"/>
      <c r="CO173" s="48"/>
      <c r="CP173" s="48"/>
      <c r="CQ173" s="48"/>
      <c r="CR173" s="48"/>
      <c r="CS173" s="48"/>
      <c r="CT173" s="48"/>
      <c r="CU173" s="48"/>
      <c r="CV173" s="48"/>
      <c r="CW173" s="48"/>
      <c r="CX173" s="48"/>
      <c r="CY173" s="48"/>
      <c r="CZ173" s="48"/>
      <c r="DA173" s="48"/>
      <c r="DB173" s="48"/>
      <c r="DC173" s="48"/>
      <c r="DD173" s="48"/>
      <c r="DE173" s="48"/>
      <c r="DF173" s="48"/>
      <c r="DG173" s="48"/>
      <c r="DH173" s="48"/>
      <c r="DI173" s="48"/>
      <c r="DJ173" s="48"/>
      <c r="DK173" s="48"/>
      <c r="DL173" s="48"/>
      <c r="DM173" s="48"/>
      <c r="DN173" s="48"/>
      <c r="DO173" s="48"/>
      <c r="DP173" s="48"/>
    </row>
    <row r="174" spans="2:120" x14ac:dyDescent="0.2">
      <c r="B174" s="48"/>
      <c r="C174" s="144"/>
      <c r="D174" s="48"/>
      <c r="E174" s="48"/>
      <c r="F174" s="48"/>
      <c r="G174" s="48"/>
      <c r="H174" s="48"/>
      <c r="I174" s="48"/>
      <c r="J174" s="48"/>
      <c r="K174" s="48"/>
      <c r="L174" s="48"/>
      <c r="M174" s="238">
        <v>72</v>
      </c>
      <c r="N174" s="234" t="s">
        <v>1144</v>
      </c>
      <c r="O174" s="239">
        <f>COUNTIFS(Tabulacao!$CY:$CY,EmpAtual!$N$101,Tabulacao!$DA:$DA,EmpAtual!N174)</f>
        <v>0</v>
      </c>
      <c r="P174" s="240">
        <f t="shared" si="73"/>
        <v>0</v>
      </c>
      <c r="Q174" s="48"/>
      <c r="R174" s="48"/>
      <c r="S174" s="48"/>
      <c r="T174" s="48"/>
      <c r="U174" s="48"/>
      <c r="V174" s="48"/>
      <c r="W174" s="168" t="s">
        <v>127</v>
      </c>
      <c r="X174" s="179">
        <v>1500</v>
      </c>
      <c r="Y174" s="168"/>
      <c r="Z174" s="168"/>
      <c r="AA174" s="168"/>
      <c r="AB174" s="48"/>
      <c r="AC174" s="48"/>
      <c r="AD174" s="48"/>
      <c r="AE174" s="48"/>
      <c r="AF174" s="48"/>
      <c r="AG174" s="48"/>
      <c r="AH174" s="48"/>
      <c r="AI174" s="48"/>
      <c r="AJ174" s="48"/>
      <c r="AK174" s="48"/>
      <c r="AL174" s="48"/>
      <c r="AM174" s="48"/>
      <c r="AN174" s="48"/>
      <c r="AO174" s="48"/>
      <c r="AP174" s="48"/>
      <c r="AQ174" s="48"/>
      <c r="AR174" s="48"/>
      <c r="AS174" s="48"/>
      <c r="AT174" s="48"/>
      <c r="AU174" s="48"/>
      <c r="AV174" s="48"/>
      <c r="AW174" s="48"/>
      <c r="AX174" s="48"/>
      <c r="AY174" s="48"/>
      <c r="AZ174" s="48"/>
      <c r="BA174" s="48"/>
      <c r="BB174" s="48"/>
      <c r="BC174" s="48"/>
      <c r="BD174" s="48"/>
      <c r="BE174" s="48"/>
      <c r="BF174" s="48"/>
      <c r="BG174" s="48"/>
      <c r="BH174" s="48"/>
      <c r="BI174" s="48"/>
      <c r="BJ174" s="48"/>
      <c r="BK174" s="48"/>
      <c r="BL174" s="48"/>
      <c r="BM174" s="48"/>
      <c r="BN174" s="48"/>
      <c r="BO174" s="48"/>
      <c r="BP174" s="48"/>
      <c r="BQ174" s="144"/>
      <c r="BR174" s="144"/>
      <c r="BS174" s="144"/>
      <c r="BT174" s="144"/>
      <c r="BU174" s="144"/>
      <c r="BV174" s="144"/>
      <c r="BW174" s="144"/>
      <c r="BX174" s="144"/>
      <c r="BY174" s="48"/>
      <c r="BZ174" s="48"/>
      <c r="CA174" s="48"/>
      <c r="CB174" s="48"/>
      <c r="CC174" s="48"/>
      <c r="CD174" s="48"/>
      <c r="CE174" s="48"/>
      <c r="CF174" s="48"/>
      <c r="CG174" s="48"/>
      <c r="CH174" s="48"/>
      <c r="CI174" s="48"/>
      <c r="CJ174" s="48"/>
      <c r="CK174" s="48"/>
      <c r="CL174" s="48"/>
      <c r="CM174" s="48"/>
      <c r="CN174" s="48"/>
      <c r="CO174" s="48"/>
      <c r="CP174" s="48"/>
      <c r="CQ174" s="48"/>
      <c r="CR174" s="48"/>
      <c r="CS174" s="48"/>
      <c r="CT174" s="48"/>
      <c r="CU174" s="48"/>
      <c r="CV174" s="48"/>
      <c r="CW174" s="48"/>
      <c r="CX174" s="48"/>
      <c r="CY174" s="48"/>
      <c r="CZ174" s="48"/>
      <c r="DA174" s="48"/>
      <c r="DB174" s="48"/>
      <c r="DC174" s="48"/>
      <c r="DD174" s="48"/>
      <c r="DE174" s="48"/>
      <c r="DF174" s="48"/>
      <c r="DG174" s="48"/>
      <c r="DH174" s="48"/>
      <c r="DI174" s="48"/>
      <c r="DJ174" s="48"/>
      <c r="DK174" s="48"/>
      <c r="DL174" s="48"/>
      <c r="DM174" s="48"/>
      <c r="DN174" s="48"/>
      <c r="DO174" s="48"/>
      <c r="DP174" s="48"/>
    </row>
    <row r="175" spans="2:120" x14ac:dyDescent="0.2">
      <c r="B175" s="48"/>
      <c r="C175" s="144"/>
      <c r="D175" s="48"/>
      <c r="E175" s="48"/>
      <c r="F175" s="48"/>
      <c r="G175" s="48"/>
      <c r="H175" s="48"/>
      <c r="I175" s="48"/>
      <c r="J175" s="48"/>
      <c r="K175" s="48"/>
      <c r="L175" s="48"/>
      <c r="M175" s="238">
        <v>73</v>
      </c>
      <c r="N175" s="234" t="s">
        <v>1113</v>
      </c>
      <c r="O175" s="239">
        <f>COUNTIFS(Tabulacao!$CY:$CY,EmpAtual!$N$101,Tabulacao!$DA:$DA,EmpAtual!N175)</f>
        <v>0</v>
      </c>
      <c r="P175" s="240">
        <f t="shared" si="73"/>
        <v>0</v>
      </c>
      <c r="Q175" s="48"/>
      <c r="R175" s="48"/>
      <c r="S175" s="48"/>
      <c r="T175" s="48"/>
      <c r="U175" s="48"/>
      <c r="V175" s="48"/>
      <c r="W175" s="168" t="s">
        <v>127</v>
      </c>
      <c r="X175" s="179">
        <v>1500</v>
      </c>
      <c r="Y175" s="168"/>
      <c r="Z175" s="168"/>
      <c r="AA175" s="168"/>
      <c r="AB175" s="48"/>
      <c r="AC175" s="48"/>
      <c r="AD175" s="48"/>
      <c r="AE175" s="48"/>
      <c r="AF175" s="48"/>
      <c r="AG175" s="48"/>
      <c r="AH175" s="48"/>
      <c r="AI175" s="48"/>
      <c r="AJ175" s="48"/>
      <c r="AK175" s="48"/>
      <c r="AL175" s="48"/>
      <c r="AM175" s="48"/>
      <c r="AN175" s="48"/>
      <c r="AO175" s="48"/>
      <c r="AP175" s="48"/>
      <c r="AQ175" s="48"/>
      <c r="AR175" s="48"/>
      <c r="AS175" s="48"/>
      <c r="AT175" s="48"/>
      <c r="AU175" s="48"/>
      <c r="AV175" s="48"/>
      <c r="AW175" s="48"/>
      <c r="AX175" s="48"/>
      <c r="AY175" s="48"/>
      <c r="AZ175" s="48"/>
      <c r="BA175" s="48"/>
      <c r="BB175" s="48"/>
      <c r="BC175" s="48"/>
      <c r="BD175" s="48"/>
      <c r="BE175" s="48"/>
      <c r="BF175" s="48"/>
      <c r="BG175" s="48"/>
      <c r="BH175" s="48"/>
      <c r="BI175" s="48"/>
      <c r="BJ175" s="48"/>
      <c r="BK175" s="48"/>
      <c r="BL175" s="48"/>
      <c r="BM175" s="48"/>
      <c r="BN175" s="48"/>
      <c r="BO175" s="48"/>
      <c r="BP175" s="48"/>
      <c r="BQ175" s="144"/>
      <c r="BR175" s="144"/>
      <c r="BS175" s="144"/>
      <c r="BT175" s="144"/>
      <c r="BU175" s="144"/>
      <c r="BV175" s="144"/>
      <c r="BW175" s="144"/>
      <c r="BX175" s="144"/>
      <c r="BY175" s="48"/>
      <c r="BZ175" s="48"/>
      <c r="CA175" s="48"/>
      <c r="CB175" s="48"/>
      <c r="CC175" s="48"/>
      <c r="CD175" s="48"/>
      <c r="CE175" s="48"/>
      <c r="CF175" s="48"/>
      <c r="CG175" s="48"/>
      <c r="CH175" s="48"/>
      <c r="CI175" s="48"/>
      <c r="CJ175" s="48"/>
      <c r="CK175" s="48"/>
      <c r="CL175" s="48"/>
      <c r="CM175" s="48"/>
      <c r="CN175" s="48"/>
      <c r="CO175" s="48"/>
      <c r="CP175" s="48"/>
      <c r="CQ175" s="48"/>
      <c r="CR175" s="48"/>
      <c r="CS175" s="48"/>
      <c r="CT175" s="48"/>
      <c r="CU175" s="48"/>
      <c r="CV175" s="48"/>
      <c r="CW175" s="48"/>
      <c r="CX175" s="48"/>
      <c r="CY175" s="48"/>
      <c r="CZ175" s="48"/>
      <c r="DA175" s="48"/>
      <c r="DB175" s="48"/>
      <c r="DC175" s="48"/>
      <c r="DD175" s="48"/>
      <c r="DE175" s="48"/>
      <c r="DF175" s="48"/>
      <c r="DG175" s="48"/>
      <c r="DH175" s="48"/>
      <c r="DI175" s="48"/>
      <c r="DJ175" s="48"/>
      <c r="DK175" s="48"/>
      <c r="DL175" s="48"/>
      <c r="DM175" s="48"/>
      <c r="DN175" s="48"/>
      <c r="DO175" s="48"/>
      <c r="DP175" s="48"/>
    </row>
    <row r="176" spans="2:120" x14ac:dyDescent="0.2">
      <c r="B176" s="48"/>
      <c r="C176" s="144"/>
      <c r="D176" s="48"/>
      <c r="E176" s="48"/>
      <c r="F176" s="48"/>
      <c r="G176" s="48"/>
      <c r="H176" s="48"/>
      <c r="I176" s="48"/>
      <c r="J176" s="48"/>
      <c r="K176" s="48"/>
      <c r="L176" s="48"/>
      <c r="M176" s="238">
        <v>74</v>
      </c>
      <c r="N176" s="234" t="s">
        <v>822</v>
      </c>
      <c r="O176" s="239">
        <f>COUNTIFS(Tabulacao!$CY:$CY,EmpAtual!$N$101,Tabulacao!$DA:$DA,EmpAtual!N176)</f>
        <v>0</v>
      </c>
      <c r="P176" s="240">
        <f t="shared" si="73"/>
        <v>0</v>
      </c>
      <c r="Q176" s="48"/>
      <c r="R176" s="48"/>
      <c r="S176" s="48"/>
      <c r="T176" s="48"/>
      <c r="U176" s="48"/>
      <c r="V176" s="48"/>
      <c r="W176" s="168" t="s">
        <v>127</v>
      </c>
      <c r="X176" s="179">
        <v>1500</v>
      </c>
      <c r="Y176" s="168"/>
      <c r="Z176" s="168"/>
      <c r="AA176" s="168"/>
      <c r="AB176" s="48"/>
      <c r="AC176" s="48"/>
      <c r="AD176" s="48"/>
      <c r="AE176" s="48"/>
      <c r="AF176" s="48"/>
      <c r="AG176" s="48"/>
      <c r="AH176" s="48"/>
      <c r="AI176" s="48"/>
      <c r="AJ176" s="48"/>
      <c r="AK176" s="48"/>
      <c r="AL176" s="48"/>
      <c r="AM176" s="48"/>
      <c r="AN176" s="48"/>
      <c r="AO176" s="48"/>
      <c r="AP176" s="48"/>
      <c r="AQ176" s="48"/>
      <c r="AR176" s="48"/>
      <c r="AS176" s="48"/>
      <c r="AT176" s="48"/>
      <c r="AU176" s="48"/>
      <c r="AV176" s="48"/>
      <c r="AW176" s="48"/>
      <c r="AX176" s="48"/>
      <c r="AY176" s="48"/>
      <c r="AZ176" s="48"/>
      <c r="BA176" s="48"/>
      <c r="BB176" s="48"/>
      <c r="BC176" s="48"/>
      <c r="BD176" s="48"/>
      <c r="BE176" s="48"/>
      <c r="BF176" s="48"/>
      <c r="BG176" s="48"/>
      <c r="BH176" s="48"/>
      <c r="BI176" s="48"/>
      <c r="BJ176" s="48"/>
      <c r="BK176" s="48"/>
      <c r="BL176" s="48"/>
      <c r="BM176" s="48"/>
      <c r="BN176" s="48"/>
      <c r="BO176" s="48"/>
      <c r="BP176" s="48"/>
      <c r="BQ176" s="48"/>
      <c r="BR176" s="48"/>
      <c r="BS176" s="48"/>
      <c r="BT176" s="48"/>
      <c r="BU176" s="48"/>
      <c r="BV176" s="48"/>
      <c r="BW176" s="48"/>
      <c r="BX176" s="48"/>
      <c r="BY176" s="48"/>
      <c r="BZ176" s="48"/>
      <c r="CA176" s="48"/>
      <c r="CB176" s="48"/>
      <c r="CC176" s="48"/>
      <c r="CD176" s="48"/>
      <c r="CE176" s="48"/>
      <c r="CF176" s="48"/>
      <c r="CG176" s="48"/>
      <c r="CH176" s="48"/>
      <c r="CI176" s="48"/>
      <c r="CJ176" s="48"/>
      <c r="CK176" s="48"/>
      <c r="CL176" s="48"/>
      <c r="CM176" s="48"/>
      <c r="CN176" s="48"/>
      <c r="CO176" s="48"/>
      <c r="CP176" s="48"/>
      <c r="CQ176" s="48"/>
      <c r="CR176" s="48"/>
      <c r="CS176" s="48"/>
      <c r="CT176" s="48"/>
      <c r="CU176" s="48"/>
      <c r="CV176" s="48"/>
      <c r="CW176" s="48"/>
      <c r="CX176" s="48"/>
      <c r="CY176" s="48"/>
      <c r="CZ176" s="48"/>
      <c r="DA176" s="48"/>
      <c r="DB176" s="48"/>
      <c r="DC176" s="48"/>
      <c r="DD176" s="48"/>
      <c r="DE176" s="48"/>
      <c r="DF176" s="48"/>
      <c r="DG176" s="48"/>
      <c r="DH176" s="48"/>
      <c r="DI176" s="48"/>
      <c r="DJ176" s="48"/>
      <c r="DK176" s="48"/>
      <c r="DL176" s="48"/>
      <c r="DM176" s="48"/>
      <c r="DN176" s="48"/>
      <c r="DO176" s="48"/>
      <c r="DP176" s="48"/>
    </row>
    <row r="177" spans="2:120" x14ac:dyDescent="0.2">
      <c r="B177" s="48"/>
      <c r="C177" s="144"/>
      <c r="D177" s="48"/>
      <c r="E177" s="48"/>
      <c r="F177" s="48"/>
      <c r="G177" s="48"/>
      <c r="H177" s="48"/>
      <c r="I177" s="48"/>
      <c r="J177" s="48"/>
      <c r="K177" s="48"/>
      <c r="L177" s="48"/>
      <c r="M177" s="238">
        <v>75</v>
      </c>
      <c r="N177" s="234" t="s">
        <v>834</v>
      </c>
      <c r="O177" s="239">
        <f>COUNTIFS(Tabulacao!$CY:$CY,EmpAtual!$N$101,Tabulacao!$DA:$DA,EmpAtual!N177)</f>
        <v>0</v>
      </c>
      <c r="P177" s="240">
        <f t="shared" si="73"/>
        <v>0</v>
      </c>
      <c r="Q177" s="48"/>
      <c r="R177" s="48"/>
      <c r="S177" s="48"/>
      <c r="T177" s="48"/>
      <c r="U177" s="48"/>
      <c r="V177" s="48"/>
      <c r="W177" s="168" t="s">
        <v>124</v>
      </c>
      <c r="X177" s="179">
        <v>7000</v>
      </c>
      <c r="Y177" s="168"/>
      <c r="Z177" s="168"/>
      <c r="AA177" s="168"/>
      <c r="AB177" s="48"/>
      <c r="AC177" s="48"/>
      <c r="AD177" s="48"/>
      <c r="AE177" s="48"/>
      <c r="AF177" s="48"/>
      <c r="AG177" s="48"/>
      <c r="AH177" s="48"/>
      <c r="AI177" s="48"/>
      <c r="AJ177" s="48"/>
      <c r="AK177" s="48"/>
      <c r="AL177" s="48"/>
      <c r="AM177" s="48"/>
      <c r="AN177" s="48"/>
      <c r="AO177" s="48"/>
      <c r="AP177" s="48"/>
      <c r="AQ177" s="48"/>
      <c r="AR177" s="48"/>
      <c r="AS177" s="48"/>
      <c r="AT177" s="48"/>
      <c r="AU177" s="48"/>
      <c r="AV177" s="48"/>
      <c r="AW177" s="48"/>
      <c r="AX177" s="48"/>
      <c r="AY177" s="48"/>
      <c r="AZ177" s="48"/>
      <c r="BA177" s="48"/>
      <c r="BB177" s="48"/>
      <c r="BC177" s="48"/>
      <c r="BD177" s="48"/>
      <c r="BE177" s="48"/>
      <c r="BF177" s="48"/>
      <c r="BG177" s="48"/>
      <c r="BH177" s="48"/>
      <c r="BI177" s="48"/>
      <c r="BJ177" s="48"/>
      <c r="BK177" s="48"/>
      <c r="BL177" s="48"/>
      <c r="BM177" s="48"/>
      <c r="BN177" s="48"/>
      <c r="BO177" s="48"/>
      <c r="BP177" s="48"/>
      <c r="BQ177" s="48"/>
      <c r="BR177" s="48"/>
      <c r="BS177" s="48"/>
      <c r="BT177" s="48"/>
      <c r="BU177" s="48"/>
      <c r="BV177" s="48"/>
      <c r="BW177" s="48"/>
      <c r="BX177" s="48"/>
      <c r="BY177" s="48"/>
      <c r="BZ177" s="48"/>
      <c r="CA177" s="48"/>
      <c r="CB177" s="48"/>
      <c r="CC177" s="48"/>
      <c r="CD177" s="48"/>
      <c r="CE177" s="48"/>
      <c r="CF177" s="48"/>
      <c r="CG177" s="48"/>
      <c r="CH177" s="48"/>
      <c r="CI177" s="48"/>
      <c r="CJ177" s="48"/>
      <c r="CK177" s="48"/>
      <c r="CL177" s="48"/>
      <c r="CM177" s="48"/>
      <c r="CN177" s="48"/>
      <c r="CO177" s="48"/>
      <c r="CP177" s="48"/>
      <c r="CQ177" s="48"/>
      <c r="CR177" s="48"/>
      <c r="CS177" s="48"/>
      <c r="CT177" s="48"/>
      <c r="CU177" s="48"/>
      <c r="CV177" s="48"/>
      <c r="CW177" s="48"/>
      <c r="CX177" s="48"/>
      <c r="CY177" s="48"/>
      <c r="CZ177" s="48"/>
      <c r="DA177" s="48"/>
      <c r="DB177" s="48"/>
      <c r="DC177" s="48"/>
      <c r="DD177" s="48"/>
      <c r="DE177" s="48"/>
      <c r="DF177" s="48"/>
      <c r="DG177" s="48"/>
      <c r="DH177" s="48"/>
      <c r="DI177" s="48"/>
      <c r="DJ177" s="48"/>
      <c r="DK177" s="48"/>
      <c r="DL177" s="48"/>
      <c r="DM177" s="48"/>
      <c r="DN177" s="48"/>
      <c r="DO177" s="48"/>
      <c r="DP177" s="48"/>
    </row>
    <row r="178" spans="2:120" x14ac:dyDescent="0.2">
      <c r="B178" s="48"/>
      <c r="C178" s="144"/>
      <c r="D178" s="48"/>
      <c r="E178" s="48"/>
      <c r="F178" s="48"/>
      <c r="G178" s="48"/>
      <c r="H178" s="48"/>
      <c r="I178" s="48"/>
      <c r="J178" s="48"/>
      <c r="K178" s="48"/>
      <c r="L178" s="48"/>
      <c r="M178" s="238">
        <v>76</v>
      </c>
      <c r="N178" s="234" t="s">
        <v>605</v>
      </c>
      <c r="O178" s="239">
        <f>COUNTIFS(Tabulacao!$CY:$CY,EmpAtual!$N$101,Tabulacao!$DA:$DA,EmpAtual!N178)</f>
        <v>0</v>
      </c>
      <c r="P178" s="240">
        <f t="shared" si="73"/>
        <v>0</v>
      </c>
      <c r="Q178" s="48"/>
      <c r="R178" s="48"/>
      <c r="S178" s="48"/>
      <c r="T178" s="48"/>
      <c r="U178" s="48"/>
      <c r="V178" s="48"/>
      <c r="W178" s="168" t="s">
        <v>124</v>
      </c>
      <c r="X178" s="179">
        <v>1200</v>
      </c>
      <c r="Y178" s="168"/>
      <c r="Z178" s="168"/>
      <c r="AA178" s="168"/>
      <c r="AB178" s="48"/>
      <c r="AC178" s="48"/>
      <c r="AD178" s="48"/>
      <c r="AE178" s="48"/>
      <c r="AF178" s="48"/>
      <c r="AG178" s="48"/>
      <c r="AH178" s="48"/>
      <c r="AI178" s="48"/>
      <c r="AJ178" s="48"/>
      <c r="AK178" s="48"/>
      <c r="AL178" s="48"/>
      <c r="AM178" s="48"/>
      <c r="AN178" s="48"/>
      <c r="AO178" s="48"/>
      <c r="AP178" s="48"/>
      <c r="AQ178" s="48"/>
      <c r="AR178" s="48"/>
      <c r="AS178" s="48"/>
      <c r="AT178" s="48"/>
      <c r="AU178" s="48"/>
      <c r="AV178" s="48"/>
      <c r="AW178" s="48"/>
      <c r="AX178" s="48"/>
      <c r="AY178" s="48"/>
      <c r="AZ178" s="48"/>
      <c r="BA178" s="48"/>
      <c r="BB178" s="48"/>
      <c r="BC178" s="48"/>
      <c r="BD178" s="48"/>
      <c r="BE178" s="48"/>
      <c r="BF178" s="48"/>
      <c r="BG178" s="48"/>
      <c r="BH178" s="48"/>
      <c r="BI178" s="48"/>
      <c r="BJ178" s="48"/>
      <c r="BK178" s="48"/>
      <c r="BL178" s="48"/>
      <c r="BM178" s="48"/>
      <c r="BN178" s="48"/>
      <c r="BO178" s="48"/>
      <c r="BP178" s="48"/>
      <c r="BQ178" s="48"/>
      <c r="BR178" s="48"/>
      <c r="BS178" s="48"/>
      <c r="BT178" s="48"/>
      <c r="BU178" s="48"/>
      <c r="BV178" s="48"/>
      <c r="BW178" s="48"/>
      <c r="BX178" s="48"/>
      <c r="BY178" s="48"/>
      <c r="BZ178" s="48"/>
      <c r="CA178" s="48"/>
      <c r="CB178" s="48"/>
      <c r="CC178" s="48"/>
      <c r="CD178" s="48"/>
      <c r="CE178" s="48"/>
      <c r="CF178" s="48"/>
      <c r="CG178" s="48"/>
      <c r="CH178" s="48"/>
      <c r="CI178" s="48"/>
      <c r="CJ178" s="48"/>
      <c r="CK178" s="48"/>
      <c r="CL178" s="48"/>
      <c r="CM178" s="48"/>
      <c r="CN178" s="48"/>
      <c r="CO178" s="48"/>
      <c r="CP178" s="48"/>
      <c r="CQ178" s="48"/>
      <c r="CR178" s="48"/>
      <c r="CS178" s="48"/>
      <c r="CT178" s="48"/>
      <c r="CU178" s="48"/>
      <c r="CV178" s="48"/>
      <c r="CW178" s="48"/>
      <c r="CX178" s="48"/>
      <c r="CY178" s="48"/>
      <c r="CZ178" s="48"/>
      <c r="DA178" s="48"/>
      <c r="DB178" s="48"/>
      <c r="DC178" s="48"/>
      <c r="DD178" s="48"/>
      <c r="DE178" s="48"/>
      <c r="DF178" s="48"/>
      <c r="DG178" s="48"/>
      <c r="DH178" s="48"/>
      <c r="DI178" s="48"/>
      <c r="DJ178" s="48"/>
      <c r="DK178" s="48"/>
      <c r="DL178" s="48"/>
      <c r="DM178" s="48"/>
      <c r="DN178" s="48"/>
      <c r="DO178" s="48"/>
      <c r="DP178" s="48"/>
    </row>
    <row r="179" spans="2:120" x14ac:dyDescent="0.2">
      <c r="B179" s="48"/>
      <c r="C179" s="144"/>
      <c r="D179" s="48"/>
      <c r="E179" s="48"/>
      <c r="F179" s="48"/>
      <c r="G179" s="48"/>
      <c r="H179" s="48"/>
      <c r="I179" s="48"/>
      <c r="J179" s="48"/>
      <c r="K179" s="48"/>
      <c r="L179" s="48"/>
      <c r="M179" s="238">
        <v>77</v>
      </c>
      <c r="N179" s="234" t="s">
        <v>860</v>
      </c>
      <c r="O179" s="239">
        <f>COUNTIFS(Tabulacao!$CY:$CY,EmpAtual!$N$101,Tabulacao!$DA:$DA,EmpAtual!N179)</f>
        <v>1</v>
      </c>
      <c r="P179" s="240">
        <f t="shared" si="73"/>
        <v>4.3478260869565216E-2</v>
      </c>
      <c r="Q179" s="48"/>
      <c r="R179" s="48"/>
      <c r="S179" s="48"/>
      <c r="T179" s="48"/>
      <c r="U179" s="48"/>
      <c r="V179" s="48"/>
      <c r="W179" s="168" t="s">
        <v>124</v>
      </c>
      <c r="X179" s="179">
        <v>987</v>
      </c>
      <c r="Y179" s="168"/>
      <c r="Z179" s="168"/>
      <c r="AA179" s="168"/>
      <c r="AB179" s="48"/>
      <c r="AC179" s="48"/>
      <c r="AD179" s="48"/>
      <c r="AE179" s="48"/>
      <c r="AF179" s="48"/>
      <c r="AG179" s="48"/>
      <c r="AH179" s="48"/>
      <c r="AI179" s="48"/>
      <c r="AJ179" s="48"/>
      <c r="AK179" s="48"/>
      <c r="AL179" s="48"/>
      <c r="AM179" s="48"/>
      <c r="AN179" s="48"/>
      <c r="AO179" s="48"/>
      <c r="AP179" s="48"/>
      <c r="AQ179" s="48"/>
      <c r="AR179" s="48"/>
      <c r="AS179" s="48"/>
      <c r="AT179" s="48"/>
      <c r="AU179" s="48"/>
      <c r="AV179" s="48"/>
      <c r="AW179" s="48"/>
      <c r="AX179" s="48"/>
      <c r="AY179" s="48"/>
      <c r="AZ179" s="48"/>
      <c r="BA179" s="48"/>
      <c r="BB179" s="48"/>
      <c r="BC179" s="48"/>
      <c r="BD179" s="48"/>
      <c r="BE179" s="48"/>
      <c r="BF179" s="48"/>
      <c r="BG179" s="48"/>
      <c r="BH179" s="48"/>
      <c r="BI179" s="48"/>
      <c r="BJ179" s="48"/>
      <c r="BK179" s="48"/>
      <c r="BL179" s="48"/>
      <c r="BM179" s="48"/>
      <c r="BN179" s="48"/>
      <c r="BO179" s="48"/>
      <c r="BP179" s="48"/>
      <c r="BQ179" s="48"/>
      <c r="BR179" s="48"/>
      <c r="BS179" s="48"/>
      <c r="BT179" s="48"/>
      <c r="BU179" s="48"/>
      <c r="BV179" s="48"/>
      <c r="BW179" s="48"/>
      <c r="BX179" s="48"/>
      <c r="BY179" s="48"/>
      <c r="BZ179" s="48"/>
      <c r="CA179" s="48"/>
      <c r="CB179" s="48"/>
      <c r="CC179" s="48"/>
      <c r="CD179" s="48"/>
      <c r="CE179" s="48"/>
      <c r="CF179" s="48"/>
      <c r="CG179" s="48"/>
      <c r="CH179" s="48"/>
      <c r="CI179" s="48"/>
      <c r="CJ179" s="48"/>
      <c r="CK179" s="48"/>
      <c r="CL179" s="48"/>
      <c r="CM179" s="48"/>
      <c r="CN179" s="48"/>
      <c r="CO179" s="48"/>
      <c r="CP179" s="48"/>
      <c r="CQ179" s="48"/>
      <c r="CR179" s="48"/>
      <c r="CS179" s="48"/>
      <c r="CT179" s="48"/>
      <c r="CU179" s="48"/>
      <c r="CV179" s="48"/>
      <c r="CW179" s="48"/>
      <c r="CX179" s="48"/>
      <c r="CY179" s="48"/>
      <c r="CZ179" s="48"/>
      <c r="DA179" s="48"/>
      <c r="DB179" s="48"/>
      <c r="DC179" s="48"/>
      <c r="DD179" s="48"/>
      <c r="DE179" s="48"/>
      <c r="DF179" s="48"/>
      <c r="DG179" s="48"/>
      <c r="DH179" s="48"/>
      <c r="DI179" s="48"/>
      <c r="DJ179" s="48"/>
      <c r="DK179" s="48"/>
      <c r="DL179" s="48"/>
      <c r="DM179" s="48"/>
      <c r="DN179" s="48"/>
      <c r="DO179" s="48"/>
      <c r="DP179" s="48"/>
    </row>
    <row r="180" spans="2:120" x14ac:dyDescent="0.2">
      <c r="B180" s="48"/>
      <c r="C180" s="144"/>
      <c r="D180" s="48"/>
      <c r="E180" s="48"/>
      <c r="F180" s="48"/>
      <c r="G180" s="48"/>
      <c r="H180" s="48"/>
      <c r="I180" s="48"/>
      <c r="J180" s="48"/>
      <c r="K180" s="48"/>
      <c r="L180" s="48"/>
      <c r="M180" s="238">
        <v>78</v>
      </c>
      <c r="N180" s="234" t="s">
        <v>1145</v>
      </c>
      <c r="O180" s="239">
        <f>COUNTIFS(Tabulacao!$CY:$CY,EmpAtual!$N$101,Tabulacao!$DA:$DA,EmpAtual!N180)</f>
        <v>0</v>
      </c>
      <c r="P180" s="240">
        <f t="shared" si="73"/>
        <v>0</v>
      </c>
      <c r="Q180" s="48"/>
      <c r="R180" s="48"/>
      <c r="S180" s="48"/>
      <c r="T180" s="48"/>
      <c r="U180" s="48"/>
      <c r="V180" s="48"/>
      <c r="W180" s="168" t="s">
        <v>124</v>
      </c>
      <c r="X180" s="179">
        <v>1200</v>
      </c>
      <c r="Y180" s="168"/>
      <c r="Z180" s="168"/>
      <c r="AA180" s="168"/>
      <c r="AB180" s="48"/>
      <c r="AC180" s="48"/>
      <c r="AD180" s="48"/>
      <c r="AE180" s="48"/>
      <c r="AF180" s="48"/>
      <c r="AG180" s="48"/>
      <c r="AH180" s="48"/>
      <c r="AI180" s="48"/>
      <c r="AJ180" s="48"/>
      <c r="AK180" s="48"/>
      <c r="AL180" s="48"/>
      <c r="AM180" s="48"/>
      <c r="AN180" s="48"/>
      <c r="AO180" s="48"/>
      <c r="AP180" s="48"/>
      <c r="AQ180" s="48"/>
      <c r="AR180" s="48"/>
      <c r="AS180" s="48"/>
      <c r="AT180" s="48"/>
      <c r="AU180" s="48"/>
      <c r="AV180" s="48"/>
      <c r="AW180" s="48"/>
      <c r="AX180" s="48"/>
      <c r="AY180" s="48"/>
      <c r="AZ180" s="48"/>
      <c r="BA180" s="48"/>
      <c r="BB180" s="48"/>
      <c r="BC180" s="48"/>
      <c r="BD180" s="48"/>
      <c r="BE180" s="48"/>
      <c r="BF180" s="48"/>
      <c r="BG180" s="48"/>
      <c r="BH180" s="48"/>
      <c r="BI180" s="48"/>
      <c r="BJ180" s="48"/>
      <c r="BK180" s="48"/>
      <c r="BL180" s="48"/>
      <c r="BM180" s="48"/>
      <c r="BN180" s="48"/>
      <c r="BO180" s="48"/>
      <c r="BP180" s="48"/>
      <c r="BQ180" s="48"/>
      <c r="BR180" s="48"/>
      <c r="BS180" s="48"/>
      <c r="BT180" s="48"/>
      <c r="BU180" s="48"/>
      <c r="BV180" s="48"/>
      <c r="BW180" s="48"/>
      <c r="BX180" s="48"/>
      <c r="BY180" s="48"/>
      <c r="BZ180" s="48"/>
      <c r="CA180" s="48"/>
      <c r="CB180" s="48"/>
      <c r="CC180" s="48"/>
      <c r="CD180" s="48"/>
      <c r="CE180" s="48"/>
      <c r="CF180" s="48"/>
      <c r="CG180" s="48"/>
      <c r="CH180" s="48"/>
      <c r="CI180" s="48"/>
      <c r="CJ180" s="48"/>
      <c r="CK180" s="48"/>
      <c r="CL180" s="48"/>
      <c r="CM180" s="48"/>
      <c r="CN180" s="48"/>
      <c r="CO180" s="48"/>
      <c r="CP180" s="48"/>
      <c r="CQ180" s="48"/>
      <c r="CR180" s="48"/>
      <c r="CS180" s="48"/>
      <c r="CT180" s="48"/>
      <c r="CU180" s="48"/>
      <c r="CV180" s="48"/>
      <c r="CW180" s="48"/>
      <c r="CX180" s="48"/>
      <c r="CY180" s="48"/>
      <c r="CZ180" s="48"/>
      <c r="DA180" s="48"/>
      <c r="DB180" s="48"/>
      <c r="DC180" s="48"/>
      <c r="DD180" s="48"/>
      <c r="DE180" s="48"/>
      <c r="DF180" s="48"/>
      <c r="DG180" s="48"/>
      <c r="DH180" s="48"/>
      <c r="DI180" s="48"/>
      <c r="DJ180" s="48"/>
      <c r="DK180" s="48"/>
      <c r="DL180" s="48"/>
      <c r="DM180" s="48"/>
      <c r="DN180" s="48"/>
      <c r="DO180" s="48"/>
      <c r="DP180" s="48"/>
    </row>
    <row r="181" spans="2:120" x14ac:dyDescent="0.2">
      <c r="B181" s="48"/>
      <c r="C181" s="144"/>
      <c r="D181" s="48"/>
      <c r="E181" s="48"/>
      <c r="F181" s="48"/>
      <c r="G181" s="48"/>
      <c r="H181" s="48"/>
      <c r="I181" s="48"/>
      <c r="J181" s="48"/>
      <c r="K181" s="48"/>
      <c r="L181" s="48"/>
      <c r="M181" s="238">
        <v>79</v>
      </c>
      <c r="N181" s="234" t="s">
        <v>1236</v>
      </c>
      <c r="O181" s="239">
        <f>COUNTIFS(Tabulacao!$CY:$CY,EmpAtual!$N$101,Tabulacao!$DA:$DA,EmpAtual!N181)</f>
        <v>0</v>
      </c>
      <c r="P181" s="240">
        <f t="shared" si="73"/>
        <v>0</v>
      </c>
      <c r="Q181" s="48"/>
      <c r="R181" s="48"/>
      <c r="S181" s="48"/>
      <c r="T181" s="48"/>
      <c r="U181" s="48"/>
      <c r="V181" s="48"/>
      <c r="W181" s="168" t="s">
        <v>124</v>
      </c>
      <c r="X181" s="179">
        <v>7500</v>
      </c>
      <c r="Y181" s="168"/>
      <c r="Z181" s="168"/>
      <c r="AA181" s="168"/>
      <c r="AB181" s="48"/>
      <c r="AC181" s="48"/>
      <c r="AD181" s="48"/>
      <c r="AE181" s="48"/>
      <c r="AF181" s="48"/>
      <c r="AG181" s="48"/>
      <c r="AH181" s="48"/>
      <c r="AI181" s="48"/>
      <c r="AJ181" s="48"/>
      <c r="AK181" s="48"/>
      <c r="AL181" s="48"/>
      <c r="AM181" s="48"/>
      <c r="AN181" s="48"/>
      <c r="AO181" s="48"/>
      <c r="AP181" s="48"/>
      <c r="AQ181" s="48"/>
      <c r="AR181" s="48"/>
      <c r="AS181" s="48"/>
      <c r="AT181" s="48"/>
      <c r="AU181" s="48"/>
      <c r="AV181" s="48"/>
      <c r="AW181" s="48"/>
      <c r="AX181" s="48"/>
      <c r="AY181" s="48"/>
      <c r="AZ181" s="48"/>
      <c r="BA181" s="48"/>
      <c r="BB181" s="48"/>
      <c r="BC181" s="48"/>
      <c r="BD181" s="48"/>
      <c r="BE181" s="48"/>
      <c r="BF181" s="48"/>
      <c r="BG181" s="48"/>
      <c r="BH181" s="48"/>
      <c r="BI181" s="48"/>
      <c r="BJ181" s="48"/>
      <c r="BK181" s="48"/>
      <c r="BL181" s="48"/>
      <c r="BM181" s="48"/>
      <c r="BN181" s="48"/>
      <c r="BO181" s="48"/>
      <c r="BP181" s="48"/>
      <c r="BQ181" s="48"/>
      <c r="BR181" s="48"/>
      <c r="BS181" s="48"/>
      <c r="BT181" s="48"/>
      <c r="BU181" s="48"/>
      <c r="BV181" s="48"/>
      <c r="BW181" s="48"/>
      <c r="BX181" s="48"/>
      <c r="BY181" s="48"/>
      <c r="BZ181" s="48"/>
      <c r="CA181" s="48"/>
      <c r="CB181" s="48"/>
      <c r="CC181" s="48"/>
      <c r="CD181" s="48"/>
      <c r="CE181" s="48"/>
      <c r="CF181" s="48"/>
      <c r="CG181" s="48"/>
      <c r="CH181" s="48"/>
      <c r="CI181" s="48"/>
      <c r="CJ181" s="48"/>
      <c r="CK181" s="48"/>
      <c r="CL181" s="48"/>
      <c r="CM181" s="48"/>
      <c r="CN181" s="48"/>
      <c r="CO181" s="48"/>
      <c r="CP181" s="48"/>
      <c r="CQ181" s="48"/>
      <c r="CR181" s="48"/>
      <c r="CS181" s="48"/>
      <c r="CT181" s="48"/>
      <c r="CU181" s="48"/>
      <c r="CV181" s="48"/>
      <c r="CW181" s="48"/>
      <c r="CX181" s="48"/>
      <c r="CY181" s="48"/>
      <c r="CZ181" s="48"/>
      <c r="DA181" s="48"/>
      <c r="DB181" s="48"/>
      <c r="DC181" s="48"/>
      <c r="DD181" s="48"/>
      <c r="DE181" s="48"/>
      <c r="DF181" s="48"/>
      <c r="DG181" s="48"/>
      <c r="DH181" s="48"/>
      <c r="DI181" s="48"/>
      <c r="DJ181" s="48"/>
      <c r="DK181" s="48"/>
      <c r="DL181" s="48"/>
      <c r="DM181" s="48"/>
      <c r="DN181" s="48"/>
      <c r="DO181" s="48"/>
      <c r="DP181" s="48"/>
    </row>
    <row r="182" spans="2:120" x14ac:dyDescent="0.2">
      <c r="B182" s="48"/>
      <c r="C182" s="144"/>
      <c r="D182" s="48"/>
      <c r="E182" s="48"/>
      <c r="F182" s="48"/>
      <c r="G182" s="48"/>
      <c r="H182" s="48"/>
      <c r="I182" s="48"/>
      <c r="J182" s="48"/>
      <c r="K182" s="48"/>
      <c r="L182" s="48"/>
      <c r="M182" s="238">
        <v>80</v>
      </c>
      <c r="N182" s="234" t="s">
        <v>1114</v>
      </c>
      <c r="O182" s="239">
        <f>COUNTIFS(Tabulacao!$CY:$CY,EmpAtual!$N$101,Tabulacao!$DA:$DA,EmpAtual!N182)</f>
        <v>0</v>
      </c>
      <c r="P182" s="240">
        <f t="shared" si="73"/>
        <v>0</v>
      </c>
      <c r="Q182" s="48"/>
      <c r="R182" s="48"/>
      <c r="S182" s="48"/>
      <c r="T182" s="48"/>
      <c r="U182" s="48"/>
      <c r="V182" s="48"/>
      <c r="W182" s="168" t="s">
        <v>124</v>
      </c>
      <c r="X182" s="179">
        <v>990</v>
      </c>
      <c r="Y182" s="168"/>
      <c r="Z182" s="168"/>
      <c r="AA182" s="168"/>
      <c r="AB182" s="48"/>
      <c r="AC182" s="48"/>
      <c r="AD182" s="48"/>
      <c r="AE182" s="48"/>
      <c r="AF182" s="48"/>
      <c r="AG182" s="48"/>
      <c r="AH182" s="48"/>
      <c r="AI182" s="48"/>
      <c r="AJ182" s="48"/>
      <c r="AK182" s="48"/>
      <c r="AL182" s="48"/>
      <c r="AM182" s="48"/>
      <c r="AN182" s="48"/>
      <c r="AO182" s="48"/>
      <c r="AP182" s="48"/>
      <c r="AQ182" s="48"/>
      <c r="AR182" s="48"/>
      <c r="AS182" s="48"/>
      <c r="AT182" s="48"/>
      <c r="AU182" s="48"/>
      <c r="AV182" s="48"/>
      <c r="AW182" s="48"/>
      <c r="AX182" s="48"/>
      <c r="AY182" s="48"/>
      <c r="AZ182" s="48"/>
      <c r="BA182" s="48"/>
      <c r="BB182" s="48"/>
      <c r="BC182" s="48"/>
      <c r="BD182" s="48"/>
      <c r="BE182" s="48"/>
      <c r="BF182" s="48"/>
      <c r="BG182" s="48"/>
      <c r="BH182" s="48"/>
      <c r="BI182" s="48"/>
      <c r="BJ182" s="48"/>
      <c r="BK182" s="48"/>
      <c r="BL182" s="48"/>
      <c r="BM182" s="48"/>
      <c r="BN182" s="48"/>
      <c r="BO182" s="48"/>
      <c r="BP182" s="48"/>
      <c r="BQ182" s="48"/>
      <c r="BR182" s="48"/>
      <c r="BS182" s="48"/>
      <c r="BT182" s="48"/>
      <c r="BU182" s="48"/>
      <c r="BV182" s="48"/>
      <c r="BW182" s="48"/>
      <c r="BX182" s="48"/>
      <c r="BY182" s="48"/>
      <c r="BZ182" s="48"/>
      <c r="CA182" s="48"/>
      <c r="CB182" s="48"/>
      <c r="CC182" s="48"/>
      <c r="CD182" s="48"/>
      <c r="CE182" s="48"/>
      <c r="CF182" s="48"/>
      <c r="CG182" s="48"/>
      <c r="CH182" s="48"/>
      <c r="CI182" s="48"/>
      <c r="CJ182" s="48"/>
      <c r="CK182" s="48"/>
      <c r="CL182" s="48"/>
      <c r="CM182" s="48"/>
      <c r="CN182" s="48"/>
      <c r="CO182" s="48"/>
      <c r="CP182" s="48"/>
      <c r="CQ182" s="48"/>
      <c r="CR182" s="48"/>
      <c r="CS182" s="48"/>
      <c r="CT182" s="48"/>
      <c r="CU182" s="48"/>
      <c r="CV182" s="48"/>
      <c r="CW182" s="48"/>
      <c r="CX182" s="48"/>
      <c r="CY182" s="48"/>
      <c r="CZ182" s="48"/>
      <c r="DA182" s="48"/>
      <c r="DB182" s="48"/>
      <c r="DC182" s="48"/>
      <c r="DD182" s="48"/>
      <c r="DE182" s="48"/>
      <c r="DF182" s="48"/>
      <c r="DG182" s="48"/>
      <c r="DH182" s="48"/>
      <c r="DI182" s="48"/>
      <c r="DJ182" s="48"/>
      <c r="DK182" s="48"/>
      <c r="DL182" s="48"/>
      <c r="DM182" s="48"/>
      <c r="DN182" s="48"/>
      <c r="DO182" s="48"/>
      <c r="DP182" s="48"/>
    </row>
    <row r="183" spans="2:120" x14ac:dyDescent="0.2">
      <c r="B183" s="48"/>
      <c r="C183" s="144"/>
      <c r="D183" s="48"/>
      <c r="E183" s="48"/>
      <c r="F183" s="48"/>
      <c r="G183" s="48"/>
      <c r="H183" s="48"/>
      <c r="I183" s="48"/>
      <c r="J183" s="48"/>
      <c r="K183" s="48"/>
      <c r="L183" s="48"/>
      <c r="M183" s="238">
        <v>81</v>
      </c>
      <c r="N183" s="234" t="s">
        <v>1237</v>
      </c>
      <c r="O183" s="239">
        <f>COUNTIFS(Tabulacao!$CY:$CY,EmpAtual!$N$101,Tabulacao!$DA:$DA,EmpAtual!N183)</f>
        <v>0</v>
      </c>
      <c r="P183" s="240">
        <f t="shared" si="73"/>
        <v>0</v>
      </c>
      <c r="Q183" s="48"/>
      <c r="R183" s="48"/>
      <c r="S183" s="48"/>
      <c r="T183" s="48"/>
      <c r="U183" s="48"/>
      <c r="V183" s="48"/>
      <c r="W183" s="168" t="s">
        <v>124</v>
      </c>
      <c r="X183" s="179">
        <v>7300</v>
      </c>
      <c r="Y183" s="168"/>
      <c r="Z183" s="168"/>
      <c r="AA183" s="168"/>
      <c r="AB183" s="48"/>
      <c r="AC183" s="48"/>
      <c r="AD183" s="48"/>
      <c r="AE183" s="48"/>
      <c r="AF183" s="48"/>
      <c r="AG183" s="48"/>
      <c r="AH183" s="48"/>
      <c r="AI183" s="48"/>
      <c r="AJ183" s="48"/>
      <c r="AK183" s="48"/>
      <c r="AL183" s="48"/>
      <c r="AM183" s="48"/>
      <c r="AN183" s="48"/>
      <c r="AO183" s="48"/>
      <c r="AP183" s="48"/>
      <c r="AQ183" s="48"/>
      <c r="AR183" s="48"/>
      <c r="AS183" s="48"/>
      <c r="AT183" s="48"/>
      <c r="AU183" s="48"/>
      <c r="AV183" s="48"/>
      <c r="AW183" s="48"/>
      <c r="AX183" s="48"/>
      <c r="AY183" s="48"/>
      <c r="AZ183" s="48"/>
      <c r="BA183" s="48"/>
      <c r="BB183" s="48"/>
      <c r="BC183" s="48"/>
      <c r="BD183" s="48"/>
      <c r="BE183" s="48"/>
      <c r="BF183" s="48"/>
      <c r="BG183" s="48"/>
      <c r="BH183" s="48"/>
      <c r="BI183" s="48"/>
      <c r="BJ183" s="48"/>
      <c r="BK183" s="48"/>
      <c r="BL183" s="48"/>
      <c r="BM183" s="48"/>
      <c r="BN183" s="48"/>
      <c r="BO183" s="48"/>
      <c r="BP183" s="48"/>
      <c r="BQ183" s="48"/>
      <c r="BR183" s="48"/>
      <c r="BS183" s="48"/>
      <c r="BT183" s="48"/>
      <c r="BU183" s="48"/>
      <c r="BV183" s="48"/>
      <c r="BW183" s="48"/>
      <c r="BX183" s="48"/>
      <c r="BY183" s="48"/>
      <c r="BZ183" s="48"/>
      <c r="CA183" s="48"/>
      <c r="CB183" s="48"/>
      <c r="CC183" s="48"/>
      <c r="CD183" s="48"/>
      <c r="CE183" s="48"/>
      <c r="CF183" s="48"/>
      <c r="CG183" s="48"/>
      <c r="CH183" s="48"/>
      <c r="CI183" s="48"/>
      <c r="CJ183" s="48"/>
      <c r="CK183" s="48"/>
      <c r="CL183" s="48"/>
      <c r="CM183" s="48"/>
      <c r="CN183" s="48"/>
      <c r="CO183" s="48"/>
      <c r="CP183" s="48"/>
      <c r="CQ183" s="48"/>
      <c r="CR183" s="48"/>
      <c r="CS183" s="48"/>
      <c r="CT183" s="48"/>
      <c r="CU183" s="48"/>
      <c r="CV183" s="48"/>
      <c r="CW183" s="48"/>
      <c r="CX183" s="48"/>
      <c r="CY183" s="48"/>
      <c r="CZ183" s="48"/>
      <c r="DA183" s="48"/>
      <c r="DB183" s="48"/>
      <c r="DC183" s="48"/>
      <c r="DD183" s="48"/>
      <c r="DE183" s="48"/>
      <c r="DF183" s="48"/>
      <c r="DG183" s="48"/>
      <c r="DH183" s="48"/>
      <c r="DI183" s="48"/>
      <c r="DJ183" s="48"/>
      <c r="DK183" s="48"/>
      <c r="DL183" s="48"/>
      <c r="DM183" s="48"/>
      <c r="DN183" s="48"/>
      <c r="DO183" s="48"/>
      <c r="DP183" s="48"/>
    </row>
    <row r="184" spans="2:120" x14ac:dyDescent="0.2">
      <c r="B184" s="48"/>
      <c r="C184" s="144"/>
      <c r="D184" s="48"/>
      <c r="E184" s="48"/>
      <c r="F184" s="48"/>
      <c r="G184" s="48"/>
      <c r="H184" s="48"/>
      <c r="I184" s="48"/>
      <c r="J184" s="48"/>
      <c r="K184" s="48"/>
      <c r="L184" s="48"/>
      <c r="M184" s="238">
        <v>82</v>
      </c>
      <c r="N184" s="234" t="s">
        <v>1238</v>
      </c>
      <c r="O184" s="239">
        <f>COUNTIFS(Tabulacao!$CY:$CY,EmpAtual!$N$101,Tabulacao!$DA:$DA,EmpAtual!N184)</f>
        <v>0</v>
      </c>
      <c r="P184" s="240">
        <f t="shared" si="73"/>
        <v>0</v>
      </c>
      <c r="Q184" s="48"/>
      <c r="R184" s="48"/>
      <c r="S184" s="48"/>
      <c r="T184" s="48"/>
      <c r="U184" s="48"/>
      <c r="V184" s="48"/>
      <c r="W184" s="168" t="s">
        <v>124</v>
      </c>
      <c r="X184" s="179">
        <v>4770</v>
      </c>
      <c r="Y184" s="168"/>
      <c r="Z184" s="168"/>
      <c r="AA184" s="168"/>
      <c r="AB184" s="48"/>
      <c r="AC184" s="48"/>
      <c r="AD184" s="48"/>
      <c r="AE184" s="48"/>
      <c r="AF184" s="48"/>
      <c r="AG184" s="48"/>
      <c r="AH184" s="48"/>
      <c r="AI184" s="48"/>
      <c r="AJ184" s="48"/>
      <c r="AK184" s="48"/>
      <c r="AL184" s="48"/>
      <c r="AM184" s="48"/>
      <c r="AN184" s="48"/>
      <c r="AO184" s="48"/>
      <c r="AP184" s="48"/>
      <c r="AQ184" s="48"/>
      <c r="AR184" s="48"/>
      <c r="AS184" s="48"/>
      <c r="AT184" s="48"/>
      <c r="AU184" s="48"/>
      <c r="AV184" s="48"/>
      <c r="AW184" s="48"/>
      <c r="AX184" s="48"/>
      <c r="AY184" s="48"/>
      <c r="AZ184" s="48"/>
      <c r="BA184" s="48"/>
      <c r="BB184" s="48"/>
      <c r="BC184" s="48"/>
      <c r="BD184" s="48"/>
      <c r="BE184" s="48"/>
      <c r="BF184" s="48"/>
      <c r="BG184" s="48"/>
      <c r="BH184" s="48"/>
      <c r="BI184" s="48"/>
      <c r="BJ184" s="48"/>
      <c r="BK184" s="48"/>
      <c r="BL184" s="48"/>
      <c r="BM184" s="48"/>
      <c r="BN184" s="48"/>
      <c r="BO184" s="48"/>
      <c r="BP184" s="48"/>
      <c r="BQ184" s="48"/>
      <c r="BR184" s="48"/>
      <c r="BS184" s="48"/>
      <c r="BT184" s="48"/>
      <c r="BU184" s="48"/>
      <c r="BV184" s="48"/>
      <c r="BW184" s="48"/>
      <c r="BX184" s="48"/>
      <c r="BY184" s="48"/>
      <c r="BZ184" s="48"/>
      <c r="CA184" s="48"/>
      <c r="CB184" s="48"/>
      <c r="CC184" s="48"/>
      <c r="CD184" s="48"/>
      <c r="CE184" s="48"/>
      <c r="CF184" s="48"/>
      <c r="CG184" s="48"/>
      <c r="CH184" s="48"/>
      <c r="CI184" s="48"/>
      <c r="CJ184" s="48"/>
      <c r="CK184" s="48"/>
      <c r="CL184" s="48"/>
      <c r="CM184" s="48"/>
      <c r="CN184" s="48"/>
      <c r="CO184" s="48"/>
      <c r="CP184" s="48"/>
      <c r="CQ184" s="48"/>
      <c r="CR184" s="48"/>
      <c r="CS184" s="48"/>
      <c r="CT184" s="48"/>
      <c r="CU184" s="48"/>
      <c r="CV184" s="48"/>
      <c r="CW184" s="48"/>
      <c r="CX184" s="48"/>
      <c r="CY184" s="48"/>
      <c r="CZ184" s="48"/>
      <c r="DA184" s="48"/>
      <c r="DB184" s="48"/>
      <c r="DC184" s="48"/>
      <c r="DD184" s="48"/>
      <c r="DE184" s="48"/>
      <c r="DF184" s="48"/>
      <c r="DG184" s="48"/>
      <c r="DH184" s="48"/>
      <c r="DI184" s="48"/>
      <c r="DJ184" s="48"/>
      <c r="DK184" s="48"/>
      <c r="DL184" s="48"/>
      <c r="DM184" s="48"/>
      <c r="DN184" s="48"/>
      <c r="DO184" s="48"/>
      <c r="DP184" s="48"/>
    </row>
    <row r="185" spans="2:120" x14ac:dyDescent="0.2">
      <c r="B185" s="48"/>
      <c r="C185" s="144"/>
      <c r="D185" s="48"/>
      <c r="E185" s="48"/>
      <c r="F185" s="48"/>
      <c r="G185" s="48"/>
      <c r="H185" s="48"/>
      <c r="I185" s="48"/>
      <c r="J185" s="48"/>
      <c r="K185" s="48"/>
      <c r="L185" s="48"/>
      <c r="M185" s="238">
        <v>83</v>
      </c>
      <c r="N185" s="234" t="s">
        <v>1147</v>
      </c>
      <c r="O185" s="239">
        <f>COUNTIFS(Tabulacao!$CY:$CY,EmpAtual!$N$101,Tabulacao!$DA:$DA,EmpAtual!N185)</f>
        <v>0</v>
      </c>
      <c r="P185" s="240">
        <f t="shared" si="73"/>
        <v>0</v>
      </c>
      <c r="Q185" s="48"/>
      <c r="R185" s="48"/>
      <c r="S185" s="48"/>
      <c r="T185" s="48"/>
      <c r="U185" s="48"/>
      <c r="V185" s="48"/>
      <c r="W185" s="168" t="s">
        <v>124</v>
      </c>
      <c r="X185" s="179">
        <v>2000</v>
      </c>
      <c r="Y185" s="168"/>
      <c r="Z185" s="168"/>
      <c r="AA185" s="168"/>
      <c r="AB185" s="48"/>
      <c r="AC185" s="48"/>
      <c r="AD185" s="48"/>
      <c r="AE185" s="48"/>
      <c r="AF185" s="48"/>
      <c r="AG185" s="48"/>
      <c r="AH185" s="48"/>
      <c r="AI185" s="48"/>
      <c r="AJ185" s="48"/>
      <c r="AK185" s="48"/>
      <c r="AL185" s="48"/>
      <c r="AM185" s="48"/>
      <c r="AN185" s="48"/>
      <c r="AO185" s="48"/>
      <c r="AP185" s="48"/>
      <c r="AQ185" s="48"/>
      <c r="AR185" s="48"/>
      <c r="AS185" s="48"/>
      <c r="AT185" s="48"/>
      <c r="AU185" s="48"/>
      <c r="AV185" s="48"/>
      <c r="AW185" s="48"/>
      <c r="AX185" s="48"/>
      <c r="AY185" s="48"/>
      <c r="AZ185" s="48"/>
      <c r="BA185" s="48"/>
      <c r="BB185" s="48"/>
      <c r="BC185" s="48"/>
      <c r="BD185" s="48"/>
      <c r="BE185" s="48"/>
      <c r="BF185" s="48"/>
      <c r="BG185" s="48"/>
      <c r="BH185" s="48"/>
      <c r="BI185" s="48"/>
      <c r="BJ185" s="48"/>
      <c r="BK185" s="48"/>
      <c r="BL185" s="48"/>
      <c r="BM185" s="48"/>
      <c r="BN185" s="48"/>
      <c r="BO185" s="48"/>
      <c r="BP185" s="48"/>
      <c r="BQ185" s="48"/>
      <c r="BR185" s="48"/>
      <c r="BS185" s="48"/>
      <c r="BT185" s="48"/>
      <c r="BU185" s="48"/>
      <c r="BV185" s="48"/>
      <c r="BW185" s="48"/>
      <c r="BX185" s="48"/>
      <c r="BY185" s="48"/>
      <c r="BZ185" s="48"/>
      <c r="CA185" s="48"/>
      <c r="CB185" s="48"/>
      <c r="CC185" s="48"/>
      <c r="CD185" s="48"/>
      <c r="CE185" s="48"/>
      <c r="CF185" s="48"/>
      <c r="CG185" s="48"/>
      <c r="CH185" s="48"/>
      <c r="CI185" s="48"/>
      <c r="CJ185" s="48"/>
      <c r="CK185" s="48"/>
      <c r="CL185" s="48"/>
      <c r="CM185" s="48"/>
      <c r="CN185" s="48"/>
      <c r="CO185" s="48"/>
      <c r="CP185" s="48"/>
      <c r="CQ185" s="48"/>
      <c r="CR185" s="48"/>
      <c r="CS185" s="48"/>
      <c r="CT185" s="48"/>
      <c r="CU185" s="48"/>
      <c r="CV185" s="48"/>
      <c r="CW185" s="48"/>
      <c r="CX185" s="48"/>
      <c r="CY185" s="48"/>
      <c r="CZ185" s="48"/>
      <c r="DA185" s="48"/>
      <c r="DB185" s="48"/>
      <c r="DC185" s="48"/>
      <c r="DD185" s="48"/>
      <c r="DE185" s="48"/>
      <c r="DF185" s="48"/>
      <c r="DG185" s="48"/>
      <c r="DH185" s="48"/>
      <c r="DI185" s="48"/>
      <c r="DJ185" s="48"/>
      <c r="DK185" s="48"/>
      <c r="DL185" s="48"/>
      <c r="DM185" s="48"/>
      <c r="DN185" s="48"/>
      <c r="DO185" s="48"/>
      <c r="DP185" s="48"/>
    </row>
    <row r="186" spans="2:120" x14ac:dyDescent="0.2">
      <c r="B186" s="48"/>
      <c r="C186" s="144"/>
      <c r="D186" s="48"/>
      <c r="E186" s="48"/>
      <c r="F186" s="48"/>
      <c r="G186" s="48"/>
      <c r="H186" s="48"/>
      <c r="I186" s="48"/>
      <c r="J186" s="48"/>
      <c r="K186" s="48"/>
      <c r="L186" s="48"/>
      <c r="M186" s="238">
        <v>84</v>
      </c>
      <c r="N186" s="234" t="s">
        <v>1239</v>
      </c>
      <c r="O186" s="239">
        <f>COUNTIFS(Tabulacao!$CY:$CY,EmpAtual!$N$101,Tabulacao!$DA:$DA,EmpAtual!N186)</f>
        <v>0</v>
      </c>
      <c r="P186" s="240">
        <f t="shared" si="73"/>
        <v>0</v>
      </c>
      <c r="Q186" s="48"/>
      <c r="R186" s="48"/>
      <c r="S186" s="48"/>
      <c r="T186" s="48"/>
      <c r="U186" s="48"/>
      <c r="V186" s="48"/>
      <c r="W186" s="168" t="s">
        <v>124</v>
      </c>
      <c r="X186" s="179">
        <v>1350</v>
      </c>
      <c r="Y186" s="168"/>
      <c r="Z186" s="168"/>
      <c r="AA186" s="168"/>
      <c r="AB186" s="48"/>
      <c r="AC186" s="48"/>
      <c r="AD186" s="48"/>
      <c r="AE186" s="48"/>
      <c r="AF186" s="48"/>
      <c r="AG186" s="48"/>
      <c r="AH186" s="48"/>
      <c r="AI186" s="48"/>
      <c r="AJ186" s="48"/>
      <c r="AK186" s="48"/>
      <c r="AL186" s="48"/>
      <c r="AM186" s="48"/>
      <c r="AN186" s="48"/>
      <c r="AO186" s="48"/>
      <c r="AP186" s="48"/>
      <c r="AQ186" s="48"/>
      <c r="AR186" s="48"/>
      <c r="AS186" s="48"/>
      <c r="AT186" s="48"/>
      <c r="AU186" s="48"/>
      <c r="AV186" s="48"/>
      <c r="AW186" s="48"/>
      <c r="AX186" s="48"/>
      <c r="AY186" s="48"/>
      <c r="AZ186" s="48"/>
      <c r="BA186" s="48"/>
      <c r="BB186" s="48"/>
      <c r="BC186" s="48"/>
      <c r="BD186" s="48"/>
      <c r="BE186" s="48"/>
      <c r="BF186" s="48"/>
      <c r="BG186" s="48"/>
      <c r="BH186" s="48"/>
      <c r="BI186" s="48"/>
      <c r="BJ186" s="48"/>
      <c r="BK186" s="48"/>
      <c r="BL186" s="48"/>
      <c r="BM186" s="48"/>
      <c r="BN186" s="48"/>
      <c r="BO186" s="48"/>
      <c r="BP186" s="48"/>
      <c r="BQ186" s="48"/>
      <c r="BR186" s="48"/>
      <c r="BS186" s="48"/>
      <c r="BT186" s="48"/>
      <c r="BU186" s="48"/>
      <c r="BV186" s="48"/>
      <c r="BW186" s="48"/>
      <c r="BX186" s="48"/>
      <c r="BY186" s="48"/>
      <c r="BZ186" s="48"/>
      <c r="CA186" s="48"/>
      <c r="CB186" s="48"/>
      <c r="CC186" s="48"/>
      <c r="CD186" s="48"/>
      <c r="CE186" s="48"/>
      <c r="CF186" s="48"/>
      <c r="CG186" s="48"/>
      <c r="CH186" s="48"/>
      <c r="CI186" s="48"/>
      <c r="CJ186" s="48"/>
      <c r="CK186" s="48"/>
      <c r="CL186" s="48"/>
      <c r="CM186" s="48"/>
      <c r="CN186" s="48"/>
      <c r="CO186" s="48"/>
      <c r="CP186" s="48"/>
      <c r="CQ186" s="48"/>
      <c r="CR186" s="48"/>
      <c r="CS186" s="48"/>
      <c r="CT186" s="48"/>
      <c r="CU186" s="48"/>
      <c r="CV186" s="48"/>
      <c r="CW186" s="48"/>
      <c r="CX186" s="48"/>
      <c r="CY186" s="48"/>
      <c r="CZ186" s="48"/>
      <c r="DA186" s="48"/>
      <c r="DB186" s="48"/>
      <c r="DC186" s="48"/>
      <c r="DD186" s="48"/>
      <c r="DE186" s="48"/>
      <c r="DF186" s="48"/>
      <c r="DG186" s="48"/>
      <c r="DH186" s="48"/>
      <c r="DI186" s="48"/>
      <c r="DJ186" s="48"/>
      <c r="DK186" s="48"/>
      <c r="DL186" s="48"/>
      <c r="DM186" s="48"/>
      <c r="DN186" s="48"/>
      <c r="DO186" s="48"/>
      <c r="DP186" s="48"/>
    </row>
    <row r="187" spans="2:120" x14ac:dyDescent="0.2">
      <c r="B187" s="48"/>
      <c r="C187" s="144"/>
      <c r="D187" s="48"/>
      <c r="E187" s="48"/>
      <c r="F187" s="48"/>
      <c r="G187" s="48"/>
      <c r="H187" s="48"/>
      <c r="I187" s="48"/>
      <c r="J187" s="48"/>
      <c r="K187" s="48"/>
      <c r="L187" s="48"/>
      <c r="M187" s="238">
        <v>85</v>
      </c>
      <c r="N187" s="234" t="s">
        <v>925</v>
      </c>
      <c r="O187" s="239">
        <f>COUNTIFS(Tabulacao!$CY:$CY,EmpAtual!$N$101,Tabulacao!$DA:$DA,EmpAtual!N187)</f>
        <v>0</v>
      </c>
      <c r="P187" s="240">
        <f t="shared" si="73"/>
        <v>0</v>
      </c>
      <c r="Q187" s="48"/>
      <c r="R187" s="48"/>
      <c r="S187" s="48"/>
      <c r="T187" s="48"/>
      <c r="U187" s="48"/>
      <c r="V187" s="48"/>
      <c r="W187" s="168" t="s">
        <v>124</v>
      </c>
      <c r="X187" s="179">
        <v>2100</v>
      </c>
      <c r="Y187" s="168"/>
      <c r="Z187" s="168"/>
      <c r="AA187" s="168"/>
      <c r="AB187" s="48"/>
      <c r="AC187" s="48"/>
      <c r="AD187" s="48"/>
      <c r="AE187" s="48"/>
      <c r="AF187" s="48"/>
      <c r="AG187" s="48"/>
      <c r="AH187" s="48"/>
      <c r="AI187" s="48"/>
      <c r="AJ187" s="48"/>
      <c r="AK187" s="48"/>
      <c r="AL187" s="48"/>
      <c r="AM187" s="48"/>
      <c r="AN187" s="48"/>
      <c r="AO187" s="48"/>
      <c r="AP187" s="48"/>
      <c r="AQ187" s="48"/>
      <c r="AR187" s="48"/>
      <c r="AS187" s="48"/>
      <c r="AT187" s="48"/>
      <c r="AU187" s="48"/>
      <c r="AV187" s="48"/>
      <c r="AW187" s="48"/>
      <c r="AX187" s="48"/>
      <c r="AY187" s="48"/>
      <c r="AZ187" s="48"/>
      <c r="BA187" s="48"/>
      <c r="BB187" s="48"/>
      <c r="BC187" s="48"/>
      <c r="BD187" s="48"/>
      <c r="BE187" s="48"/>
      <c r="BF187" s="48"/>
      <c r="BG187" s="48"/>
      <c r="BH187" s="48"/>
      <c r="BI187" s="48"/>
      <c r="BJ187" s="48"/>
      <c r="BK187" s="48"/>
      <c r="BL187" s="48"/>
      <c r="BM187" s="48"/>
      <c r="BN187" s="48"/>
      <c r="BO187" s="48"/>
      <c r="BP187" s="48"/>
      <c r="BQ187" s="48"/>
      <c r="BR187" s="48"/>
      <c r="BS187" s="48"/>
      <c r="BT187" s="48"/>
      <c r="BU187" s="48"/>
      <c r="BV187" s="48"/>
      <c r="BW187" s="48"/>
      <c r="BX187" s="48"/>
      <c r="BY187" s="48"/>
      <c r="BZ187" s="48"/>
      <c r="CA187" s="48"/>
      <c r="CB187" s="48"/>
      <c r="CC187" s="48"/>
      <c r="CD187" s="48"/>
      <c r="CE187" s="48"/>
      <c r="CF187" s="48"/>
      <c r="CG187" s="48"/>
      <c r="CH187" s="48"/>
      <c r="CI187" s="48"/>
      <c r="CJ187" s="48"/>
      <c r="CK187" s="48"/>
      <c r="CL187" s="48"/>
      <c r="CM187" s="48"/>
      <c r="CN187" s="48"/>
      <c r="CO187" s="48"/>
      <c r="CP187" s="48"/>
      <c r="CQ187" s="48"/>
      <c r="CR187" s="48"/>
      <c r="CS187" s="48"/>
      <c r="CT187" s="48"/>
      <c r="CU187" s="48"/>
      <c r="CV187" s="48"/>
      <c r="CW187" s="48"/>
      <c r="CX187" s="48"/>
      <c r="CY187" s="48"/>
      <c r="CZ187" s="48"/>
      <c r="DA187" s="48"/>
      <c r="DB187" s="48"/>
      <c r="DC187" s="48"/>
      <c r="DD187" s="48"/>
      <c r="DE187" s="48"/>
      <c r="DF187" s="48"/>
      <c r="DG187" s="48"/>
      <c r="DH187" s="48"/>
      <c r="DI187" s="48"/>
      <c r="DJ187" s="48"/>
      <c r="DK187" s="48"/>
      <c r="DL187" s="48"/>
      <c r="DM187" s="48"/>
      <c r="DN187" s="48"/>
      <c r="DO187" s="48"/>
      <c r="DP187" s="48"/>
    </row>
    <row r="188" spans="2:120" x14ac:dyDescent="0.2">
      <c r="B188" s="48"/>
      <c r="C188" s="144"/>
      <c r="D188" s="48"/>
      <c r="E188" s="48"/>
      <c r="F188" s="48"/>
      <c r="G188" s="48"/>
      <c r="H188" s="48"/>
      <c r="I188" s="48"/>
      <c r="J188" s="48"/>
      <c r="K188" s="48"/>
      <c r="L188" s="48"/>
      <c r="M188" s="238">
        <v>86</v>
      </c>
      <c r="N188" s="234" t="s">
        <v>1240</v>
      </c>
      <c r="O188" s="239">
        <f>COUNTIFS(Tabulacao!$CY:$CY,EmpAtual!$N$101,Tabulacao!$DA:$DA,EmpAtual!N188)</f>
        <v>0</v>
      </c>
      <c r="P188" s="240">
        <f t="shared" si="73"/>
        <v>0</v>
      </c>
      <c r="Q188" s="48"/>
      <c r="R188" s="48"/>
      <c r="S188" s="48"/>
      <c r="T188" s="48"/>
      <c r="U188" s="48"/>
      <c r="V188" s="48"/>
      <c r="W188" s="168" t="s">
        <v>124</v>
      </c>
      <c r="X188" s="179">
        <v>3600</v>
      </c>
      <c r="Y188" s="168"/>
      <c r="Z188" s="168"/>
      <c r="AA188" s="168"/>
      <c r="AB188" s="48"/>
      <c r="AC188" s="48"/>
      <c r="AD188" s="48"/>
      <c r="AE188" s="48"/>
      <c r="AF188" s="48"/>
      <c r="AG188" s="48"/>
      <c r="AH188" s="48"/>
      <c r="AI188" s="48"/>
      <c r="AJ188" s="48"/>
      <c r="AK188" s="48"/>
      <c r="AL188" s="48"/>
      <c r="AM188" s="48"/>
      <c r="AN188" s="48"/>
      <c r="AO188" s="48"/>
      <c r="AP188" s="48"/>
      <c r="AQ188" s="48"/>
      <c r="AR188" s="48"/>
      <c r="AS188" s="48"/>
      <c r="AT188" s="48"/>
      <c r="AU188" s="48"/>
      <c r="AV188" s="48"/>
      <c r="AW188" s="48"/>
      <c r="AX188" s="48"/>
      <c r="AY188" s="48"/>
      <c r="AZ188" s="48"/>
      <c r="BA188" s="48"/>
      <c r="BB188" s="48"/>
      <c r="BC188" s="48"/>
      <c r="BD188" s="48"/>
      <c r="BE188" s="48"/>
      <c r="BF188" s="48"/>
      <c r="BG188" s="48"/>
      <c r="BH188" s="48"/>
      <c r="BI188" s="48"/>
      <c r="BJ188" s="48"/>
      <c r="BK188" s="48"/>
      <c r="BL188" s="48"/>
      <c r="BM188" s="48"/>
      <c r="BN188" s="48"/>
      <c r="BO188" s="48"/>
      <c r="BP188" s="48"/>
      <c r="BQ188" s="48"/>
      <c r="BR188" s="48"/>
      <c r="BS188" s="48"/>
      <c r="BT188" s="48"/>
      <c r="BU188" s="48"/>
      <c r="BV188" s="48"/>
      <c r="BW188" s="48"/>
      <c r="BX188" s="48"/>
      <c r="BY188" s="48"/>
      <c r="BZ188" s="48"/>
      <c r="CA188" s="48"/>
      <c r="CB188" s="48"/>
      <c r="CC188" s="48"/>
      <c r="CD188" s="48"/>
      <c r="CE188" s="48"/>
      <c r="CF188" s="48"/>
      <c r="CG188" s="48"/>
      <c r="CH188" s="48"/>
      <c r="CI188" s="48"/>
      <c r="CJ188" s="48"/>
      <c r="CK188" s="48"/>
      <c r="CL188" s="48"/>
      <c r="CM188" s="48"/>
      <c r="CN188" s="48"/>
      <c r="CO188" s="48"/>
      <c r="CP188" s="48"/>
      <c r="CQ188" s="48"/>
      <c r="CR188" s="48"/>
      <c r="CS188" s="48"/>
      <c r="CT188" s="48"/>
      <c r="CU188" s="48"/>
      <c r="CV188" s="48"/>
      <c r="CW188" s="48"/>
      <c r="CX188" s="48"/>
      <c r="CY188" s="48"/>
      <c r="CZ188" s="48"/>
      <c r="DA188" s="48"/>
      <c r="DB188" s="48"/>
      <c r="DC188" s="48"/>
      <c r="DD188" s="48"/>
      <c r="DE188" s="48"/>
      <c r="DF188" s="48"/>
      <c r="DG188" s="48"/>
      <c r="DH188" s="48"/>
      <c r="DI188" s="48"/>
      <c r="DJ188" s="48"/>
      <c r="DK188" s="48"/>
      <c r="DL188" s="48"/>
      <c r="DM188" s="48"/>
      <c r="DN188" s="48"/>
      <c r="DO188" s="48"/>
      <c r="DP188" s="48"/>
    </row>
    <row r="189" spans="2:120" x14ac:dyDescent="0.2">
      <c r="B189" s="48"/>
      <c r="C189" s="144"/>
      <c r="D189" s="48"/>
      <c r="E189" s="48"/>
      <c r="F189" s="48"/>
      <c r="G189" s="48"/>
      <c r="H189" s="48"/>
      <c r="I189" s="48"/>
      <c r="J189" s="48"/>
      <c r="K189" s="48"/>
      <c r="L189" s="48"/>
      <c r="M189" s="241" t="s">
        <v>933</v>
      </c>
      <c r="N189" s="236" t="s">
        <v>621</v>
      </c>
      <c r="O189" s="241">
        <f>SUM(O103:O188)</f>
        <v>23</v>
      </c>
      <c r="P189" s="242">
        <f>SUM(P103:P188)</f>
        <v>0.99999999999999978</v>
      </c>
      <c r="Q189" s="48"/>
      <c r="R189" s="48"/>
      <c r="S189" s="48"/>
      <c r="T189" s="48"/>
      <c r="U189" s="48"/>
      <c r="V189" s="48"/>
      <c r="W189" s="168" t="s">
        <v>124</v>
      </c>
      <c r="X189" s="179">
        <v>2200</v>
      </c>
      <c r="Y189" s="168"/>
      <c r="Z189" s="168"/>
      <c r="AA189" s="168"/>
      <c r="AB189" s="48"/>
      <c r="AC189" s="48"/>
      <c r="AD189" s="48"/>
      <c r="AE189" s="48"/>
      <c r="AF189" s="48"/>
      <c r="AG189" s="48"/>
      <c r="AH189" s="48"/>
      <c r="AI189" s="48"/>
      <c r="AJ189" s="48"/>
      <c r="AK189" s="48"/>
      <c r="AL189" s="48"/>
      <c r="AM189" s="48"/>
      <c r="AN189" s="48"/>
      <c r="AO189" s="48"/>
      <c r="AP189" s="48"/>
      <c r="AQ189" s="48"/>
      <c r="AR189" s="48"/>
      <c r="AS189" s="48"/>
      <c r="AT189" s="48"/>
      <c r="AU189" s="48"/>
      <c r="AV189" s="48"/>
      <c r="AW189" s="48"/>
      <c r="AX189" s="48"/>
      <c r="AY189" s="48"/>
      <c r="AZ189" s="48"/>
      <c r="BA189" s="48"/>
      <c r="BB189" s="48"/>
      <c r="BC189" s="48"/>
      <c r="BD189" s="48"/>
      <c r="BE189" s="48"/>
      <c r="BF189" s="48"/>
      <c r="BG189" s="48"/>
      <c r="BH189" s="48"/>
      <c r="BI189" s="48"/>
      <c r="BJ189" s="48"/>
      <c r="BK189" s="48"/>
      <c r="BL189" s="48"/>
      <c r="BM189" s="48"/>
      <c r="BN189" s="48"/>
      <c r="BO189" s="48"/>
      <c r="BP189" s="48"/>
      <c r="BQ189" s="48"/>
      <c r="BR189" s="48"/>
      <c r="BS189" s="48"/>
      <c r="BT189" s="48"/>
      <c r="BU189" s="48"/>
      <c r="BV189" s="48"/>
      <c r="BW189" s="48"/>
      <c r="BX189" s="48"/>
      <c r="BY189" s="48"/>
      <c r="BZ189" s="48"/>
      <c r="CA189" s="48"/>
      <c r="CB189" s="48"/>
      <c r="CC189" s="48"/>
      <c r="CD189" s="48"/>
      <c r="CE189" s="48"/>
      <c r="CF189" s="48"/>
      <c r="CG189" s="48"/>
      <c r="CH189" s="48"/>
      <c r="CI189" s="48"/>
      <c r="CJ189" s="48"/>
      <c r="CK189" s="48"/>
      <c r="CL189" s="48"/>
      <c r="CM189" s="48"/>
      <c r="CN189" s="48"/>
      <c r="CO189" s="48"/>
      <c r="CP189" s="48"/>
      <c r="CQ189" s="48"/>
      <c r="CR189" s="48"/>
      <c r="CS189" s="48"/>
      <c r="CT189" s="48"/>
      <c r="CU189" s="48"/>
      <c r="CV189" s="48"/>
      <c r="CW189" s="48"/>
      <c r="CX189" s="48"/>
      <c r="CY189" s="48"/>
      <c r="CZ189" s="48"/>
      <c r="DA189" s="48"/>
      <c r="DB189" s="48"/>
      <c r="DC189" s="48"/>
      <c r="DD189" s="48"/>
      <c r="DE189" s="48"/>
      <c r="DF189" s="48"/>
      <c r="DG189" s="48"/>
      <c r="DH189" s="48"/>
      <c r="DI189" s="48"/>
      <c r="DJ189" s="48"/>
      <c r="DK189" s="48"/>
      <c r="DL189" s="48"/>
      <c r="DM189" s="48"/>
      <c r="DN189" s="48"/>
      <c r="DO189" s="48"/>
      <c r="DP189" s="48"/>
    </row>
    <row r="190" spans="2:120" x14ac:dyDescent="0.2">
      <c r="B190" s="48"/>
      <c r="C190" s="144"/>
      <c r="D190" s="48"/>
      <c r="E190" s="48"/>
      <c r="F190" s="48"/>
      <c r="G190" s="48"/>
      <c r="H190" s="48"/>
      <c r="I190" s="48"/>
      <c r="J190" s="48"/>
      <c r="K190" s="48"/>
      <c r="L190" s="48"/>
      <c r="M190" s="48"/>
      <c r="N190" s="48"/>
      <c r="O190" s="48"/>
      <c r="P190" s="48"/>
      <c r="Q190" s="48"/>
      <c r="R190" s="48"/>
      <c r="S190" s="48"/>
      <c r="T190" s="48"/>
      <c r="U190" s="48"/>
      <c r="V190" s="48"/>
      <c r="W190" s="168" t="s">
        <v>124</v>
      </c>
      <c r="X190" s="179">
        <v>2500</v>
      </c>
      <c r="Y190" s="168"/>
      <c r="Z190" s="168"/>
      <c r="AA190" s="168"/>
      <c r="AB190" s="48"/>
      <c r="AC190" s="48"/>
      <c r="AD190" s="48"/>
      <c r="AE190" s="48"/>
      <c r="AF190" s="48"/>
      <c r="AG190" s="48"/>
      <c r="AH190" s="48"/>
      <c r="AI190" s="48"/>
      <c r="AJ190" s="48"/>
      <c r="AK190" s="48"/>
      <c r="AL190" s="48"/>
      <c r="AM190" s="48"/>
      <c r="AN190" s="48"/>
      <c r="AO190" s="48"/>
      <c r="AP190" s="48"/>
      <c r="AQ190" s="48"/>
      <c r="AR190" s="48"/>
      <c r="AS190" s="48"/>
      <c r="AT190" s="48"/>
      <c r="AU190" s="48"/>
      <c r="AV190" s="48"/>
      <c r="AW190" s="48"/>
      <c r="AX190" s="48"/>
      <c r="AY190" s="48"/>
      <c r="AZ190" s="48"/>
      <c r="BA190" s="48"/>
      <c r="BB190" s="48"/>
      <c r="BC190" s="48"/>
      <c r="BD190" s="48"/>
      <c r="BE190" s="48"/>
      <c r="BF190" s="48"/>
      <c r="BG190" s="48"/>
      <c r="BH190" s="48"/>
      <c r="BI190" s="48"/>
      <c r="BJ190" s="48"/>
      <c r="BK190" s="48"/>
      <c r="BL190" s="48"/>
      <c r="BM190" s="48"/>
      <c r="BN190" s="48"/>
      <c r="BO190" s="48"/>
      <c r="BP190" s="48"/>
      <c r="BQ190" s="48"/>
      <c r="BR190" s="48"/>
      <c r="BS190" s="48"/>
      <c r="BT190" s="48"/>
      <c r="BU190" s="48"/>
      <c r="BV190" s="48"/>
      <c r="BW190" s="48"/>
      <c r="BX190" s="48"/>
      <c r="BY190" s="48"/>
      <c r="BZ190" s="48"/>
      <c r="CA190" s="48"/>
      <c r="CB190" s="48"/>
      <c r="CC190" s="48"/>
      <c r="CD190" s="48"/>
      <c r="CE190" s="48"/>
      <c r="CF190" s="48"/>
      <c r="CG190" s="48"/>
      <c r="CH190" s="48"/>
      <c r="CI190" s="48"/>
      <c r="CJ190" s="48"/>
      <c r="CK190" s="48"/>
      <c r="CL190" s="48"/>
      <c r="CM190" s="48"/>
      <c r="CN190" s="48"/>
      <c r="CO190" s="48"/>
      <c r="CP190" s="48"/>
      <c r="CQ190" s="48"/>
      <c r="CR190" s="48"/>
      <c r="CS190" s="48"/>
      <c r="CT190" s="48"/>
      <c r="CU190" s="48"/>
      <c r="CV190" s="48"/>
      <c r="CW190" s="48"/>
      <c r="CX190" s="48"/>
      <c r="CY190" s="48"/>
      <c r="CZ190" s="48"/>
      <c r="DA190" s="48"/>
      <c r="DB190" s="48"/>
      <c r="DC190" s="48"/>
      <c r="DD190" s="48"/>
      <c r="DE190" s="48"/>
      <c r="DF190" s="48"/>
      <c r="DG190" s="48"/>
      <c r="DH190" s="48"/>
      <c r="DI190" s="48"/>
      <c r="DJ190" s="48"/>
      <c r="DK190" s="48"/>
      <c r="DL190" s="48"/>
      <c r="DM190" s="48"/>
      <c r="DN190" s="48"/>
      <c r="DO190" s="48"/>
      <c r="DP190" s="48"/>
    </row>
    <row r="191" spans="2:120" x14ac:dyDescent="0.2">
      <c r="B191" s="48"/>
      <c r="C191" s="144"/>
      <c r="D191" s="48"/>
      <c r="E191" s="48"/>
      <c r="F191" s="48"/>
      <c r="G191" s="48"/>
      <c r="H191" s="48"/>
      <c r="I191" s="48"/>
      <c r="J191" s="48"/>
      <c r="K191" s="48"/>
      <c r="L191" s="48"/>
      <c r="M191" s="48"/>
      <c r="N191" s="48"/>
      <c r="O191" s="48"/>
      <c r="P191" s="48"/>
      <c r="Q191" s="48"/>
      <c r="R191" s="48"/>
      <c r="S191" s="48"/>
      <c r="T191" s="48"/>
      <c r="U191" s="48"/>
      <c r="V191" s="48"/>
      <c r="W191" s="168" t="s">
        <v>124</v>
      </c>
      <c r="X191" s="179">
        <v>3990</v>
      </c>
      <c r="Y191" s="168"/>
      <c r="Z191" s="168"/>
      <c r="AA191" s="168"/>
      <c r="AB191" s="48"/>
      <c r="AC191" s="48"/>
      <c r="AD191" s="48"/>
      <c r="AE191" s="48"/>
      <c r="AF191" s="48"/>
      <c r="AG191" s="48"/>
      <c r="AH191" s="48"/>
      <c r="AI191" s="48"/>
      <c r="AJ191" s="48"/>
      <c r="AK191" s="48"/>
      <c r="AL191" s="48"/>
      <c r="AM191" s="48"/>
      <c r="AN191" s="48"/>
      <c r="AO191" s="48"/>
      <c r="AP191" s="48"/>
      <c r="AQ191" s="48"/>
      <c r="AR191" s="48"/>
      <c r="AS191" s="48"/>
      <c r="AT191" s="48"/>
      <c r="AU191" s="48"/>
      <c r="AV191" s="48"/>
      <c r="AW191" s="48"/>
      <c r="AX191" s="48"/>
      <c r="AY191" s="48"/>
      <c r="AZ191" s="48"/>
      <c r="BA191" s="48"/>
      <c r="BB191" s="48"/>
      <c r="BC191" s="48"/>
      <c r="BD191" s="48"/>
      <c r="BE191" s="48"/>
      <c r="BF191" s="48"/>
      <c r="BG191" s="48"/>
      <c r="BH191" s="48"/>
      <c r="BI191" s="48"/>
      <c r="BJ191" s="48"/>
      <c r="BK191" s="48"/>
      <c r="BL191" s="48"/>
      <c r="BM191" s="48"/>
      <c r="BN191" s="48"/>
      <c r="BO191" s="48"/>
      <c r="BP191" s="48"/>
      <c r="BQ191" s="48"/>
      <c r="BR191" s="48"/>
      <c r="BS191" s="48"/>
      <c r="BT191" s="48"/>
      <c r="BU191" s="48"/>
      <c r="BV191" s="48"/>
      <c r="BW191" s="48"/>
      <c r="BX191" s="48"/>
      <c r="BY191" s="48"/>
      <c r="BZ191" s="48"/>
      <c r="CA191" s="48"/>
      <c r="CB191" s="48"/>
      <c r="CC191" s="48"/>
      <c r="CD191" s="48"/>
      <c r="CE191" s="48"/>
      <c r="CF191" s="48"/>
      <c r="CG191" s="48"/>
      <c r="CH191" s="48"/>
      <c r="CI191" s="48"/>
      <c r="CJ191" s="48"/>
      <c r="CK191" s="48"/>
      <c r="CL191" s="48"/>
      <c r="CM191" s="48"/>
      <c r="CN191" s="48"/>
      <c r="CO191" s="48"/>
      <c r="CP191" s="48"/>
      <c r="CQ191" s="48"/>
      <c r="CR191" s="48"/>
      <c r="CS191" s="48"/>
      <c r="CT191" s="48"/>
      <c r="CU191" s="48"/>
      <c r="CV191" s="48"/>
      <c r="CW191" s="48"/>
      <c r="CX191" s="48"/>
      <c r="CY191" s="48"/>
      <c r="CZ191" s="48"/>
      <c r="DA191" s="48"/>
      <c r="DB191" s="48"/>
      <c r="DC191" s="48"/>
      <c r="DD191" s="48"/>
      <c r="DE191" s="48"/>
      <c r="DF191" s="48"/>
      <c r="DG191" s="48"/>
      <c r="DH191" s="48"/>
      <c r="DI191" s="48"/>
      <c r="DJ191" s="48"/>
      <c r="DK191" s="48"/>
      <c r="DL191" s="48"/>
      <c r="DM191" s="48"/>
      <c r="DN191" s="48"/>
      <c r="DO191" s="48"/>
      <c r="DP191" s="48"/>
    </row>
    <row r="192" spans="2:120" x14ac:dyDescent="0.2">
      <c r="B192" s="48"/>
      <c r="C192" s="144"/>
      <c r="D192" s="48"/>
      <c r="E192" s="48"/>
      <c r="F192" s="48"/>
      <c r="G192" s="48"/>
      <c r="H192" s="48"/>
      <c r="I192" s="48"/>
      <c r="J192" s="48"/>
      <c r="K192" s="48"/>
      <c r="L192" s="48"/>
      <c r="M192" s="48"/>
      <c r="N192" s="48"/>
      <c r="O192" s="48"/>
      <c r="P192" s="48"/>
      <c r="Q192" s="48"/>
      <c r="R192" s="48"/>
      <c r="S192" s="48"/>
      <c r="T192" s="48"/>
      <c r="U192" s="48"/>
      <c r="V192" s="48"/>
      <c r="W192" s="168" t="s">
        <v>124</v>
      </c>
      <c r="X192" s="179">
        <v>3500</v>
      </c>
      <c r="Y192" s="168"/>
      <c r="Z192" s="168"/>
      <c r="AA192" s="168"/>
      <c r="AB192" s="48"/>
      <c r="AC192" s="48"/>
      <c r="AD192" s="48"/>
      <c r="AE192" s="48"/>
      <c r="AF192" s="48"/>
      <c r="AG192" s="48"/>
      <c r="AH192" s="48"/>
      <c r="AI192" s="48"/>
      <c r="AJ192" s="48"/>
      <c r="AK192" s="48"/>
      <c r="AL192" s="48"/>
      <c r="AM192" s="48"/>
      <c r="AN192" s="48"/>
      <c r="AO192" s="48"/>
      <c r="AP192" s="48"/>
      <c r="AQ192" s="48"/>
      <c r="AR192" s="48"/>
      <c r="AS192" s="48"/>
      <c r="AT192" s="48"/>
      <c r="AU192" s="48"/>
      <c r="AV192" s="48"/>
      <c r="AW192" s="48"/>
      <c r="AX192" s="48"/>
      <c r="AY192" s="48"/>
      <c r="AZ192" s="48"/>
      <c r="BA192" s="48"/>
      <c r="BB192" s="48"/>
      <c r="BC192" s="48"/>
      <c r="BD192" s="48"/>
      <c r="BE192" s="48"/>
      <c r="BF192" s="48"/>
      <c r="BG192" s="48"/>
      <c r="BH192" s="48"/>
      <c r="BI192" s="48"/>
      <c r="BJ192" s="48"/>
      <c r="BK192" s="48"/>
      <c r="BL192" s="48"/>
      <c r="BM192" s="48"/>
      <c r="BN192" s="48"/>
      <c r="BO192" s="48"/>
      <c r="BP192" s="48"/>
      <c r="BQ192" s="48"/>
      <c r="BR192" s="48"/>
      <c r="BS192" s="48"/>
      <c r="BT192" s="48"/>
      <c r="BU192" s="48"/>
      <c r="BV192" s="48"/>
      <c r="BW192" s="48"/>
      <c r="BX192" s="48"/>
      <c r="BY192" s="48"/>
      <c r="BZ192" s="48"/>
      <c r="CA192" s="48"/>
      <c r="CB192" s="48"/>
      <c r="CC192" s="48"/>
      <c r="CD192" s="48"/>
      <c r="CE192" s="48"/>
      <c r="CF192" s="48"/>
      <c r="CG192" s="48"/>
      <c r="CH192" s="48"/>
      <c r="CI192" s="48"/>
      <c r="CJ192" s="48"/>
      <c r="CK192" s="48"/>
      <c r="CL192" s="48"/>
      <c r="CM192" s="48"/>
      <c r="CN192" s="48"/>
      <c r="CO192" s="48"/>
      <c r="CP192" s="48"/>
      <c r="CQ192" s="48"/>
      <c r="CR192" s="48"/>
      <c r="CS192" s="48"/>
      <c r="CT192" s="48"/>
      <c r="CU192" s="48"/>
      <c r="CV192" s="48"/>
      <c r="CW192" s="48"/>
      <c r="CX192" s="48"/>
      <c r="CY192" s="48"/>
      <c r="CZ192" s="48"/>
      <c r="DA192" s="48"/>
      <c r="DB192" s="48"/>
      <c r="DC192" s="48"/>
      <c r="DD192" s="48"/>
      <c r="DE192" s="48"/>
      <c r="DF192" s="48"/>
      <c r="DG192" s="48"/>
      <c r="DH192" s="48"/>
      <c r="DI192" s="48"/>
      <c r="DJ192" s="48"/>
      <c r="DK192" s="48"/>
      <c r="DL192" s="48"/>
      <c r="DM192" s="48"/>
      <c r="DN192" s="48"/>
      <c r="DO192" s="48"/>
      <c r="DP192" s="48"/>
    </row>
    <row r="193" spans="2:120" x14ac:dyDescent="0.2">
      <c r="B193" s="48"/>
      <c r="C193" s="144"/>
      <c r="D193" s="48"/>
      <c r="E193" s="48"/>
      <c r="F193" s="48"/>
      <c r="G193" s="48"/>
      <c r="H193" s="48"/>
      <c r="I193" s="48"/>
      <c r="J193" s="48"/>
      <c r="K193" s="48"/>
      <c r="L193" s="48"/>
      <c r="M193" s="48"/>
      <c r="N193" s="48"/>
      <c r="O193" s="48"/>
      <c r="P193" s="48"/>
      <c r="Q193" s="48"/>
      <c r="R193" s="48"/>
      <c r="S193" s="48"/>
      <c r="T193" s="48"/>
      <c r="U193" s="48"/>
      <c r="V193" s="48"/>
      <c r="W193" s="168" t="s">
        <v>124</v>
      </c>
      <c r="X193" s="179">
        <v>1600</v>
      </c>
      <c r="Y193" s="168"/>
      <c r="Z193" s="168"/>
      <c r="AA193" s="168"/>
      <c r="AB193" s="48"/>
      <c r="AC193" s="48"/>
      <c r="AD193" s="48"/>
      <c r="AE193" s="48"/>
      <c r="AF193" s="48"/>
      <c r="AG193" s="48"/>
      <c r="AH193" s="48"/>
      <c r="AI193" s="48"/>
      <c r="AJ193" s="48"/>
      <c r="AK193" s="48"/>
      <c r="AL193" s="48"/>
      <c r="AM193" s="48"/>
      <c r="AN193" s="48"/>
      <c r="AO193" s="48"/>
      <c r="AP193" s="48"/>
      <c r="AQ193" s="48"/>
      <c r="AR193" s="48"/>
      <c r="AS193" s="48"/>
      <c r="AT193" s="48"/>
      <c r="AU193" s="48"/>
      <c r="AV193" s="48"/>
      <c r="AW193" s="48"/>
      <c r="AX193" s="48"/>
      <c r="AY193" s="48"/>
      <c r="AZ193" s="48"/>
      <c r="BA193" s="48"/>
      <c r="BB193" s="48"/>
      <c r="BC193" s="48"/>
      <c r="BD193" s="48"/>
      <c r="BE193" s="48"/>
      <c r="BF193" s="48"/>
      <c r="BG193" s="48"/>
      <c r="BH193" s="48"/>
      <c r="BI193" s="48"/>
      <c r="BJ193" s="48"/>
      <c r="BK193" s="48"/>
      <c r="BL193" s="48"/>
      <c r="BM193" s="48"/>
      <c r="BN193" s="48"/>
      <c r="BO193" s="48"/>
      <c r="BP193" s="48"/>
      <c r="BQ193" s="48"/>
      <c r="BR193" s="48"/>
      <c r="BS193" s="48"/>
      <c r="BT193" s="48"/>
      <c r="BU193" s="48"/>
      <c r="BV193" s="48"/>
      <c r="BW193" s="48"/>
      <c r="BX193" s="48"/>
      <c r="BY193" s="48"/>
      <c r="BZ193" s="48"/>
      <c r="CA193" s="48"/>
      <c r="CB193" s="48"/>
      <c r="CC193" s="48"/>
      <c r="CD193" s="48"/>
      <c r="CE193" s="48"/>
      <c r="CF193" s="48"/>
      <c r="CG193" s="48"/>
      <c r="CH193" s="48"/>
      <c r="CI193" s="48"/>
      <c r="CJ193" s="48"/>
      <c r="CK193" s="48"/>
      <c r="CL193" s="48"/>
      <c r="CM193" s="48"/>
      <c r="CN193" s="48"/>
      <c r="CO193" s="48"/>
      <c r="CP193" s="48"/>
      <c r="CQ193" s="48"/>
      <c r="CR193" s="48"/>
      <c r="CS193" s="48"/>
      <c r="CT193" s="48"/>
      <c r="CU193" s="48"/>
      <c r="CV193" s="48"/>
      <c r="CW193" s="48"/>
      <c r="CX193" s="48"/>
      <c r="CY193" s="48"/>
      <c r="CZ193" s="48"/>
      <c r="DA193" s="48"/>
      <c r="DB193" s="48"/>
      <c r="DC193" s="48"/>
      <c r="DD193" s="48"/>
      <c r="DE193" s="48"/>
      <c r="DF193" s="48"/>
      <c r="DG193" s="48"/>
      <c r="DH193" s="48"/>
      <c r="DI193" s="48"/>
      <c r="DJ193" s="48"/>
      <c r="DK193" s="48"/>
      <c r="DL193" s="48"/>
      <c r="DM193" s="48"/>
      <c r="DN193" s="48"/>
      <c r="DO193" s="48"/>
      <c r="DP193" s="48"/>
    </row>
    <row r="194" spans="2:120" x14ac:dyDescent="0.2">
      <c r="B194" s="48"/>
      <c r="C194" s="48"/>
      <c r="D194" s="48"/>
      <c r="E194" s="48"/>
      <c r="F194" s="48"/>
      <c r="G194" s="48"/>
      <c r="H194" s="48"/>
      <c r="I194" s="48"/>
      <c r="J194" s="48"/>
      <c r="K194" s="48"/>
      <c r="L194" s="48"/>
      <c r="M194" s="48"/>
      <c r="N194" s="48"/>
      <c r="O194" s="48"/>
      <c r="P194" s="48"/>
      <c r="Q194" s="48"/>
      <c r="R194" s="48"/>
      <c r="S194" s="48"/>
      <c r="T194" s="48"/>
      <c r="U194" s="48"/>
      <c r="V194" s="48"/>
      <c r="W194" s="168" t="s">
        <v>124</v>
      </c>
      <c r="X194" s="179">
        <v>10000</v>
      </c>
      <c r="Y194" s="168"/>
      <c r="Z194" s="168"/>
      <c r="AA194" s="168"/>
      <c r="AB194" s="48"/>
      <c r="AC194" s="48"/>
      <c r="AD194" s="48"/>
      <c r="AE194" s="48"/>
      <c r="AF194" s="48"/>
      <c r="AG194" s="48"/>
      <c r="AH194" s="48"/>
      <c r="AI194" s="48"/>
      <c r="AJ194" s="48"/>
      <c r="AK194" s="48"/>
      <c r="AL194" s="48"/>
      <c r="AM194" s="48"/>
      <c r="AN194" s="48"/>
      <c r="AO194" s="48"/>
      <c r="AP194" s="48"/>
      <c r="AQ194" s="48"/>
      <c r="AR194" s="48"/>
      <c r="AS194" s="48"/>
      <c r="AT194" s="48"/>
      <c r="AU194" s="48"/>
      <c r="AV194" s="48"/>
      <c r="AW194" s="48"/>
      <c r="AX194" s="48"/>
      <c r="AY194" s="48"/>
      <c r="AZ194" s="48"/>
      <c r="BA194" s="48"/>
      <c r="BB194" s="48"/>
      <c r="BC194" s="48"/>
      <c r="BD194" s="48"/>
      <c r="BE194" s="48"/>
      <c r="BF194" s="48"/>
      <c r="BG194" s="48"/>
      <c r="BH194" s="48"/>
      <c r="BI194" s="48"/>
      <c r="BJ194" s="48"/>
      <c r="BK194" s="48"/>
      <c r="BL194" s="48"/>
      <c r="BM194" s="48"/>
      <c r="BN194" s="48"/>
      <c r="BO194" s="48"/>
      <c r="BP194" s="48"/>
      <c r="BQ194" s="48"/>
      <c r="BR194" s="48"/>
      <c r="BS194" s="48"/>
      <c r="BT194" s="48"/>
      <c r="BU194" s="48"/>
      <c r="BV194" s="48"/>
      <c r="BW194" s="48"/>
      <c r="BX194" s="48"/>
      <c r="BY194" s="48"/>
      <c r="BZ194" s="48"/>
      <c r="CA194" s="48"/>
      <c r="CB194" s="48"/>
      <c r="CC194" s="48"/>
      <c r="CD194" s="48"/>
      <c r="CE194" s="48"/>
      <c r="CF194" s="48"/>
      <c r="CG194" s="48"/>
      <c r="CH194" s="48"/>
      <c r="CI194" s="48"/>
      <c r="CJ194" s="48"/>
      <c r="CK194" s="48"/>
      <c r="CL194" s="48"/>
      <c r="CM194" s="48"/>
      <c r="CN194" s="48"/>
      <c r="CO194" s="48"/>
      <c r="CP194" s="48"/>
      <c r="CQ194" s="48"/>
      <c r="CR194" s="48"/>
      <c r="CS194" s="48"/>
      <c r="CT194" s="48"/>
      <c r="CU194" s="48"/>
      <c r="CV194" s="48"/>
      <c r="CW194" s="48"/>
      <c r="CX194" s="48"/>
      <c r="CY194" s="48"/>
      <c r="CZ194" s="48"/>
      <c r="DA194" s="48"/>
      <c r="DB194" s="48"/>
      <c r="DC194" s="48"/>
      <c r="DD194" s="48"/>
      <c r="DE194" s="48"/>
      <c r="DF194" s="48"/>
      <c r="DG194" s="48"/>
      <c r="DH194" s="48"/>
      <c r="DI194" s="48"/>
      <c r="DJ194" s="48"/>
      <c r="DK194" s="48"/>
      <c r="DL194" s="48"/>
      <c r="DM194" s="48"/>
      <c r="DN194" s="48"/>
      <c r="DO194" s="48"/>
      <c r="DP194" s="48"/>
    </row>
    <row r="195" spans="2:120" x14ac:dyDescent="0.2">
      <c r="B195" s="48"/>
      <c r="C195" s="48"/>
      <c r="D195" s="48"/>
      <c r="E195" s="48"/>
      <c r="F195" s="48"/>
      <c r="G195" s="48"/>
      <c r="H195" s="48"/>
      <c r="I195" s="48"/>
      <c r="J195" s="48"/>
      <c r="K195" s="48"/>
      <c r="L195" s="48"/>
      <c r="M195" s="48"/>
      <c r="N195" s="48"/>
      <c r="O195" s="48"/>
      <c r="P195" s="48"/>
      <c r="Q195" s="48"/>
      <c r="R195" s="48"/>
      <c r="S195" s="48"/>
      <c r="T195" s="48"/>
      <c r="U195" s="48"/>
      <c r="V195" s="48"/>
      <c r="W195" s="168" t="s">
        <v>124</v>
      </c>
      <c r="X195" s="179">
        <v>2000</v>
      </c>
      <c r="Y195" s="168"/>
      <c r="Z195" s="168"/>
      <c r="AA195" s="168"/>
      <c r="AB195" s="48"/>
      <c r="AC195" s="48"/>
      <c r="AD195" s="48"/>
      <c r="AE195" s="48"/>
      <c r="AF195" s="48"/>
      <c r="AG195" s="48"/>
      <c r="AH195" s="48"/>
      <c r="AI195" s="48"/>
      <c r="AJ195" s="48"/>
      <c r="AK195" s="48"/>
      <c r="AL195" s="48"/>
      <c r="AM195" s="48"/>
      <c r="AN195" s="48"/>
      <c r="AO195" s="48"/>
      <c r="AP195" s="48"/>
      <c r="AQ195" s="48"/>
      <c r="AR195" s="48"/>
      <c r="AS195" s="48"/>
      <c r="AT195" s="48"/>
      <c r="AU195" s="48"/>
      <c r="AV195" s="48"/>
      <c r="AW195" s="48"/>
      <c r="AX195" s="48"/>
      <c r="AY195" s="48"/>
      <c r="AZ195" s="48"/>
      <c r="BA195" s="48"/>
      <c r="BB195" s="48"/>
      <c r="BC195" s="48"/>
      <c r="BD195" s="48"/>
      <c r="BE195" s="48"/>
      <c r="BF195" s="48"/>
      <c r="BG195" s="48"/>
      <c r="BH195" s="48"/>
      <c r="BI195" s="48"/>
      <c r="BJ195" s="48"/>
      <c r="BK195" s="48"/>
      <c r="BL195" s="48"/>
      <c r="BM195" s="48"/>
      <c r="BN195" s="48"/>
      <c r="BO195" s="48"/>
      <c r="BP195" s="48"/>
      <c r="BQ195" s="48"/>
      <c r="BR195" s="48"/>
      <c r="BS195" s="48"/>
      <c r="BT195" s="48"/>
      <c r="BU195" s="48"/>
      <c r="BV195" s="48"/>
      <c r="BW195" s="48"/>
      <c r="BX195" s="48"/>
      <c r="BY195" s="48"/>
      <c r="BZ195" s="48"/>
      <c r="CA195" s="48"/>
      <c r="CB195" s="48"/>
      <c r="CC195" s="48"/>
      <c r="CD195" s="48"/>
      <c r="CE195" s="48"/>
      <c r="CF195" s="48"/>
      <c r="CG195" s="48"/>
      <c r="CH195" s="48"/>
      <c r="CI195" s="48"/>
      <c r="CJ195" s="48"/>
      <c r="CK195" s="48"/>
      <c r="CL195" s="48"/>
      <c r="CM195" s="48"/>
      <c r="CN195" s="48"/>
      <c r="CO195" s="48"/>
      <c r="CP195" s="48"/>
      <c r="CQ195" s="48"/>
      <c r="CR195" s="48"/>
      <c r="CS195" s="48"/>
      <c r="CT195" s="48"/>
      <c r="CU195" s="48"/>
      <c r="CV195" s="48"/>
      <c r="CW195" s="48"/>
      <c r="CX195" s="48"/>
      <c r="CY195" s="48"/>
      <c r="CZ195" s="48"/>
      <c r="DA195" s="48"/>
      <c r="DB195" s="48"/>
      <c r="DC195" s="48"/>
      <c r="DD195" s="48"/>
      <c r="DE195" s="48"/>
      <c r="DF195" s="48"/>
      <c r="DG195" s="48"/>
      <c r="DH195" s="48"/>
      <c r="DI195" s="48"/>
      <c r="DJ195" s="48"/>
      <c r="DK195" s="48"/>
      <c r="DL195" s="48"/>
      <c r="DM195" s="48"/>
      <c r="DN195" s="48"/>
      <c r="DO195" s="48"/>
      <c r="DP195" s="48"/>
    </row>
    <row r="196" spans="2:120" x14ac:dyDescent="0.2">
      <c r="B196" s="48"/>
      <c r="C196" s="48"/>
      <c r="D196" s="48"/>
      <c r="E196" s="48"/>
      <c r="F196" s="48"/>
      <c r="G196" s="48"/>
      <c r="H196" s="48"/>
      <c r="I196" s="48"/>
      <c r="J196" s="48"/>
      <c r="K196" s="48"/>
      <c r="L196" s="48"/>
      <c r="M196" s="48"/>
      <c r="N196" s="48"/>
      <c r="O196" s="48"/>
      <c r="P196" s="48"/>
      <c r="Q196" s="48"/>
      <c r="R196" s="48"/>
      <c r="S196" s="48"/>
      <c r="T196" s="48"/>
      <c r="U196" s="48"/>
      <c r="V196" s="48"/>
      <c r="W196" s="168" t="s">
        <v>124</v>
      </c>
      <c r="X196" s="179">
        <v>1900</v>
      </c>
      <c r="Y196" s="168"/>
      <c r="Z196" s="168"/>
      <c r="AA196" s="168"/>
      <c r="AB196" s="48"/>
      <c r="AC196" s="48"/>
      <c r="AD196" s="48"/>
      <c r="AE196" s="48"/>
      <c r="AF196" s="48"/>
      <c r="AG196" s="48"/>
      <c r="AH196" s="48"/>
      <c r="AI196" s="48"/>
      <c r="AJ196" s="48"/>
      <c r="AK196" s="48"/>
      <c r="AL196" s="48"/>
      <c r="AM196" s="48"/>
      <c r="AN196" s="48"/>
      <c r="AO196" s="48"/>
      <c r="AP196" s="48"/>
      <c r="AQ196" s="48"/>
      <c r="AR196" s="48"/>
      <c r="AS196" s="48"/>
      <c r="AT196" s="48"/>
      <c r="AU196" s="48"/>
      <c r="AV196" s="48"/>
      <c r="AW196" s="48"/>
      <c r="AX196" s="48"/>
      <c r="AY196" s="48"/>
      <c r="AZ196" s="48"/>
      <c r="BA196" s="48"/>
      <c r="BB196" s="48"/>
      <c r="BC196" s="48"/>
      <c r="BD196" s="48"/>
      <c r="BE196" s="48"/>
      <c r="BF196" s="48"/>
      <c r="BG196" s="48"/>
      <c r="BH196" s="48"/>
      <c r="BI196" s="48"/>
      <c r="BJ196" s="48"/>
      <c r="BK196" s="48"/>
      <c r="BL196" s="48"/>
      <c r="BM196" s="48"/>
      <c r="BN196" s="48"/>
      <c r="BO196" s="48"/>
      <c r="BP196" s="48"/>
      <c r="BQ196" s="48"/>
      <c r="BR196" s="48"/>
      <c r="BS196" s="48"/>
      <c r="BT196" s="48"/>
      <c r="BU196" s="48"/>
      <c r="BV196" s="48"/>
      <c r="BW196" s="48"/>
      <c r="BX196" s="48"/>
      <c r="BY196" s="48"/>
      <c r="BZ196" s="48"/>
      <c r="CA196" s="48"/>
      <c r="CB196" s="48"/>
      <c r="CC196" s="48"/>
      <c r="CD196" s="48"/>
      <c r="CE196" s="48"/>
      <c r="CF196" s="48"/>
      <c r="CG196" s="48"/>
      <c r="CH196" s="48"/>
      <c r="CI196" s="48"/>
      <c r="CJ196" s="48"/>
      <c r="CK196" s="48"/>
      <c r="CL196" s="48"/>
      <c r="CM196" s="48"/>
      <c r="CN196" s="48"/>
      <c r="CO196" s="48"/>
      <c r="CP196" s="48"/>
      <c r="CQ196" s="48"/>
      <c r="CR196" s="48"/>
      <c r="CS196" s="48"/>
      <c r="CT196" s="48"/>
      <c r="CU196" s="48"/>
      <c r="CV196" s="48"/>
      <c r="CW196" s="48"/>
      <c r="CX196" s="48"/>
      <c r="CY196" s="48"/>
      <c r="CZ196" s="48"/>
      <c r="DA196" s="48"/>
      <c r="DB196" s="48"/>
      <c r="DC196" s="48"/>
      <c r="DD196" s="48"/>
      <c r="DE196" s="48"/>
      <c r="DF196" s="48"/>
      <c r="DG196" s="48"/>
      <c r="DH196" s="48"/>
      <c r="DI196" s="48"/>
      <c r="DJ196" s="48"/>
      <c r="DK196" s="48"/>
      <c r="DL196" s="48"/>
      <c r="DM196" s="48"/>
      <c r="DN196" s="48"/>
      <c r="DO196" s="48"/>
      <c r="DP196" s="48"/>
    </row>
    <row r="197" spans="2:120" x14ac:dyDescent="0.2">
      <c r="B197" s="48"/>
      <c r="C197" s="48"/>
      <c r="D197" s="48"/>
      <c r="E197" s="48"/>
      <c r="F197" s="48"/>
      <c r="G197" s="48"/>
      <c r="H197" s="48"/>
      <c r="I197" s="48"/>
      <c r="J197" s="48"/>
      <c r="K197" s="48"/>
      <c r="L197" s="48"/>
      <c r="M197" s="48"/>
      <c r="N197" s="48"/>
      <c r="O197" s="48"/>
      <c r="P197" s="48"/>
      <c r="Q197" s="48"/>
      <c r="R197" s="48"/>
      <c r="S197" s="48"/>
      <c r="T197" s="48"/>
      <c r="U197" s="48"/>
      <c r="V197" s="48"/>
      <c r="W197" s="168" t="s">
        <v>124</v>
      </c>
      <c r="X197" s="179">
        <v>7500</v>
      </c>
      <c r="Y197" s="168"/>
      <c r="Z197" s="168"/>
      <c r="AA197" s="168"/>
      <c r="AB197" s="48"/>
      <c r="AC197" s="48"/>
      <c r="AD197" s="48"/>
      <c r="AE197" s="48"/>
      <c r="AF197" s="48"/>
      <c r="AG197" s="48"/>
      <c r="AH197" s="48"/>
      <c r="AI197" s="48"/>
      <c r="AJ197" s="48"/>
      <c r="AK197" s="48"/>
      <c r="AL197" s="48"/>
      <c r="AM197" s="48"/>
      <c r="AN197" s="48"/>
      <c r="AO197" s="48"/>
      <c r="AP197" s="48"/>
      <c r="AQ197" s="48"/>
      <c r="AR197" s="48"/>
      <c r="AS197" s="48"/>
      <c r="AT197" s="48"/>
      <c r="AU197" s="48"/>
      <c r="AV197" s="48"/>
      <c r="AW197" s="48"/>
      <c r="AX197" s="48"/>
      <c r="AY197" s="48"/>
      <c r="AZ197" s="48"/>
      <c r="BA197" s="48"/>
      <c r="BB197" s="48"/>
      <c r="BC197" s="48"/>
      <c r="BD197" s="48"/>
      <c r="BE197" s="48"/>
      <c r="BF197" s="48"/>
      <c r="BG197" s="48"/>
      <c r="BH197" s="48"/>
      <c r="BI197" s="48"/>
      <c r="BJ197" s="48"/>
      <c r="BK197" s="48"/>
      <c r="BL197" s="48"/>
      <c r="BM197" s="48"/>
      <c r="BN197" s="48"/>
      <c r="BO197" s="48"/>
      <c r="BP197" s="48"/>
      <c r="BQ197" s="48"/>
      <c r="BR197" s="48"/>
      <c r="BS197" s="48"/>
      <c r="BT197" s="48"/>
      <c r="BU197" s="48"/>
      <c r="BV197" s="48"/>
      <c r="BW197" s="48"/>
      <c r="BX197" s="48"/>
      <c r="BY197" s="48"/>
      <c r="BZ197" s="48"/>
      <c r="CA197" s="48"/>
      <c r="CB197" s="48"/>
      <c r="CC197" s="48"/>
      <c r="CD197" s="48"/>
      <c r="CE197" s="48"/>
      <c r="CF197" s="48"/>
      <c r="CG197" s="48"/>
      <c r="CH197" s="48"/>
      <c r="CI197" s="48"/>
      <c r="CJ197" s="48"/>
      <c r="CK197" s="48"/>
      <c r="CL197" s="48"/>
      <c r="CM197" s="48"/>
      <c r="CN197" s="48"/>
      <c r="CO197" s="48"/>
      <c r="CP197" s="48"/>
      <c r="CQ197" s="48"/>
      <c r="CR197" s="48"/>
      <c r="CS197" s="48"/>
      <c r="CT197" s="48"/>
      <c r="CU197" s="48"/>
      <c r="CV197" s="48"/>
      <c r="CW197" s="48"/>
      <c r="CX197" s="48"/>
      <c r="CY197" s="48"/>
      <c r="CZ197" s="48"/>
      <c r="DA197" s="48"/>
      <c r="DB197" s="48"/>
      <c r="DC197" s="48"/>
      <c r="DD197" s="48"/>
      <c r="DE197" s="48"/>
      <c r="DF197" s="48"/>
      <c r="DG197" s="48"/>
      <c r="DH197" s="48"/>
      <c r="DI197" s="48"/>
      <c r="DJ197" s="48"/>
      <c r="DK197" s="48"/>
      <c r="DL197" s="48"/>
      <c r="DM197" s="48"/>
      <c r="DN197" s="48"/>
      <c r="DO197" s="48"/>
      <c r="DP197" s="48"/>
    </row>
    <row r="198" spans="2:120" x14ac:dyDescent="0.2">
      <c r="B198" s="48"/>
      <c r="C198" s="48"/>
      <c r="D198" s="48"/>
      <c r="E198" s="48"/>
      <c r="F198" s="48"/>
      <c r="G198" s="48"/>
      <c r="H198" s="48"/>
      <c r="I198" s="48"/>
      <c r="J198" s="48"/>
      <c r="K198" s="48"/>
      <c r="L198" s="48"/>
      <c r="M198" s="48"/>
      <c r="N198" s="48"/>
      <c r="O198" s="48"/>
      <c r="P198" s="48"/>
      <c r="Q198" s="48"/>
      <c r="R198" s="48"/>
      <c r="S198" s="48"/>
      <c r="T198" s="48"/>
      <c r="U198" s="48"/>
      <c r="V198" s="48"/>
      <c r="W198" s="168" t="s">
        <v>124</v>
      </c>
      <c r="X198" s="179">
        <v>2300</v>
      </c>
      <c r="Y198" s="168"/>
      <c r="Z198" s="168"/>
      <c r="AA198" s="168"/>
      <c r="AB198" s="48"/>
      <c r="AC198" s="48"/>
      <c r="AD198" s="48"/>
      <c r="AE198" s="48"/>
      <c r="AF198" s="48"/>
      <c r="AG198" s="48"/>
      <c r="AH198" s="48"/>
      <c r="AI198" s="48"/>
      <c r="AJ198" s="48"/>
      <c r="AK198" s="48"/>
      <c r="AL198" s="48"/>
      <c r="AM198" s="48"/>
      <c r="AN198" s="48"/>
      <c r="AO198" s="48"/>
      <c r="AP198" s="48"/>
      <c r="AQ198" s="48"/>
      <c r="AR198" s="48"/>
      <c r="AS198" s="48"/>
      <c r="AT198" s="48"/>
      <c r="AU198" s="48"/>
      <c r="AV198" s="48"/>
      <c r="AW198" s="48"/>
      <c r="AX198" s="48"/>
      <c r="AY198" s="48"/>
      <c r="AZ198" s="48"/>
      <c r="BA198" s="48"/>
      <c r="BB198" s="48"/>
      <c r="BC198" s="48"/>
      <c r="BD198" s="48"/>
      <c r="BE198" s="48"/>
      <c r="BF198" s="48"/>
      <c r="BG198" s="48"/>
      <c r="BH198" s="48"/>
      <c r="BI198" s="48"/>
      <c r="BJ198" s="48"/>
      <c r="BK198" s="48"/>
      <c r="BL198" s="48"/>
      <c r="BM198" s="48"/>
      <c r="BN198" s="48"/>
      <c r="BO198" s="48"/>
      <c r="BP198" s="48"/>
      <c r="BQ198" s="48"/>
      <c r="BR198" s="48"/>
      <c r="BS198" s="48"/>
      <c r="BT198" s="48"/>
      <c r="BU198" s="48"/>
      <c r="BV198" s="48"/>
      <c r="BW198" s="48"/>
      <c r="BX198" s="48"/>
      <c r="BY198" s="48"/>
      <c r="BZ198" s="48"/>
      <c r="CA198" s="48"/>
      <c r="CB198" s="48"/>
      <c r="CC198" s="48"/>
      <c r="CD198" s="48"/>
      <c r="CE198" s="48"/>
      <c r="CF198" s="48"/>
      <c r="CG198" s="48"/>
      <c r="CH198" s="48"/>
      <c r="CI198" s="48"/>
      <c r="CJ198" s="48"/>
      <c r="CK198" s="48"/>
      <c r="CL198" s="48"/>
      <c r="CM198" s="48"/>
      <c r="CN198" s="48"/>
      <c r="CO198" s="48"/>
      <c r="CP198" s="48"/>
      <c r="CQ198" s="48"/>
      <c r="CR198" s="48"/>
      <c r="CS198" s="48"/>
      <c r="CT198" s="48"/>
      <c r="CU198" s="48"/>
      <c r="CV198" s="48"/>
      <c r="CW198" s="48"/>
      <c r="CX198" s="48"/>
      <c r="CY198" s="48"/>
      <c r="CZ198" s="48"/>
      <c r="DA198" s="48"/>
      <c r="DB198" s="48"/>
      <c r="DC198" s="48"/>
      <c r="DD198" s="48"/>
      <c r="DE198" s="48"/>
      <c r="DF198" s="48"/>
      <c r="DG198" s="48"/>
      <c r="DH198" s="48"/>
      <c r="DI198" s="48"/>
      <c r="DJ198" s="48"/>
      <c r="DK198" s="48"/>
      <c r="DL198" s="48"/>
      <c r="DM198" s="48"/>
      <c r="DN198" s="48"/>
      <c r="DO198" s="48"/>
      <c r="DP198" s="48"/>
    </row>
    <row r="199" spans="2:120" x14ac:dyDescent="0.2">
      <c r="B199" s="48"/>
      <c r="C199" s="48"/>
      <c r="D199" s="48"/>
      <c r="E199" s="48"/>
      <c r="F199" s="48"/>
      <c r="G199" s="48"/>
      <c r="H199" s="48"/>
      <c r="I199" s="48"/>
      <c r="J199" s="48"/>
      <c r="K199" s="48"/>
      <c r="L199" s="48"/>
      <c r="M199" s="48"/>
      <c r="N199" s="48"/>
      <c r="O199" s="48"/>
      <c r="P199" s="48"/>
      <c r="Q199" s="48"/>
      <c r="R199" s="48"/>
      <c r="S199" s="48"/>
      <c r="T199" s="48"/>
      <c r="U199" s="48"/>
      <c r="V199" s="48"/>
      <c r="W199" s="168" t="s">
        <v>124</v>
      </c>
      <c r="X199" s="179">
        <v>3000</v>
      </c>
      <c r="Y199" s="168"/>
      <c r="Z199" s="168"/>
      <c r="AA199" s="168"/>
      <c r="AB199" s="48"/>
      <c r="AC199" s="48"/>
      <c r="AD199" s="48"/>
      <c r="AE199" s="48"/>
      <c r="AF199" s="48"/>
      <c r="AG199" s="48"/>
      <c r="AH199" s="48"/>
      <c r="AI199" s="48"/>
      <c r="AJ199" s="48"/>
      <c r="AK199" s="48"/>
      <c r="AL199" s="48"/>
      <c r="AM199" s="48"/>
      <c r="AN199" s="48"/>
      <c r="AO199" s="48"/>
      <c r="AP199" s="48"/>
      <c r="AQ199" s="48"/>
      <c r="AR199" s="48"/>
      <c r="AS199" s="48"/>
      <c r="AT199" s="48"/>
      <c r="AU199" s="48"/>
      <c r="AV199" s="48"/>
      <c r="AW199" s="48"/>
      <c r="AX199" s="48"/>
      <c r="AY199" s="48"/>
      <c r="AZ199" s="48"/>
      <c r="BA199" s="48"/>
      <c r="BB199" s="48"/>
      <c r="BC199" s="48"/>
      <c r="BD199" s="48"/>
      <c r="BE199" s="48"/>
      <c r="BF199" s="48"/>
      <c r="BG199" s="48"/>
      <c r="BH199" s="48"/>
      <c r="BI199" s="48"/>
      <c r="BJ199" s="48"/>
      <c r="BK199" s="48"/>
      <c r="BL199" s="48"/>
      <c r="BM199" s="48"/>
      <c r="BN199" s="48"/>
      <c r="BO199" s="48"/>
      <c r="BP199" s="48"/>
      <c r="BQ199" s="48"/>
      <c r="BR199" s="48"/>
      <c r="BS199" s="48"/>
      <c r="BT199" s="48"/>
      <c r="BU199" s="48"/>
      <c r="BV199" s="48"/>
      <c r="BW199" s="48"/>
      <c r="BX199" s="48"/>
      <c r="BY199" s="48"/>
      <c r="BZ199" s="48"/>
      <c r="CA199" s="48"/>
      <c r="CB199" s="48"/>
      <c r="CC199" s="48"/>
      <c r="CD199" s="48"/>
      <c r="CE199" s="48"/>
      <c r="CF199" s="48"/>
      <c r="CG199" s="48"/>
      <c r="CH199" s="48"/>
      <c r="CI199" s="48"/>
      <c r="CJ199" s="48"/>
      <c r="CK199" s="48"/>
      <c r="CL199" s="48"/>
      <c r="CM199" s="48"/>
      <c r="CN199" s="48"/>
      <c r="CO199" s="48"/>
      <c r="CP199" s="48"/>
      <c r="CQ199" s="48"/>
      <c r="CR199" s="48"/>
      <c r="CS199" s="48"/>
      <c r="CT199" s="48"/>
      <c r="CU199" s="48"/>
      <c r="CV199" s="48"/>
      <c r="CW199" s="48"/>
      <c r="CX199" s="48"/>
      <c r="CY199" s="48"/>
      <c r="CZ199" s="48"/>
      <c r="DA199" s="48"/>
      <c r="DB199" s="48"/>
      <c r="DC199" s="48"/>
      <c r="DD199" s="48"/>
      <c r="DE199" s="48"/>
      <c r="DF199" s="48"/>
      <c r="DG199" s="48"/>
      <c r="DH199" s="48"/>
      <c r="DI199" s="48"/>
      <c r="DJ199" s="48"/>
      <c r="DK199" s="48"/>
      <c r="DL199" s="48"/>
      <c r="DM199" s="48"/>
      <c r="DN199" s="48"/>
      <c r="DO199" s="48"/>
      <c r="DP199" s="48"/>
    </row>
    <row r="200" spans="2:120" x14ac:dyDescent="0.2">
      <c r="B200" s="48"/>
      <c r="C200" s="48"/>
      <c r="D200" s="48"/>
      <c r="E200" s="48"/>
      <c r="F200" s="48"/>
      <c r="G200" s="48"/>
      <c r="H200" s="48"/>
      <c r="I200" s="48"/>
      <c r="J200" s="48"/>
      <c r="K200" s="48"/>
      <c r="L200" s="48"/>
      <c r="M200" s="48"/>
      <c r="N200" s="48"/>
      <c r="O200" s="48"/>
      <c r="P200" s="48"/>
      <c r="Q200" s="48"/>
      <c r="R200" s="48"/>
      <c r="S200" s="48"/>
      <c r="T200" s="48"/>
      <c r="U200" s="48"/>
      <c r="V200" s="48"/>
      <c r="W200" s="168" t="s">
        <v>124</v>
      </c>
      <c r="X200" s="179">
        <v>937</v>
      </c>
      <c r="Y200" s="168"/>
      <c r="Z200" s="168"/>
      <c r="AA200" s="168"/>
      <c r="AB200" s="48"/>
      <c r="AC200" s="48"/>
      <c r="AD200" s="48"/>
      <c r="AE200" s="48"/>
      <c r="AF200" s="48"/>
      <c r="AG200" s="48"/>
      <c r="AH200" s="48"/>
      <c r="AI200" s="48"/>
      <c r="AJ200" s="48"/>
      <c r="AK200" s="48"/>
      <c r="AL200" s="48"/>
      <c r="AM200" s="48"/>
      <c r="AN200" s="48"/>
      <c r="AO200" s="48"/>
      <c r="AP200" s="48"/>
      <c r="AQ200" s="48"/>
      <c r="AR200" s="48"/>
      <c r="AS200" s="48"/>
      <c r="AT200" s="48"/>
      <c r="AU200" s="48"/>
      <c r="AV200" s="48"/>
      <c r="AW200" s="48"/>
      <c r="AX200" s="48"/>
      <c r="AY200" s="48"/>
      <c r="AZ200" s="48"/>
      <c r="BA200" s="48"/>
      <c r="BB200" s="48"/>
      <c r="BC200" s="48"/>
      <c r="BD200" s="48"/>
      <c r="BE200" s="48"/>
      <c r="BF200" s="48"/>
      <c r="BG200" s="48"/>
      <c r="BH200" s="48"/>
      <c r="BI200" s="48"/>
      <c r="BJ200" s="48"/>
      <c r="BK200" s="48"/>
      <c r="BL200" s="48"/>
      <c r="BM200" s="48"/>
      <c r="BN200" s="48"/>
      <c r="BO200" s="48"/>
      <c r="BP200" s="48"/>
      <c r="BQ200" s="48"/>
      <c r="BR200" s="48"/>
      <c r="BS200" s="48"/>
      <c r="BT200" s="48"/>
      <c r="BU200" s="48"/>
      <c r="BV200" s="48"/>
      <c r="BW200" s="48"/>
      <c r="BX200" s="48"/>
      <c r="BY200" s="48"/>
      <c r="BZ200" s="48"/>
      <c r="CA200" s="48"/>
      <c r="CB200" s="48"/>
      <c r="CC200" s="48"/>
      <c r="CD200" s="48"/>
      <c r="CE200" s="48"/>
      <c r="CF200" s="48"/>
      <c r="CG200" s="48"/>
      <c r="CH200" s="48"/>
      <c r="CI200" s="48"/>
      <c r="CJ200" s="48"/>
      <c r="CK200" s="48"/>
      <c r="CL200" s="48"/>
      <c r="CM200" s="48"/>
      <c r="CN200" s="48"/>
      <c r="CO200" s="48"/>
      <c r="CP200" s="48"/>
      <c r="CQ200" s="48"/>
      <c r="CR200" s="48"/>
      <c r="CS200" s="48"/>
      <c r="CT200" s="48"/>
      <c r="CU200" s="48"/>
      <c r="CV200" s="48"/>
      <c r="CW200" s="48"/>
      <c r="CX200" s="48"/>
      <c r="CY200" s="48"/>
      <c r="CZ200" s="48"/>
      <c r="DA200" s="48"/>
      <c r="DB200" s="48"/>
      <c r="DC200" s="48"/>
      <c r="DD200" s="48"/>
      <c r="DE200" s="48"/>
      <c r="DF200" s="48"/>
      <c r="DG200" s="48"/>
      <c r="DH200" s="48"/>
      <c r="DI200" s="48"/>
      <c r="DJ200" s="48"/>
      <c r="DK200" s="48"/>
      <c r="DL200" s="48"/>
      <c r="DM200" s="48"/>
      <c r="DN200" s="48"/>
      <c r="DO200" s="48"/>
      <c r="DP200" s="48"/>
    </row>
    <row r="201" spans="2:120" x14ac:dyDescent="0.2">
      <c r="B201" s="48"/>
      <c r="C201" s="48"/>
      <c r="D201" s="48"/>
      <c r="E201" s="48"/>
      <c r="F201" s="48"/>
      <c r="G201" s="48"/>
      <c r="H201" s="48"/>
      <c r="I201" s="48"/>
      <c r="J201" s="48"/>
      <c r="K201" s="48"/>
      <c r="L201" s="48"/>
      <c r="M201" s="48"/>
      <c r="N201" s="48"/>
      <c r="O201" s="48"/>
      <c r="P201" s="48"/>
      <c r="Q201" s="48"/>
      <c r="R201" s="48"/>
      <c r="S201" s="48"/>
      <c r="T201" s="48"/>
      <c r="U201" s="48"/>
      <c r="V201" s="48"/>
      <c r="W201" s="168" t="s">
        <v>124</v>
      </c>
      <c r="X201" s="179">
        <v>2000</v>
      </c>
      <c r="Y201" s="168"/>
      <c r="Z201" s="168"/>
      <c r="AA201" s="168"/>
      <c r="AB201" s="48"/>
      <c r="AC201" s="48"/>
      <c r="AD201" s="48"/>
      <c r="AE201" s="48"/>
      <c r="AF201" s="48"/>
      <c r="AG201" s="48"/>
      <c r="AH201" s="48"/>
      <c r="AI201" s="48"/>
      <c r="AJ201" s="48"/>
      <c r="AK201" s="48"/>
      <c r="AL201" s="48"/>
      <c r="AM201" s="48"/>
      <c r="AN201" s="48"/>
      <c r="AO201" s="48"/>
      <c r="AP201" s="48"/>
      <c r="AQ201" s="48"/>
      <c r="AR201" s="48"/>
      <c r="AS201" s="48"/>
      <c r="AT201" s="48"/>
      <c r="AU201" s="48"/>
      <c r="AV201" s="48"/>
      <c r="AW201" s="48"/>
      <c r="AX201" s="48"/>
      <c r="AY201" s="48"/>
      <c r="AZ201" s="48"/>
      <c r="BA201" s="48"/>
      <c r="BB201" s="48"/>
      <c r="BC201" s="48"/>
      <c r="BD201" s="48"/>
      <c r="BE201" s="48"/>
      <c r="BF201" s="48"/>
      <c r="BG201" s="48"/>
      <c r="BH201" s="48"/>
      <c r="BI201" s="48"/>
      <c r="BJ201" s="48"/>
      <c r="BK201" s="48"/>
      <c r="BL201" s="48"/>
      <c r="BM201" s="48"/>
      <c r="BN201" s="48"/>
      <c r="BO201" s="48"/>
      <c r="BP201" s="48"/>
      <c r="BQ201" s="48"/>
      <c r="BR201" s="48"/>
      <c r="BS201" s="48"/>
      <c r="BT201" s="48"/>
      <c r="BU201" s="48"/>
      <c r="BV201" s="48"/>
      <c r="BW201" s="48"/>
      <c r="BX201" s="48"/>
      <c r="BY201" s="48"/>
      <c r="BZ201" s="48"/>
      <c r="CA201" s="48"/>
      <c r="CB201" s="48"/>
      <c r="CC201" s="48"/>
      <c r="CD201" s="48"/>
      <c r="CE201" s="48"/>
      <c r="CF201" s="48"/>
      <c r="CG201" s="48"/>
      <c r="CH201" s="48"/>
      <c r="CI201" s="48"/>
      <c r="CJ201" s="48"/>
      <c r="CK201" s="48"/>
      <c r="CL201" s="48"/>
      <c r="CM201" s="48"/>
      <c r="CN201" s="48"/>
      <c r="CO201" s="48"/>
      <c r="CP201" s="48"/>
      <c r="CQ201" s="48"/>
      <c r="CR201" s="48"/>
      <c r="CS201" s="48"/>
      <c r="CT201" s="48"/>
      <c r="CU201" s="48"/>
      <c r="CV201" s="48"/>
      <c r="CW201" s="48"/>
      <c r="CX201" s="48"/>
      <c r="CY201" s="48"/>
      <c r="CZ201" s="48"/>
      <c r="DA201" s="48"/>
      <c r="DB201" s="48"/>
      <c r="DC201" s="48"/>
      <c r="DD201" s="48"/>
      <c r="DE201" s="48"/>
      <c r="DF201" s="48"/>
      <c r="DG201" s="48"/>
      <c r="DH201" s="48"/>
      <c r="DI201" s="48"/>
      <c r="DJ201" s="48"/>
      <c r="DK201" s="48"/>
      <c r="DL201" s="48"/>
      <c r="DM201" s="48"/>
      <c r="DN201" s="48"/>
      <c r="DO201" s="48"/>
      <c r="DP201" s="48"/>
    </row>
    <row r="202" spans="2:120" x14ac:dyDescent="0.2">
      <c r="B202" s="48"/>
      <c r="C202" s="48"/>
      <c r="D202" s="48"/>
      <c r="E202" s="48"/>
      <c r="F202" s="48"/>
      <c r="G202" s="48"/>
      <c r="H202" s="48"/>
      <c r="I202" s="48"/>
      <c r="J202" s="48"/>
      <c r="K202" s="48"/>
      <c r="L202" s="48"/>
      <c r="M202" s="48"/>
      <c r="N202" s="48"/>
      <c r="O202" s="48"/>
      <c r="P202" s="48"/>
      <c r="Q202" s="48"/>
      <c r="R202" s="48"/>
      <c r="S202" s="48"/>
      <c r="T202" s="48"/>
      <c r="U202" s="48"/>
      <c r="V202" s="48"/>
      <c r="W202" s="168" t="s">
        <v>124</v>
      </c>
      <c r="X202" s="179">
        <v>1500</v>
      </c>
      <c r="Y202" s="168"/>
      <c r="Z202" s="168"/>
      <c r="AA202" s="168"/>
      <c r="AB202" s="48"/>
      <c r="AC202" s="48"/>
      <c r="AD202" s="48"/>
      <c r="AE202" s="48"/>
      <c r="AF202" s="48"/>
      <c r="AG202" s="48"/>
      <c r="AH202" s="48"/>
      <c r="AI202" s="48"/>
      <c r="AJ202" s="48"/>
      <c r="AK202" s="48"/>
      <c r="AL202" s="48"/>
      <c r="AM202" s="48"/>
      <c r="AN202" s="48"/>
      <c r="AO202" s="48"/>
      <c r="AP202" s="48"/>
      <c r="AQ202" s="48"/>
      <c r="AR202" s="48"/>
      <c r="AS202" s="48"/>
      <c r="AT202" s="48"/>
      <c r="AU202" s="48"/>
      <c r="AV202" s="48"/>
      <c r="AW202" s="48"/>
      <c r="AX202" s="48"/>
      <c r="AY202" s="48"/>
      <c r="AZ202" s="48"/>
      <c r="BA202" s="48"/>
      <c r="BB202" s="48"/>
      <c r="BC202" s="48"/>
      <c r="BD202" s="48"/>
      <c r="BE202" s="48"/>
      <c r="BF202" s="48"/>
      <c r="BG202" s="48"/>
      <c r="BH202" s="48"/>
      <c r="BI202" s="48"/>
      <c r="BJ202" s="48"/>
      <c r="BK202" s="48"/>
      <c r="BL202" s="48"/>
      <c r="BM202" s="48"/>
      <c r="BN202" s="48"/>
      <c r="BO202" s="48"/>
      <c r="BP202" s="48"/>
      <c r="BQ202" s="48"/>
      <c r="BR202" s="48"/>
      <c r="BS202" s="48"/>
      <c r="BT202" s="48"/>
      <c r="BU202" s="48"/>
      <c r="BV202" s="48"/>
      <c r="BW202" s="48"/>
      <c r="BX202" s="48"/>
      <c r="BY202" s="48"/>
      <c r="BZ202" s="48"/>
      <c r="CA202" s="48"/>
      <c r="CB202" s="48"/>
      <c r="CC202" s="48"/>
      <c r="CD202" s="48"/>
      <c r="CE202" s="48"/>
      <c r="CF202" s="48"/>
      <c r="CG202" s="48"/>
      <c r="CH202" s="48"/>
      <c r="CI202" s="48"/>
      <c r="CJ202" s="48"/>
      <c r="CK202" s="48"/>
      <c r="CL202" s="48"/>
      <c r="CM202" s="48"/>
      <c r="CN202" s="48"/>
      <c r="CO202" s="48"/>
      <c r="CP202" s="48"/>
      <c r="CQ202" s="48"/>
      <c r="CR202" s="48"/>
      <c r="CS202" s="48"/>
      <c r="CT202" s="48"/>
      <c r="CU202" s="48"/>
      <c r="CV202" s="48"/>
      <c r="CW202" s="48"/>
      <c r="CX202" s="48"/>
      <c r="CY202" s="48"/>
      <c r="CZ202" s="48"/>
      <c r="DA202" s="48"/>
      <c r="DB202" s="48"/>
      <c r="DC202" s="48"/>
      <c r="DD202" s="48"/>
      <c r="DE202" s="48"/>
      <c r="DF202" s="48"/>
      <c r="DG202" s="48"/>
      <c r="DH202" s="48"/>
      <c r="DI202" s="48"/>
      <c r="DJ202" s="48"/>
      <c r="DK202" s="48"/>
      <c r="DL202" s="48"/>
      <c r="DM202" s="48"/>
      <c r="DN202" s="48"/>
      <c r="DO202" s="48"/>
      <c r="DP202" s="48"/>
    </row>
    <row r="203" spans="2:120" x14ac:dyDescent="0.2">
      <c r="B203" s="48"/>
      <c r="C203" s="48"/>
      <c r="D203" s="48"/>
      <c r="E203" s="48"/>
      <c r="F203" s="48"/>
      <c r="G203" s="48"/>
      <c r="H203" s="48"/>
      <c r="I203" s="48"/>
      <c r="J203" s="48"/>
      <c r="K203" s="48"/>
      <c r="L203" s="48"/>
      <c r="M203" s="48"/>
      <c r="N203" s="48"/>
      <c r="O203" s="48"/>
      <c r="P203" s="48"/>
      <c r="Q203" s="48"/>
      <c r="R203" s="48"/>
      <c r="S203" s="48"/>
      <c r="T203" s="48"/>
      <c r="U203" s="48"/>
      <c r="V203" s="48"/>
      <c r="W203" s="168" t="s">
        <v>124</v>
      </c>
      <c r="X203" s="179">
        <v>1800</v>
      </c>
      <c r="Y203" s="168"/>
      <c r="Z203" s="168"/>
      <c r="AA203" s="168"/>
      <c r="AB203" s="48"/>
      <c r="AC203" s="48"/>
      <c r="AD203" s="48"/>
      <c r="AE203" s="48"/>
      <c r="AF203" s="48"/>
      <c r="AG203" s="48"/>
      <c r="AH203" s="48"/>
      <c r="AI203" s="48"/>
      <c r="AJ203" s="48"/>
      <c r="AK203" s="48"/>
      <c r="AL203" s="48"/>
      <c r="AM203" s="48"/>
      <c r="AN203" s="48"/>
      <c r="AO203" s="48"/>
      <c r="AP203" s="48"/>
      <c r="AQ203" s="48"/>
      <c r="AR203" s="48"/>
      <c r="AS203" s="48"/>
      <c r="AT203" s="48"/>
      <c r="AU203" s="48"/>
      <c r="AV203" s="48"/>
      <c r="AW203" s="48"/>
      <c r="AX203" s="48"/>
      <c r="AY203" s="48"/>
      <c r="AZ203" s="48"/>
      <c r="BA203" s="48"/>
      <c r="BB203" s="48"/>
      <c r="BC203" s="48"/>
      <c r="BD203" s="48"/>
      <c r="BE203" s="48"/>
      <c r="BF203" s="48"/>
      <c r="BG203" s="48"/>
      <c r="BH203" s="48"/>
      <c r="BI203" s="48"/>
      <c r="BJ203" s="48"/>
      <c r="BK203" s="48"/>
      <c r="BL203" s="48"/>
      <c r="BM203" s="48"/>
      <c r="BN203" s="48"/>
      <c r="BO203" s="48"/>
      <c r="BP203" s="48"/>
      <c r="BQ203" s="48"/>
      <c r="BR203" s="48"/>
      <c r="BS203" s="48"/>
      <c r="BT203" s="48"/>
      <c r="BU203" s="48"/>
      <c r="BV203" s="48"/>
      <c r="BW203" s="48"/>
      <c r="BX203" s="48"/>
      <c r="BY203" s="48"/>
      <c r="BZ203" s="48"/>
      <c r="CA203" s="48"/>
      <c r="CB203" s="48"/>
      <c r="CC203" s="48"/>
      <c r="CD203" s="48"/>
      <c r="CE203" s="48"/>
      <c r="CF203" s="48"/>
      <c r="CG203" s="48"/>
      <c r="CH203" s="48"/>
      <c r="CI203" s="48"/>
      <c r="CJ203" s="48"/>
      <c r="CK203" s="48"/>
      <c r="CL203" s="48"/>
      <c r="CM203" s="48"/>
      <c r="CN203" s="48"/>
      <c r="CO203" s="48"/>
      <c r="CP203" s="48"/>
      <c r="CQ203" s="48"/>
      <c r="CR203" s="48"/>
      <c r="CS203" s="48"/>
      <c r="CT203" s="48"/>
      <c r="CU203" s="48"/>
      <c r="CV203" s="48"/>
      <c r="CW203" s="48"/>
      <c r="CX203" s="48"/>
      <c r="CY203" s="48"/>
      <c r="CZ203" s="48"/>
      <c r="DA203" s="48"/>
      <c r="DB203" s="48"/>
      <c r="DC203" s="48"/>
      <c r="DD203" s="48"/>
      <c r="DE203" s="48"/>
      <c r="DF203" s="48"/>
      <c r="DG203" s="48"/>
      <c r="DH203" s="48"/>
      <c r="DI203" s="48"/>
      <c r="DJ203" s="48"/>
      <c r="DK203" s="48"/>
      <c r="DL203" s="48"/>
      <c r="DM203" s="48"/>
      <c r="DN203" s="48"/>
      <c r="DO203" s="48"/>
      <c r="DP203" s="48"/>
    </row>
    <row r="204" spans="2:120" x14ac:dyDescent="0.2">
      <c r="B204" s="48"/>
      <c r="C204" s="48"/>
      <c r="D204" s="48"/>
      <c r="E204" s="48"/>
      <c r="F204" s="48"/>
      <c r="G204" s="48"/>
      <c r="H204" s="48"/>
      <c r="I204" s="48"/>
      <c r="J204" s="48"/>
      <c r="K204" s="48"/>
      <c r="L204" s="48"/>
      <c r="M204" s="48"/>
      <c r="N204" s="48"/>
      <c r="O204" s="48"/>
      <c r="P204" s="48"/>
      <c r="Q204" s="48"/>
      <c r="R204" s="48"/>
      <c r="S204" s="48"/>
      <c r="T204" s="48"/>
      <c r="U204" s="48"/>
      <c r="V204" s="48"/>
      <c r="W204" s="180"/>
      <c r="X204" s="181"/>
      <c r="Y204" s="48"/>
      <c r="Z204" s="48"/>
      <c r="AA204" s="48"/>
      <c r="AB204" s="48"/>
      <c r="AC204" s="48"/>
      <c r="AD204" s="48"/>
      <c r="AE204" s="48"/>
      <c r="AF204" s="48"/>
      <c r="AG204" s="48"/>
      <c r="AH204" s="48"/>
      <c r="AI204" s="48"/>
      <c r="AJ204" s="48"/>
      <c r="AK204" s="48"/>
      <c r="AL204" s="48"/>
      <c r="AM204" s="48"/>
      <c r="AN204" s="48"/>
      <c r="AO204" s="48"/>
      <c r="AP204" s="48"/>
      <c r="AQ204" s="48"/>
      <c r="AR204" s="48"/>
      <c r="AS204" s="48"/>
      <c r="AT204" s="48"/>
      <c r="AU204" s="48"/>
      <c r="AV204" s="48"/>
      <c r="AW204" s="48"/>
      <c r="AX204" s="48"/>
      <c r="AY204" s="48"/>
      <c r="AZ204" s="48"/>
      <c r="BA204" s="48"/>
      <c r="BB204" s="48"/>
      <c r="BC204" s="48"/>
      <c r="BD204" s="48"/>
      <c r="BE204" s="48"/>
      <c r="BF204" s="48"/>
      <c r="BG204" s="48"/>
      <c r="BH204" s="48"/>
      <c r="BI204" s="48"/>
      <c r="BJ204" s="48"/>
      <c r="BK204" s="48"/>
      <c r="BL204" s="48"/>
      <c r="BM204" s="48"/>
      <c r="BN204" s="48"/>
      <c r="BO204" s="48"/>
      <c r="BP204" s="48"/>
      <c r="BQ204" s="48"/>
      <c r="BR204" s="48"/>
      <c r="BS204" s="48"/>
      <c r="BT204" s="48"/>
      <c r="BU204" s="48"/>
      <c r="BV204" s="48"/>
      <c r="BW204" s="48"/>
      <c r="BX204" s="48"/>
      <c r="BY204" s="48"/>
      <c r="BZ204" s="48"/>
      <c r="CA204" s="48"/>
      <c r="CB204" s="48"/>
      <c r="CC204" s="48"/>
      <c r="CD204" s="48"/>
      <c r="CE204" s="48"/>
      <c r="CF204" s="48"/>
      <c r="CG204" s="48"/>
      <c r="CH204" s="48"/>
      <c r="CI204" s="48"/>
      <c r="CJ204" s="48"/>
      <c r="CK204" s="48"/>
      <c r="CL204" s="48"/>
      <c r="CM204" s="48"/>
      <c r="CN204" s="48"/>
      <c r="CO204" s="48"/>
      <c r="CP204" s="48"/>
      <c r="CQ204" s="48"/>
      <c r="CR204" s="48"/>
      <c r="CS204" s="48"/>
      <c r="CT204" s="48"/>
      <c r="CU204" s="48"/>
      <c r="CV204" s="48"/>
      <c r="CW204" s="48"/>
      <c r="CX204" s="48"/>
      <c r="CY204" s="48"/>
      <c r="CZ204" s="48"/>
      <c r="DA204" s="48"/>
      <c r="DB204" s="48"/>
      <c r="DC204" s="48"/>
      <c r="DD204" s="48"/>
      <c r="DE204" s="48"/>
      <c r="DF204" s="48"/>
      <c r="DG204" s="48"/>
      <c r="DH204" s="48"/>
      <c r="DI204" s="48"/>
      <c r="DJ204" s="48"/>
      <c r="DK204" s="48"/>
      <c r="DL204" s="48"/>
      <c r="DM204" s="48"/>
      <c r="DN204" s="48"/>
      <c r="DO204" s="48"/>
      <c r="DP204" s="48"/>
    </row>
    <row r="205" spans="2:120" x14ac:dyDescent="0.2">
      <c r="B205" s="48"/>
      <c r="C205" s="48"/>
      <c r="D205" s="48"/>
      <c r="E205" s="48"/>
      <c r="F205" s="48"/>
      <c r="G205" s="48"/>
      <c r="H205" s="48"/>
      <c r="I205" s="48"/>
      <c r="J205" s="48"/>
      <c r="K205" s="48"/>
      <c r="L205" s="48"/>
      <c r="M205" s="48"/>
      <c r="N205" s="48"/>
      <c r="O205" s="48"/>
      <c r="P205" s="48"/>
      <c r="Q205" s="48"/>
      <c r="R205" s="48"/>
      <c r="S205" s="48"/>
      <c r="T205" s="48"/>
      <c r="U205" s="48"/>
      <c r="V205" s="48"/>
      <c r="W205" s="180"/>
      <c r="X205" s="181"/>
      <c r="Y205" s="48"/>
      <c r="Z205" s="48"/>
      <c r="AA205" s="48"/>
      <c r="AB205" s="48"/>
      <c r="AC205" s="48"/>
      <c r="AD205" s="48"/>
      <c r="AE205" s="48"/>
      <c r="AF205" s="48"/>
      <c r="AG205" s="48"/>
      <c r="AH205" s="48"/>
      <c r="AI205" s="48"/>
      <c r="AJ205" s="48"/>
      <c r="AK205" s="48"/>
      <c r="AL205" s="48"/>
      <c r="AM205" s="48"/>
      <c r="AN205" s="48"/>
      <c r="AO205" s="48"/>
      <c r="AP205" s="48"/>
      <c r="AQ205" s="48"/>
      <c r="AR205" s="48"/>
      <c r="AS205" s="48"/>
      <c r="AT205" s="48"/>
      <c r="AU205" s="48"/>
      <c r="AV205" s="48"/>
      <c r="AW205" s="48"/>
      <c r="AX205" s="48"/>
      <c r="AY205" s="48"/>
      <c r="AZ205" s="48"/>
      <c r="BA205" s="48"/>
      <c r="BB205" s="48"/>
      <c r="BC205" s="48"/>
      <c r="BD205" s="48"/>
      <c r="BE205" s="48"/>
      <c r="BF205" s="48"/>
      <c r="BG205" s="48"/>
      <c r="BH205" s="48"/>
      <c r="BI205" s="48"/>
      <c r="BJ205" s="48"/>
      <c r="BK205" s="48"/>
      <c r="BL205" s="48"/>
      <c r="BM205" s="48"/>
      <c r="BN205" s="48"/>
      <c r="BO205" s="48"/>
      <c r="BP205" s="48"/>
      <c r="BQ205" s="48"/>
      <c r="BR205" s="48"/>
      <c r="BS205" s="48"/>
      <c r="BT205" s="48"/>
      <c r="BU205" s="48"/>
      <c r="BV205" s="48"/>
      <c r="BW205" s="48"/>
      <c r="BX205" s="48"/>
      <c r="BY205" s="48"/>
      <c r="BZ205" s="48"/>
      <c r="CA205" s="48"/>
      <c r="CB205" s="48"/>
      <c r="CC205" s="48"/>
      <c r="CD205" s="48"/>
      <c r="CE205" s="48"/>
      <c r="CF205" s="48"/>
      <c r="CG205" s="48"/>
      <c r="CH205" s="48"/>
      <c r="CI205" s="48"/>
      <c r="CJ205" s="48"/>
      <c r="CK205" s="48"/>
      <c r="CL205" s="48"/>
      <c r="CM205" s="48"/>
      <c r="CN205" s="48"/>
      <c r="CO205" s="48"/>
      <c r="CP205" s="48"/>
      <c r="CQ205" s="48"/>
      <c r="CR205" s="48"/>
      <c r="CS205" s="48"/>
      <c r="CT205" s="48"/>
      <c r="CU205" s="48"/>
      <c r="CV205" s="48"/>
      <c r="CW205" s="48"/>
      <c r="CX205" s="48"/>
      <c r="CY205" s="48"/>
      <c r="CZ205" s="48"/>
      <c r="DA205" s="48"/>
      <c r="DB205" s="48"/>
      <c r="DC205" s="48"/>
      <c r="DD205" s="48"/>
      <c r="DE205" s="48"/>
      <c r="DF205" s="48"/>
      <c r="DG205" s="48"/>
      <c r="DH205" s="48"/>
      <c r="DI205" s="48"/>
      <c r="DJ205" s="48"/>
      <c r="DK205" s="48"/>
      <c r="DL205" s="48"/>
      <c r="DM205" s="48"/>
      <c r="DN205" s="48"/>
      <c r="DO205" s="48"/>
      <c r="DP205" s="48"/>
    </row>
    <row r="206" spans="2:120" x14ac:dyDescent="0.2">
      <c r="W206" s="182"/>
      <c r="X206" s="183"/>
    </row>
    <row r="207" spans="2:120" x14ac:dyDescent="0.2">
      <c r="W207" s="182"/>
      <c r="X207" s="183"/>
    </row>
    <row r="208" spans="2:120" x14ac:dyDescent="0.2">
      <c r="W208" s="182"/>
      <c r="X208" s="183"/>
    </row>
    <row r="209" spans="23:24" x14ac:dyDescent="0.2">
      <c r="W209" s="182"/>
      <c r="X209" s="183"/>
    </row>
    <row r="210" spans="23:24" hidden="1" x14ac:dyDescent="0.2">
      <c r="W210" s="182"/>
      <c r="X210" s="183"/>
    </row>
    <row r="211" spans="23:24" hidden="1" x14ac:dyDescent="0.2">
      <c r="W211" s="182"/>
      <c r="X211" s="183"/>
    </row>
    <row r="212" spans="23:24" hidden="1" x14ac:dyDescent="0.2">
      <c r="W212" s="182"/>
      <c r="X212" s="183"/>
    </row>
    <row r="213" spans="23:24" hidden="1" x14ac:dyDescent="0.2">
      <c r="W213" s="182"/>
      <c r="X213" s="183"/>
    </row>
    <row r="214" spans="23:24" hidden="1" x14ac:dyDescent="0.2">
      <c r="W214" s="182"/>
      <c r="X214" s="183"/>
    </row>
    <row r="215" spans="23:24" hidden="1" x14ac:dyDescent="0.2">
      <c r="W215" s="182"/>
      <c r="X215" s="183"/>
    </row>
    <row r="216" spans="23:24" hidden="1" x14ac:dyDescent="0.2">
      <c r="W216" s="182"/>
      <c r="X216" s="183"/>
    </row>
    <row r="217" spans="23:24" hidden="1" x14ac:dyDescent="0.2">
      <c r="W217" s="182"/>
      <c r="X217" s="183"/>
    </row>
    <row r="218" spans="23:24" hidden="1" x14ac:dyDescent="0.2">
      <c r="W218" s="182"/>
      <c r="X218" s="183"/>
    </row>
    <row r="219" spans="23:24" hidden="1" x14ac:dyDescent="0.2">
      <c r="W219" s="182"/>
      <c r="X219" s="183"/>
    </row>
  </sheetData>
  <sheetProtection algorithmName="SHA-512" hashValue="Zy7uGdGSJryuhPdW4kpY8e+OT5diPsbD1Iw2miR6wFNRnBs+5VsVZ1Pj10/soiMEjbrfvmbuMzf6hDrHQH/tzA==" saltValue="1zbgm/LmxEirsGDnWbsUAg==" spinCount="100000" sheet="1" objects="1" scenarios="1"/>
  <sortState ref="N9:O119">
    <sortCondition descending="1" ref="O9:O119"/>
  </sortState>
  <mergeCells count="3">
    <mergeCell ref="DA6:DC6"/>
    <mergeCell ref="C7:C47"/>
    <mergeCell ref="DA28:DC28"/>
  </mergeCells>
  <pageMargins left="0.511811024" right="0.511811024" top="0.78740157499999996" bottom="0.78740157499999996" header="0.31496062000000002" footer="0.31496062000000002"/>
  <pageSetup orientation="portrait" r:id="rId1"/>
  <ignoredErrors>
    <ignoredError sqref="CG9:CG21 DC37" formula="1"/>
    <ignoredError sqref="BQ47" unlockedFormula="1"/>
  </ignoredErrors>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CaractAmostra!$E$9:$E$20</xm:f>
          </x14:formula1>
          <xm:sqref>F32 W30 AI26 CA42 CN42 CZ30 DG30 DL30 S7 AX24 BB24 BG24 BL24 BV7</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11</vt:i4>
      </vt:variant>
    </vt:vector>
  </HeadingPairs>
  <TitlesOfParts>
    <vt:vector size="11" baseType="lpstr">
      <vt:lpstr>Respostas_Formatadas</vt:lpstr>
      <vt:lpstr>Tabulacao</vt:lpstr>
      <vt:lpstr>Graf_Tab</vt:lpstr>
      <vt:lpstr>Índice</vt:lpstr>
      <vt:lpstr>CaractAmostra</vt:lpstr>
      <vt:lpstr>ContEstudos</vt:lpstr>
      <vt:lpstr>TransEstTrab</vt:lpstr>
      <vt:lpstr>1Emp</vt:lpstr>
      <vt:lpstr>EmpAtual</vt:lpstr>
      <vt:lpstr>AvalInst</vt:lpstr>
      <vt:lpstr>Coments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Wesley Oliveira Santos</dc:creator>
  <cp:lastModifiedBy>Wesley Oliveira Santos</cp:lastModifiedBy>
  <cp:lastPrinted>2018-11-21T13:00:21Z</cp:lastPrinted>
  <dcterms:created xsi:type="dcterms:W3CDTF">2018-11-05T17:39:18Z</dcterms:created>
  <dcterms:modified xsi:type="dcterms:W3CDTF">2019-07-24T17:41:20Z</dcterms:modified>
</cp:coreProperties>
</file>